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15F1A615-B4AA-4496-A7F5-28B4D2D5D193}" xr6:coauthVersionLast="47" xr6:coauthVersionMax="47" xr10:uidLastSave="{00000000-0000-0000-0000-000000000000}"/>
  <bookViews>
    <workbookView xWindow="-120" yWindow="-120" windowWidth="29040" windowHeight="15840" xr2:uid="{00000000-000D-0000-FFFF-FFFF00000000}"/>
  </bookViews>
  <sheets>
    <sheet name="ФП" sheetId="1" r:id="rId1"/>
    <sheet name="ШР 01" sheetId="2" r:id="rId2"/>
    <sheet name="ШР 04" sheetId="3" r:id="rId3"/>
    <sheet name="ШР 11" sheetId="4" r:id="rId4"/>
    <sheet name="ФОП" sheetId="5" r:id="rId5"/>
    <sheet name="м3" sheetId="6" r:id="rId6"/>
    <sheet name="Дох" sheetId="7" r:id="rId7"/>
    <sheet name="витр" sheetId="8" r:id="rId8"/>
    <sheet name="ВНС" sheetId="9" r:id="rId9"/>
    <sheet name="КНС" sheetId="10" r:id="rId10"/>
    <sheet name="АВР" sheetId="11" r:id="rId11"/>
    <sheet name="АДМ" sheetId="12" r:id="rId12"/>
    <sheet name="ЗБ" sheetId="13" r:id="rId13"/>
    <sheet name="ПЛ" sheetId="14" r:id="rId14"/>
    <sheet name="Злив"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Print_Area" localSheetId="8">ВНС!$A$1:$M$194</definedName>
    <definedName name="_xlnm.Print_Area" localSheetId="0">ФП!$A$1:$X$100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7" i="8" l="1"/>
  <c r="U73" i="8"/>
  <c r="S73" i="8"/>
  <c r="AA72" i="8"/>
  <c r="Z72" i="8"/>
  <c r="Y72" i="8"/>
  <c r="X72" i="8"/>
  <c r="W72" i="8"/>
  <c r="V72" i="8"/>
  <c r="R70" i="8"/>
  <c r="R69" i="8"/>
  <c r="M69" i="8"/>
  <c r="L69" i="8"/>
  <c r="J69" i="8"/>
  <c r="I69" i="8"/>
  <c r="H69" i="8"/>
  <c r="G69" i="8"/>
  <c r="F69" i="8"/>
  <c r="E69" i="8"/>
  <c r="D69" i="8"/>
  <c r="C69" i="8"/>
  <c r="R68" i="8"/>
  <c r="S68" i="8" s="1"/>
  <c r="T68" i="8" s="1"/>
  <c r="T71" i="8" s="1"/>
  <c r="K67" i="8"/>
  <c r="O67" i="8" s="1"/>
  <c r="H67" i="8"/>
  <c r="G67" i="8"/>
  <c r="N66" i="8"/>
  <c r="M66" i="8"/>
  <c r="L66" i="8"/>
  <c r="J66" i="8"/>
  <c r="F66" i="8"/>
  <c r="K66" i="8" s="1"/>
  <c r="E66" i="8"/>
  <c r="G66" i="8" s="1"/>
  <c r="K65" i="8"/>
  <c r="I65" i="8"/>
  <c r="G65" i="8"/>
  <c r="I64" i="8"/>
  <c r="H64" i="8" s="1"/>
  <c r="G64" i="8"/>
  <c r="K63" i="8"/>
  <c r="I63" i="8"/>
  <c r="H63" i="8" s="1"/>
  <c r="G63" i="8"/>
  <c r="K62" i="8"/>
  <c r="I62" i="8"/>
  <c r="H62" i="8" s="1"/>
  <c r="G62" i="8"/>
  <c r="K61" i="8"/>
  <c r="G61" i="8"/>
  <c r="D61" i="8"/>
  <c r="C61" i="8"/>
  <c r="I61" i="8" s="1"/>
  <c r="H61" i="8" s="1"/>
  <c r="K60" i="8"/>
  <c r="G60" i="8"/>
  <c r="C60" i="8"/>
  <c r="I60" i="8" s="1"/>
  <c r="N59" i="8"/>
  <c r="K59" i="8"/>
  <c r="O59" i="8" s="1"/>
  <c r="I59" i="8"/>
  <c r="H59" i="8" s="1"/>
  <c r="G59" i="8"/>
  <c r="N58" i="8"/>
  <c r="K58" i="8"/>
  <c r="I58" i="8"/>
  <c r="G58" i="8"/>
  <c r="N57" i="8"/>
  <c r="K57" i="8"/>
  <c r="I57" i="8"/>
  <c r="H57" i="8" s="1"/>
  <c r="G57" i="8"/>
  <c r="L56" i="8"/>
  <c r="K56" i="8"/>
  <c r="I56" i="8"/>
  <c r="G56" i="8"/>
  <c r="M55" i="8"/>
  <c r="K55" i="8"/>
  <c r="I55" i="8"/>
  <c r="H55" i="8" s="1"/>
  <c r="G55" i="8"/>
  <c r="M54" i="8"/>
  <c r="L54" i="8"/>
  <c r="K54" i="8"/>
  <c r="J54" i="8"/>
  <c r="G54" i="8"/>
  <c r="D54" i="8"/>
  <c r="C54" i="8"/>
  <c r="I54" i="8" s="1"/>
  <c r="H54" i="8" s="1"/>
  <c r="M53" i="8"/>
  <c r="L53" i="8"/>
  <c r="J53" i="8"/>
  <c r="K53" i="8" s="1"/>
  <c r="I53" i="8"/>
  <c r="H53" i="8" s="1"/>
  <c r="G53" i="8"/>
  <c r="C53" i="8"/>
  <c r="J52" i="8"/>
  <c r="K52" i="8" s="1"/>
  <c r="O52" i="8" s="1"/>
  <c r="I52" i="8"/>
  <c r="H52" i="8" s="1"/>
  <c r="G52" i="8"/>
  <c r="J51" i="8"/>
  <c r="K51" i="8" s="1"/>
  <c r="O51" i="8" s="1"/>
  <c r="I51" i="8"/>
  <c r="H51" i="8" s="1"/>
  <c r="G51" i="8"/>
  <c r="N50" i="8"/>
  <c r="M50" i="8"/>
  <c r="L50" i="8"/>
  <c r="J50" i="8"/>
  <c r="K50" i="8" s="1"/>
  <c r="G50" i="8"/>
  <c r="E50" i="8"/>
  <c r="D50" i="8"/>
  <c r="N49" i="8"/>
  <c r="N42" i="8" s="1"/>
  <c r="K49" i="8"/>
  <c r="I49" i="8"/>
  <c r="H49" i="8" s="1"/>
  <c r="G49" i="8"/>
  <c r="A49" i="8"/>
  <c r="L48" i="8"/>
  <c r="K48" i="8"/>
  <c r="I48" i="8"/>
  <c r="H48" i="8" s="1"/>
  <c r="G48" i="8"/>
  <c r="A48" i="8"/>
  <c r="M47" i="8"/>
  <c r="L47" i="8"/>
  <c r="K47" i="8"/>
  <c r="I47" i="8"/>
  <c r="H47" i="8" s="1"/>
  <c r="G47" i="8"/>
  <c r="L46" i="8"/>
  <c r="K46" i="8"/>
  <c r="O46" i="8" s="1"/>
  <c r="G46" i="8"/>
  <c r="E46" i="8"/>
  <c r="D46" i="8"/>
  <c r="C46" i="8"/>
  <c r="I46" i="8" s="1"/>
  <c r="H46" i="8" s="1"/>
  <c r="K45" i="8"/>
  <c r="E45" i="8"/>
  <c r="I45" i="8" s="1"/>
  <c r="K44" i="8"/>
  <c r="G44" i="8"/>
  <c r="D44" i="8"/>
  <c r="C44" i="8"/>
  <c r="M43" i="8"/>
  <c r="L43" i="8"/>
  <c r="J43" i="8"/>
  <c r="J42" i="8" s="1"/>
  <c r="K42" i="8" s="1"/>
  <c r="G43" i="8"/>
  <c r="E43" i="8"/>
  <c r="D43" i="8"/>
  <c r="D42" i="8" s="1"/>
  <c r="C43" i="8"/>
  <c r="M42" i="8"/>
  <c r="K41" i="8"/>
  <c r="E41" i="8"/>
  <c r="G41" i="8" s="1"/>
  <c r="D41" i="8"/>
  <c r="C41" i="8"/>
  <c r="C37" i="8" s="1"/>
  <c r="I37" i="8" s="1"/>
  <c r="H37" i="8" s="1"/>
  <c r="M40" i="8"/>
  <c r="K40" i="8"/>
  <c r="I40" i="8"/>
  <c r="H40" i="8" s="1"/>
  <c r="G40" i="8"/>
  <c r="M39" i="8"/>
  <c r="L39" i="8"/>
  <c r="K39" i="8"/>
  <c r="I39" i="8"/>
  <c r="H39" i="8" s="1"/>
  <c r="G39" i="8"/>
  <c r="N38" i="8"/>
  <c r="M38" i="8"/>
  <c r="L38" i="8"/>
  <c r="J38" i="8"/>
  <c r="K38" i="8" s="1"/>
  <c r="I38" i="8"/>
  <c r="H38" i="8" s="1"/>
  <c r="G38" i="8"/>
  <c r="N37" i="8"/>
  <c r="M37" i="8"/>
  <c r="L37" i="8"/>
  <c r="J37" i="8"/>
  <c r="K37" i="8" s="1"/>
  <c r="O37" i="8" s="1"/>
  <c r="G37" i="8"/>
  <c r="E37" i="8"/>
  <c r="D37" i="8"/>
  <c r="N36" i="8"/>
  <c r="N31" i="8" s="1"/>
  <c r="M36" i="8"/>
  <c r="L36" i="8"/>
  <c r="J36" i="8"/>
  <c r="K36" i="8" s="1"/>
  <c r="F36" i="8"/>
  <c r="E36" i="8"/>
  <c r="G36" i="8" s="1"/>
  <c r="D36" i="8"/>
  <c r="C36" i="8"/>
  <c r="N35" i="8"/>
  <c r="M35" i="8"/>
  <c r="L35" i="8"/>
  <c r="J35" i="8"/>
  <c r="F35" i="8"/>
  <c r="G35" i="8" s="1"/>
  <c r="E35" i="8"/>
  <c r="D35" i="8"/>
  <c r="C35" i="8"/>
  <c r="N34" i="8"/>
  <c r="M34" i="8"/>
  <c r="L34" i="8"/>
  <c r="J34" i="8"/>
  <c r="F34" i="8"/>
  <c r="K34" i="8" s="1"/>
  <c r="E34" i="8"/>
  <c r="D34" i="8"/>
  <c r="C34" i="8"/>
  <c r="N33" i="8"/>
  <c r="M33" i="8"/>
  <c r="L33" i="8"/>
  <c r="J33" i="8"/>
  <c r="J31" i="8" s="1"/>
  <c r="F33" i="8"/>
  <c r="E33" i="8"/>
  <c r="I33" i="8" s="1"/>
  <c r="D33" i="8"/>
  <c r="C33" i="8"/>
  <c r="G32" i="8"/>
  <c r="F32" i="8"/>
  <c r="K32" i="8" s="1"/>
  <c r="E32" i="8"/>
  <c r="D32" i="8"/>
  <c r="C32" i="8"/>
  <c r="M30" i="8"/>
  <c r="K30" i="8"/>
  <c r="E30" i="8"/>
  <c r="G30" i="8" s="1"/>
  <c r="C30" i="8"/>
  <c r="A30" i="8"/>
  <c r="K29" i="8"/>
  <c r="G29" i="8"/>
  <c r="D29" i="8"/>
  <c r="C29" i="8"/>
  <c r="I29" i="8" s="1"/>
  <c r="O29" i="8" s="1"/>
  <c r="M28" i="8"/>
  <c r="L28" i="8"/>
  <c r="K28" i="8"/>
  <c r="E28" i="8"/>
  <c r="G28" i="8" s="1"/>
  <c r="D28" i="8"/>
  <c r="I28" i="8" s="1"/>
  <c r="H28" i="8" s="1"/>
  <c r="C28" i="8"/>
  <c r="M27" i="8"/>
  <c r="L27" i="8"/>
  <c r="K27" i="8"/>
  <c r="J27" i="8"/>
  <c r="I27" i="8"/>
  <c r="H27" i="8"/>
  <c r="G27" i="8"/>
  <c r="M26" i="8"/>
  <c r="L26" i="8"/>
  <c r="K26" i="8"/>
  <c r="J26" i="8"/>
  <c r="I26" i="8"/>
  <c r="H26" i="8" s="1"/>
  <c r="G26" i="8"/>
  <c r="E26" i="8"/>
  <c r="M25" i="8"/>
  <c r="L25" i="8"/>
  <c r="K25" i="8"/>
  <c r="I25" i="8"/>
  <c r="H25" i="8" s="1"/>
  <c r="E25" i="8"/>
  <c r="G25" i="8" s="1"/>
  <c r="M24" i="8"/>
  <c r="L24" i="8"/>
  <c r="J24" i="8"/>
  <c r="K24" i="8" s="1"/>
  <c r="I24" i="8"/>
  <c r="H24" i="8" s="1"/>
  <c r="E24" i="8"/>
  <c r="G24" i="8" s="1"/>
  <c r="M23" i="8"/>
  <c r="L23" i="8"/>
  <c r="J23" i="8"/>
  <c r="K23" i="8" s="1"/>
  <c r="E23" i="8"/>
  <c r="D23" i="8"/>
  <c r="C23" i="8"/>
  <c r="N22" i="8"/>
  <c r="F22" i="8"/>
  <c r="N21" i="8"/>
  <c r="M21" i="8"/>
  <c r="L21" i="8"/>
  <c r="J21" i="8"/>
  <c r="K21" i="8" s="1"/>
  <c r="G21" i="8"/>
  <c r="E21" i="8"/>
  <c r="D21" i="8"/>
  <c r="C21" i="8"/>
  <c r="N20" i="8"/>
  <c r="M20" i="8"/>
  <c r="L20" i="8"/>
  <c r="J20" i="8"/>
  <c r="K20" i="8" s="1"/>
  <c r="O20" i="8" s="1"/>
  <c r="G20" i="8"/>
  <c r="E20" i="8"/>
  <c r="I20" i="8" s="1"/>
  <c r="H20" i="8" s="1"/>
  <c r="F19" i="8"/>
  <c r="K19" i="8" s="1"/>
  <c r="E19" i="8"/>
  <c r="I19" i="8" s="1"/>
  <c r="F18" i="8"/>
  <c r="K18" i="8" s="1"/>
  <c r="E18" i="8"/>
  <c r="D18" i="8"/>
  <c r="C18" i="8"/>
  <c r="I18" i="8" s="1"/>
  <c r="N17" i="8"/>
  <c r="T16" i="8"/>
  <c r="N16" i="8"/>
  <c r="M16" i="8"/>
  <c r="M17" i="8" s="1"/>
  <c r="L16" i="8"/>
  <c r="K16" i="8"/>
  <c r="J16" i="8"/>
  <c r="J17" i="8" s="1"/>
  <c r="F16" i="8"/>
  <c r="F17" i="8" s="1"/>
  <c r="E16" i="8"/>
  <c r="E17" i="8" s="1"/>
  <c r="D16" i="8"/>
  <c r="D17" i="8" s="1"/>
  <c r="C16" i="8"/>
  <c r="K15" i="8"/>
  <c r="O15" i="8" s="1"/>
  <c r="I15" i="8"/>
  <c r="H15" i="8" s="1"/>
  <c r="G15" i="8"/>
  <c r="C11" i="8"/>
  <c r="O11" i="8" s="1"/>
  <c r="D10" i="8"/>
  <c r="O10" i="8" s="1"/>
  <c r="D9" i="8"/>
  <c r="C9" i="8"/>
  <c r="D8" i="8"/>
  <c r="T7" i="8"/>
  <c r="S7" i="8"/>
  <c r="U7" i="8" s="1"/>
  <c r="D7" i="8"/>
  <c r="C7" i="8"/>
  <c r="O7" i="8" s="1"/>
  <c r="O6" i="8"/>
  <c r="C6" i="8"/>
  <c r="D5" i="8"/>
  <c r="D3" i="8" s="1"/>
  <c r="C5" i="8"/>
  <c r="O5" i="8" s="1"/>
  <c r="O3" i="8" s="1"/>
  <c r="C4" i="8"/>
  <c r="O4" i="8" s="1"/>
  <c r="O60" i="8" l="1"/>
  <c r="H60" i="8"/>
  <c r="I41" i="8"/>
  <c r="H41" i="8" s="1"/>
  <c r="O9" i="8"/>
  <c r="O18" i="8"/>
  <c r="I23" i="8"/>
  <c r="H23" i="8" s="1"/>
  <c r="C22" i="8"/>
  <c r="M31" i="8"/>
  <c r="K35" i="8"/>
  <c r="O24" i="8"/>
  <c r="H29" i="8"/>
  <c r="O45" i="8"/>
  <c r="O47" i="8"/>
  <c r="O19" i="8"/>
  <c r="I21" i="8"/>
  <c r="H21" i="8" s="1"/>
  <c r="F31" i="8"/>
  <c r="I35" i="8"/>
  <c r="H35" i="8" s="1"/>
  <c r="E42" i="8"/>
  <c r="G42" i="8" s="1"/>
  <c r="K43" i="8"/>
  <c r="G45" i="8"/>
  <c r="K17" i="8"/>
  <c r="K22" i="8"/>
  <c r="D31" i="8"/>
  <c r="O40" i="8"/>
  <c r="L42" i="8"/>
  <c r="H45" i="8"/>
  <c r="I50" i="8"/>
  <c r="H50" i="8" s="1"/>
  <c r="J22" i="8"/>
  <c r="I30" i="8"/>
  <c r="H33" i="8"/>
  <c r="I36" i="8"/>
  <c r="H36" i="8" s="1"/>
  <c r="O48" i="8"/>
  <c r="O57" i="8"/>
  <c r="K64" i="8"/>
  <c r="O16" i="8"/>
  <c r="U13" i="8" s="1"/>
  <c r="D12" i="8"/>
  <c r="H18" i="8"/>
  <c r="E22" i="8"/>
  <c r="G22" i="8" s="1"/>
  <c r="G23" i="8"/>
  <c r="L22" i="8"/>
  <c r="I32" i="8"/>
  <c r="H32" i="8" s="1"/>
  <c r="C31" i="8"/>
  <c r="E31" i="8"/>
  <c r="G34" i="8"/>
  <c r="O44" i="8"/>
  <c r="O54" i="8"/>
  <c r="O61" i="8"/>
  <c r="F14" i="8"/>
  <c r="I16" i="8"/>
  <c r="G16" i="8"/>
  <c r="G17" i="8" s="1"/>
  <c r="C17" i="8"/>
  <c r="M22" i="8"/>
  <c r="O25" i="8"/>
  <c r="O27" i="8"/>
  <c r="K31" i="8"/>
  <c r="K33" i="8"/>
  <c r="O33" i="8" s="1"/>
  <c r="O39" i="8"/>
  <c r="I44" i="8"/>
  <c r="H44" i="8" s="1"/>
  <c r="O53" i="8"/>
  <c r="O56" i="8"/>
  <c r="H56" i="8"/>
  <c r="O28" i="8"/>
  <c r="C8" i="8"/>
  <c r="O8" i="8" s="1"/>
  <c r="O12" i="8" s="1"/>
  <c r="O23" i="8"/>
  <c r="I22" i="8"/>
  <c r="H22" i="8" s="1"/>
  <c r="L31" i="8"/>
  <c r="O38" i="8"/>
  <c r="C42" i="8"/>
  <c r="I42" i="8" s="1"/>
  <c r="H42" i="8" s="1"/>
  <c r="I43" i="8"/>
  <c r="H43" i="8" s="1"/>
  <c r="J64" i="8"/>
  <c r="N65" i="8"/>
  <c r="N68" i="8" s="1"/>
  <c r="U74" i="8" s="1"/>
  <c r="G18" i="8"/>
  <c r="H19" i="8"/>
  <c r="O26" i="8"/>
  <c r="I34" i="8"/>
  <c r="H34" i="8" s="1"/>
  <c r="O35" i="8"/>
  <c r="O42" i="8"/>
  <c r="O49" i="8"/>
  <c r="O55" i="8"/>
  <c r="O58" i="8"/>
  <c r="H58" i="8"/>
  <c r="H65" i="8"/>
  <c r="I66" i="8"/>
  <c r="L17" i="8"/>
  <c r="L62" i="8" s="1"/>
  <c r="G19" i="8"/>
  <c r="G33" i="8"/>
  <c r="M63" i="8"/>
  <c r="C3" i="8"/>
  <c r="D22" i="8"/>
  <c r="D14" i="8" s="1"/>
  <c r="D13" i="8" s="1"/>
  <c r="D68" i="8" s="1"/>
  <c r="BF779" i="5"/>
  <c r="BB777" i="5"/>
  <c r="AX771" i="5"/>
  <c r="AR771" i="5"/>
  <c r="AN771" i="5"/>
  <c r="AK771" i="5"/>
  <c r="AH771" i="5"/>
  <c r="Y771" i="5"/>
  <c r="V771" i="5"/>
  <c r="AJ770" i="5"/>
  <c r="AG770" i="5"/>
  <c r="AF770" i="5"/>
  <c r="AE770" i="5"/>
  <c r="AD770" i="5"/>
  <c r="AY769" i="5"/>
  <c r="AV769" i="5"/>
  <c r="AV771" i="5" s="1"/>
  <c r="AS769" i="5"/>
  <c r="AO769" i="5"/>
  <c r="AL769" i="5"/>
  <c r="AI769" i="5"/>
  <c r="AF769" i="5"/>
  <c r="Z769" i="5"/>
  <c r="W767" i="5"/>
  <c r="W771" i="5" s="1"/>
  <c r="AX765" i="5"/>
  <c r="AV765" i="5"/>
  <c r="AR765" i="5"/>
  <c r="AO765" i="5"/>
  <c r="AN765" i="5"/>
  <c r="AL765" i="5"/>
  <c r="AK765" i="5"/>
  <c r="AI765" i="5"/>
  <c r="AH765" i="5"/>
  <c r="AF765" i="5"/>
  <c r="AE765" i="5"/>
  <c r="AC765" i="5"/>
  <c r="AB765" i="5"/>
  <c r="Z765" i="5"/>
  <c r="Y765" i="5"/>
  <c r="W765" i="5"/>
  <c r="V765" i="5"/>
  <c r="BO764" i="5"/>
  <c r="AY764" i="5"/>
  <c r="AJ764" i="5"/>
  <c r="AI764" i="5"/>
  <c r="AH764" i="5"/>
  <c r="AG764" i="5"/>
  <c r="AF764" i="5"/>
  <c r="AE764" i="5"/>
  <c r="AE767" i="5" s="1"/>
  <c r="AE771" i="5" s="1"/>
  <c r="AD764" i="5"/>
  <c r="AC764" i="5"/>
  <c r="AC767" i="5" s="1"/>
  <c r="AC771" i="5" s="1"/>
  <c r="AB764" i="5"/>
  <c r="AB767" i="5" s="1"/>
  <c r="AB771" i="5" s="1"/>
  <c r="BM763" i="5"/>
  <c r="BL763" i="5"/>
  <c r="BK763" i="5"/>
  <c r="BI763" i="5"/>
  <c r="BH763" i="5"/>
  <c r="BG763" i="5"/>
  <c r="BF763" i="5"/>
  <c r="AZ763" i="5"/>
  <c r="AU763" i="5"/>
  <c r="AN763" i="5"/>
  <c r="AM763" i="5"/>
  <c r="AL763" i="5"/>
  <c r="AK763" i="5"/>
  <c r="P763" i="5"/>
  <c r="O763" i="5"/>
  <c r="C763" i="5"/>
  <c r="BM762" i="5"/>
  <c r="BK762" i="5"/>
  <c r="BJ762" i="5"/>
  <c r="BI762" i="5"/>
  <c r="BH762" i="5"/>
  <c r="BG762" i="5"/>
  <c r="BF762" i="5"/>
  <c r="AZ762" i="5"/>
  <c r="AU762" i="5"/>
  <c r="AM762" i="5"/>
  <c r="AL762" i="5"/>
  <c r="AK762" i="5"/>
  <c r="O762" i="5"/>
  <c r="C762" i="5"/>
  <c r="BM761" i="5"/>
  <c r="BL761" i="5"/>
  <c r="BK761" i="5"/>
  <c r="BI761" i="5"/>
  <c r="BH761" i="5"/>
  <c r="BG761" i="5"/>
  <c r="BF761" i="5"/>
  <c r="AZ761" i="5"/>
  <c r="AU761" i="5"/>
  <c r="AM761" i="5"/>
  <c r="AL761" i="5"/>
  <c r="AK761" i="5"/>
  <c r="O761" i="5"/>
  <c r="C761" i="5"/>
  <c r="BM760" i="5"/>
  <c r="BL760" i="5"/>
  <c r="BJ760" i="5"/>
  <c r="BI760" i="5"/>
  <c r="BH760" i="5"/>
  <c r="BG760" i="5"/>
  <c r="BF760" i="5"/>
  <c r="AZ760" i="5"/>
  <c r="AZ764" i="5" s="1"/>
  <c r="AU760" i="5"/>
  <c r="AM760" i="5"/>
  <c r="AM764" i="5" s="1"/>
  <c r="AL760" i="5"/>
  <c r="AK760" i="5"/>
  <c r="O760" i="5"/>
  <c r="C760" i="5"/>
  <c r="AX758" i="5"/>
  <c r="AV758" i="5"/>
  <c r="AR758" i="5"/>
  <c r="AO758" i="5"/>
  <c r="AN758" i="5"/>
  <c r="AL758" i="5"/>
  <c r="AK758" i="5"/>
  <c r="AI758" i="5"/>
  <c r="AH758" i="5"/>
  <c r="AF758" i="5"/>
  <c r="AE758" i="5"/>
  <c r="AC758" i="5"/>
  <c r="AB758" i="5"/>
  <c r="Z758" i="5"/>
  <c r="Y758" i="5"/>
  <c r="W758" i="5"/>
  <c r="V758" i="5"/>
  <c r="AY756" i="5"/>
  <c r="AJ756" i="5"/>
  <c r="AG756" i="5"/>
  <c r="AD756" i="5"/>
  <c r="BM755" i="5"/>
  <c r="BL755" i="5"/>
  <c r="BJ755" i="5"/>
  <c r="BI755" i="5"/>
  <c r="BH755" i="5"/>
  <c r="BG755" i="5"/>
  <c r="BF755" i="5"/>
  <c r="AZ755" i="5"/>
  <c r="AU755" i="5"/>
  <c r="AR755" i="5"/>
  <c r="AL755" i="5"/>
  <c r="P755" i="5"/>
  <c r="O755" i="5"/>
  <c r="C755" i="5"/>
  <c r="BM754" i="5"/>
  <c r="BL754" i="5"/>
  <c r="BJ754" i="5"/>
  <c r="BI754" i="5"/>
  <c r="BH754" i="5"/>
  <c r="BG754" i="5"/>
  <c r="BF754" i="5"/>
  <c r="AZ754" i="5"/>
  <c r="AU754" i="5"/>
  <c r="AR754" i="5"/>
  <c r="AL754" i="5"/>
  <c r="P754" i="5"/>
  <c r="O754" i="5"/>
  <c r="C754" i="5"/>
  <c r="BP754" i="5" s="1"/>
  <c r="BM753" i="5"/>
  <c r="BL753" i="5"/>
  <c r="BJ753" i="5"/>
  <c r="BI753" i="5"/>
  <c r="BH753" i="5"/>
  <c r="BG753" i="5"/>
  <c r="BF753" i="5"/>
  <c r="AZ753" i="5"/>
  <c r="AU753" i="5"/>
  <c r="AR753" i="5"/>
  <c r="AL753" i="5"/>
  <c r="P753" i="5"/>
  <c r="O753" i="5"/>
  <c r="C753" i="5"/>
  <c r="BM752" i="5"/>
  <c r="BL752" i="5"/>
  <c r="BJ752" i="5"/>
  <c r="BI752" i="5"/>
  <c r="BH752" i="5"/>
  <c r="BG752" i="5"/>
  <c r="BF752" i="5"/>
  <c r="AZ752" i="5"/>
  <c r="AZ756" i="5" s="1"/>
  <c r="AU752" i="5"/>
  <c r="AU756" i="5" s="1"/>
  <c r="AR752" i="5"/>
  <c r="AL752" i="5"/>
  <c r="O752" i="5"/>
  <c r="C752" i="5"/>
  <c r="AX750" i="5"/>
  <c r="AV750" i="5"/>
  <c r="AR750" i="5"/>
  <c r="AO750" i="5"/>
  <c r="AN750" i="5"/>
  <c r="AL750" i="5"/>
  <c r="AI750" i="5"/>
  <c r="AH750" i="5"/>
  <c r="AF750" i="5"/>
  <c r="AE750" i="5"/>
  <c r="AC750" i="5"/>
  <c r="AB750" i="5"/>
  <c r="Z750" i="5"/>
  <c r="Y750" i="5"/>
  <c r="W750" i="5"/>
  <c r="V750" i="5"/>
  <c r="AY749" i="5"/>
  <c r="AY757" i="5" s="1"/>
  <c r="AP749" i="5"/>
  <c r="AJ749" i="5"/>
  <c r="AJ757" i="5" s="1"/>
  <c r="AG749" i="5"/>
  <c r="AG757" i="5" s="1"/>
  <c r="AD749" i="5"/>
  <c r="AD757" i="5" s="1"/>
  <c r="AA749" i="5"/>
  <c r="AZ748" i="5"/>
  <c r="AL748" i="5"/>
  <c r="BM747" i="5"/>
  <c r="BK747" i="5"/>
  <c r="BJ747" i="5"/>
  <c r="BI747" i="5"/>
  <c r="BH747" i="5"/>
  <c r="BG747" i="5"/>
  <c r="BF747" i="5"/>
  <c r="AZ747" i="5"/>
  <c r="AW747" i="5"/>
  <c r="AU747" i="5"/>
  <c r="AT747" i="5"/>
  <c r="AS747" i="5" s="1"/>
  <c r="AM747" i="5"/>
  <c r="AL747" i="5"/>
  <c r="U747" i="5"/>
  <c r="X747" i="5" s="1"/>
  <c r="AQ747" i="5" s="1"/>
  <c r="R747" i="5"/>
  <c r="P747" i="5"/>
  <c r="O747" i="5"/>
  <c r="N747" i="5"/>
  <c r="M747" i="5"/>
  <c r="T747" i="5" s="1"/>
  <c r="S747" i="5" s="1"/>
  <c r="C747" i="5"/>
  <c r="BM746" i="5"/>
  <c r="BL746" i="5"/>
  <c r="BJ746" i="5"/>
  <c r="BI746" i="5"/>
  <c r="BH746" i="5"/>
  <c r="BG746" i="5"/>
  <c r="BF746" i="5"/>
  <c r="AZ746" i="5"/>
  <c r="AR746" i="5"/>
  <c r="AL746" i="5"/>
  <c r="AK746" i="5"/>
  <c r="O746" i="5"/>
  <c r="C746" i="5"/>
  <c r="BM745" i="5"/>
  <c r="BL745" i="5"/>
  <c r="BK745" i="5"/>
  <c r="BI745" i="5"/>
  <c r="BH745" i="5"/>
  <c r="BG745" i="5"/>
  <c r="BF745" i="5"/>
  <c r="AZ745" i="5"/>
  <c r="AU745" i="5"/>
  <c r="AR745" i="5"/>
  <c r="AL745" i="5"/>
  <c r="AK745" i="5"/>
  <c r="O745" i="5"/>
  <c r="BM744" i="5"/>
  <c r="BL744" i="5"/>
  <c r="BK744" i="5"/>
  <c r="BI744" i="5"/>
  <c r="BH744" i="5"/>
  <c r="BG744" i="5"/>
  <c r="BF744" i="5"/>
  <c r="AZ744" i="5"/>
  <c r="AU744" i="5"/>
  <c r="BP744" i="5" s="1"/>
  <c r="AR744" i="5"/>
  <c r="AL744" i="5"/>
  <c r="O744" i="5"/>
  <c r="C744" i="5"/>
  <c r="BM743" i="5"/>
  <c r="BK743" i="5"/>
  <c r="BJ743" i="5"/>
  <c r="BI743" i="5"/>
  <c r="BH743" i="5"/>
  <c r="BG743" i="5"/>
  <c r="BF743" i="5"/>
  <c r="AZ743" i="5"/>
  <c r="AU743" i="5"/>
  <c r="AR743" i="5"/>
  <c r="AL743" i="5"/>
  <c r="AK743" i="5"/>
  <c r="O743" i="5"/>
  <c r="C743" i="5"/>
  <c r="BM742" i="5"/>
  <c r="BK742" i="5"/>
  <c r="BJ742" i="5"/>
  <c r="BI742" i="5"/>
  <c r="BH742" i="5"/>
  <c r="BG742" i="5"/>
  <c r="BF742" i="5"/>
  <c r="AZ742" i="5"/>
  <c r="AZ749" i="5" s="1"/>
  <c r="AU742" i="5"/>
  <c r="AR742" i="5"/>
  <c r="AL742" i="5"/>
  <c r="O742" i="5"/>
  <c r="AX739" i="5"/>
  <c r="AV739" i="5"/>
  <c r="AR739" i="5"/>
  <c r="AN739" i="5"/>
  <c r="AH739" i="5"/>
  <c r="AE739" i="5"/>
  <c r="AC739" i="5"/>
  <c r="AB739" i="5"/>
  <c r="Y739" i="5"/>
  <c r="W739" i="5"/>
  <c r="V739" i="5"/>
  <c r="AY737" i="5"/>
  <c r="AP737" i="5"/>
  <c r="AT736" i="5"/>
  <c r="AR736" i="5"/>
  <c r="AM736" i="5"/>
  <c r="AQ736" i="5" s="1"/>
  <c r="AL736" i="5"/>
  <c r="AZ735" i="5"/>
  <c r="AU735" i="5"/>
  <c r="AR735" i="5"/>
  <c r="AL735" i="5"/>
  <c r="O735" i="5"/>
  <c r="C735" i="5"/>
  <c r="AZ734" i="5"/>
  <c r="AU734" i="5"/>
  <c r="AR734" i="5"/>
  <c r="AL734" i="5"/>
  <c r="O734" i="5"/>
  <c r="AZ733" i="5"/>
  <c r="AU733" i="5"/>
  <c r="BP733" i="5" s="1"/>
  <c r="AR733" i="5"/>
  <c r="AL733" i="5"/>
  <c r="O733" i="5"/>
  <c r="C733" i="5"/>
  <c r="AZ732" i="5"/>
  <c r="AR732" i="5"/>
  <c r="AL732" i="5"/>
  <c r="AK732" i="5"/>
  <c r="AJ732" i="5"/>
  <c r="AJ737" i="5" s="1"/>
  <c r="AG732" i="5"/>
  <c r="AG737" i="5" s="1"/>
  <c r="AD732" i="5"/>
  <c r="AD737" i="5" s="1"/>
  <c r="O732" i="5"/>
  <c r="AX731" i="5"/>
  <c r="AV731" i="5"/>
  <c r="AR731" i="5"/>
  <c r="AN731" i="5"/>
  <c r="AH731" i="5"/>
  <c r="AE731" i="5"/>
  <c r="AC731" i="5"/>
  <c r="AB731" i="5"/>
  <c r="Y731" i="5"/>
  <c r="W731" i="5"/>
  <c r="V731" i="5"/>
  <c r="AY730" i="5"/>
  <c r="AP730" i="5"/>
  <c r="AO730" i="5"/>
  <c r="AI730" i="5"/>
  <c r="AF730" i="5"/>
  <c r="Z730" i="5"/>
  <c r="AM729" i="5"/>
  <c r="AQ729" i="5" s="1"/>
  <c r="AZ728" i="5"/>
  <c r="AU728" i="5"/>
  <c r="BP728" i="5" s="1"/>
  <c r="AR728" i="5"/>
  <c r="AL728" i="5"/>
  <c r="P728" i="5"/>
  <c r="O728" i="5"/>
  <c r="C728" i="5"/>
  <c r="AZ727" i="5"/>
  <c r="AU727" i="5"/>
  <c r="AR727" i="5"/>
  <c r="AL727" i="5"/>
  <c r="O727" i="5"/>
  <c r="AZ726" i="5"/>
  <c r="AU726" i="5"/>
  <c r="AR726" i="5"/>
  <c r="AL726" i="5"/>
  <c r="O726" i="5"/>
  <c r="AZ725" i="5"/>
  <c r="AU725" i="5"/>
  <c r="AR725" i="5"/>
  <c r="AL725" i="5"/>
  <c r="O725" i="5"/>
  <c r="C725" i="5"/>
  <c r="AZ724" i="5"/>
  <c r="AU724" i="5"/>
  <c r="BP724" i="5" s="1"/>
  <c r="AR724" i="5"/>
  <c r="AL724" i="5"/>
  <c r="O724" i="5"/>
  <c r="C724" i="5"/>
  <c r="AZ723" i="5"/>
  <c r="AU723" i="5"/>
  <c r="AR723" i="5"/>
  <c r="AL723" i="5"/>
  <c r="AL730" i="5" s="1"/>
  <c r="AK723" i="5"/>
  <c r="AJ723" i="5"/>
  <c r="AJ730" i="5" s="1"/>
  <c r="AG723" i="5"/>
  <c r="AG730" i="5" s="1"/>
  <c r="AD723" i="5"/>
  <c r="AD730" i="5" s="1"/>
  <c r="O723" i="5"/>
  <c r="AX720" i="5"/>
  <c r="AV720" i="5"/>
  <c r="AR720" i="5"/>
  <c r="AO720" i="5"/>
  <c r="AN720" i="5"/>
  <c r="AL720" i="5"/>
  <c r="AI720" i="5"/>
  <c r="AH720" i="5"/>
  <c r="AF720" i="5"/>
  <c r="AE720" i="5"/>
  <c r="AC720" i="5"/>
  <c r="AB720" i="5"/>
  <c r="Z720" i="5"/>
  <c r="Y720" i="5"/>
  <c r="W720" i="5"/>
  <c r="V720" i="5"/>
  <c r="AY719" i="5"/>
  <c r="BM718" i="5"/>
  <c r="BL718" i="5"/>
  <c r="BK718" i="5"/>
  <c r="AQ718" i="5"/>
  <c r="BM717" i="5"/>
  <c r="BL717" i="5"/>
  <c r="BK717" i="5"/>
  <c r="BI717" i="5"/>
  <c r="BH717" i="5"/>
  <c r="BG717" i="5"/>
  <c r="BF717" i="5"/>
  <c r="AZ717" i="5"/>
  <c r="AU717" i="5"/>
  <c r="AR717" i="5"/>
  <c r="AL717" i="5"/>
  <c r="O717" i="5"/>
  <c r="C717" i="5"/>
  <c r="BM716" i="5"/>
  <c r="BL716" i="5"/>
  <c r="BK716" i="5"/>
  <c r="BI716" i="5"/>
  <c r="BH716" i="5"/>
  <c r="BG716" i="5"/>
  <c r="BF716" i="5"/>
  <c r="AZ716" i="5"/>
  <c r="AU716" i="5"/>
  <c r="BP716" i="5" s="1"/>
  <c r="AR716" i="5"/>
  <c r="AL716" i="5"/>
  <c r="P716" i="5"/>
  <c r="O716" i="5"/>
  <c r="C716" i="5"/>
  <c r="BM715" i="5"/>
  <c r="BL715" i="5"/>
  <c r="BK715" i="5"/>
  <c r="BI715" i="5"/>
  <c r="BH715" i="5"/>
  <c r="BG715" i="5"/>
  <c r="BF715" i="5"/>
  <c r="AZ715" i="5"/>
  <c r="AU715" i="5"/>
  <c r="BP715" i="5" s="1"/>
  <c r="AR715" i="5"/>
  <c r="AL715" i="5"/>
  <c r="P715" i="5"/>
  <c r="O715" i="5"/>
  <c r="C715" i="5"/>
  <c r="BM714" i="5"/>
  <c r="BL714" i="5"/>
  <c r="BK714" i="5"/>
  <c r="BI714" i="5"/>
  <c r="BH714" i="5"/>
  <c r="BG714" i="5"/>
  <c r="BF714" i="5"/>
  <c r="AZ714" i="5"/>
  <c r="AU714" i="5"/>
  <c r="BP714" i="5" s="1"/>
  <c r="AR714" i="5"/>
  <c r="AL714" i="5"/>
  <c r="AK714" i="5"/>
  <c r="O714" i="5"/>
  <c r="C714" i="5"/>
  <c r="BM713" i="5"/>
  <c r="BL713" i="5"/>
  <c r="BK713" i="5"/>
  <c r="BI713" i="5"/>
  <c r="BH713" i="5"/>
  <c r="BG713" i="5"/>
  <c r="BF713" i="5"/>
  <c r="AZ713" i="5"/>
  <c r="AU713" i="5"/>
  <c r="AR713" i="5"/>
  <c r="AL713" i="5"/>
  <c r="AK713" i="5"/>
  <c r="AJ713" i="5"/>
  <c r="AG713" i="5"/>
  <c r="AD713" i="5"/>
  <c r="O713" i="5"/>
  <c r="C713" i="5"/>
  <c r="BM712" i="5"/>
  <c r="BL712" i="5"/>
  <c r="BK712" i="5"/>
  <c r="BI712" i="5"/>
  <c r="BH712" i="5"/>
  <c r="BG712" i="5"/>
  <c r="BF712" i="5"/>
  <c r="AZ712" i="5"/>
  <c r="AR712" i="5"/>
  <c r="AL712" i="5"/>
  <c r="AK712" i="5"/>
  <c r="O712" i="5"/>
  <c r="C712" i="5"/>
  <c r="BM711" i="5"/>
  <c r="BL711" i="5"/>
  <c r="BK711" i="5"/>
  <c r="BI711" i="5"/>
  <c r="BH711" i="5"/>
  <c r="BG711" i="5"/>
  <c r="BF711" i="5"/>
  <c r="AZ711" i="5"/>
  <c r="AU711" i="5"/>
  <c r="AR711" i="5"/>
  <c r="AL711" i="5"/>
  <c r="AJ711" i="5"/>
  <c r="AG711" i="5"/>
  <c r="AG719" i="5" s="1"/>
  <c r="AD711" i="5"/>
  <c r="O711" i="5"/>
  <c r="C711" i="5"/>
  <c r="BP711" i="5" s="1"/>
  <c r="BM710" i="5"/>
  <c r="BL710" i="5"/>
  <c r="BK710" i="5"/>
  <c r="BI710" i="5"/>
  <c r="BH710" i="5"/>
  <c r="BG710" i="5"/>
  <c r="BF710" i="5"/>
  <c r="AZ710" i="5"/>
  <c r="AU710" i="5"/>
  <c r="AR710" i="5"/>
  <c r="AL710" i="5"/>
  <c r="O710" i="5"/>
  <c r="C710" i="5"/>
  <c r="AX709" i="5"/>
  <c r="AR709" i="5"/>
  <c r="AN709" i="5"/>
  <c r="AH709" i="5"/>
  <c r="AE709" i="5"/>
  <c r="AC709" i="5"/>
  <c r="AB709" i="5"/>
  <c r="Y709" i="5"/>
  <c r="V709" i="5"/>
  <c r="AY708" i="5"/>
  <c r="AP708" i="5"/>
  <c r="AO708" i="5"/>
  <c r="AO738" i="5" s="1"/>
  <c r="AJ708" i="5"/>
  <c r="AI708" i="5"/>
  <c r="AI738" i="5" s="1"/>
  <c r="AG708" i="5"/>
  <c r="AF708" i="5"/>
  <c r="AF738" i="5" s="1"/>
  <c r="AD708" i="5"/>
  <c r="AA708" i="5"/>
  <c r="Z708" i="5"/>
  <c r="Z738" i="5" s="1"/>
  <c r="BM707" i="5"/>
  <c r="BK707" i="5"/>
  <c r="BJ707" i="5"/>
  <c r="BI707" i="5"/>
  <c r="BH707" i="5"/>
  <c r="BG707" i="5"/>
  <c r="BF707" i="5"/>
  <c r="AZ707" i="5"/>
  <c r="AU707" i="5"/>
  <c r="BP707" i="5" s="1"/>
  <c r="AR707" i="5"/>
  <c r="AL707" i="5"/>
  <c r="O707" i="5"/>
  <c r="C707" i="5"/>
  <c r="BM706" i="5"/>
  <c r="BL706" i="5"/>
  <c r="BJ706" i="5"/>
  <c r="BI706" i="5"/>
  <c r="BH706" i="5"/>
  <c r="BG706" i="5"/>
  <c r="BF706" i="5"/>
  <c r="AZ706" i="5"/>
  <c r="AU706" i="5"/>
  <c r="BP706" i="5" s="1"/>
  <c r="AR706" i="5"/>
  <c r="AL706" i="5"/>
  <c r="O706" i="5"/>
  <c r="C706" i="5"/>
  <c r="BM705" i="5"/>
  <c r="BL705" i="5"/>
  <c r="BK705" i="5"/>
  <c r="BI705" i="5"/>
  <c r="BH705" i="5"/>
  <c r="BG705" i="5"/>
  <c r="BF705" i="5"/>
  <c r="AZ705" i="5"/>
  <c r="AU705" i="5"/>
  <c r="BP705" i="5" s="1"/>
  <c r="AR705" i="5"/>
  <c r="AL705" i="5"/>
  <c r="O705" i="5"/>
  <c r="C705" i="5"/>
  <c r="AZ704" i="5"/>
  <c r="AU704" i="5"/>
  <c r="BP704" i="5" s="1"/>
  <c r="AR704" i="5"/>
  <c r="AL704" i="5"/>
  <c r="O704" i="5"/>
  <c r="C704" i="5"/>
  <c r="AZ703" i="5"/>
  <c r="AU703" i="5"/>
  <c r="BP703" i="5" s="1"/>
  <c r="AR703" i="5"/>
  <c r="AL703" i="5"/>
  <c r="O703" i="5"/>
  <c r="C703" i="5"/>
  <c r="BM702" i="5"/>
  <c r="BM708" i="5" s="1"/>
  <c r="BM738" i="5" s="1"/>
  <c r="BL702" i="5"/>
  <c r="BL708" i="5" s="1"/>
  <c r="BL738" i="5" s="1"/>
  <c r="BK702" i="5"/>
  <c r="BK708" i="5" s="1"/>
  <c r="BK738" i="5" s="1"/>
  <c r="BI702" i="5"/>
  <c r="BI708" i="5" s="1"/>
  <c r="BI738" i="5" s="1"/>
  <c r="BH702" i="5"/>
  <c r="BH708" i="5" s="1"/>
  <c r="BH738" i="5" s="1"/>
  <c r="BG702" i="5"/>
  <c r="BG708" i="5" s="1"/>
  <c r="BG738" i="5" s="1"/>
  <c r="BF702" i="5"/>
  <c r="AZ702" i="5"/>
  <c r="AU702" i="5"/>
  <c r="AR702" i="5"/>
  <c r="AL702" i="5"/>
  <c r="AL708" i="5" s="1"/>
  <c r="AL738" i="5" s="1"/>
  <c r="O702" i="5"/>
  <c r="C702" i="5"/>
  <c r="AX698" i="5"/>
  <c r="AV698" i="5"/>
  <c r="AR698" i="5"/>
  <c r="AN698" i="5"/>
  <c r="AH698" i="5"/>
  <c r="AE698" i="5"/>
  <c r="AC698" i="5"/>
  <c r="AB698" i="5"/>
  <c r="Y698" i="5"/>
  <c r="W698" i="5"/>
  <c r="AY697" i="5"/>
  <c r="AP697" i="5"/>
  <c r="AO697" i="5"/>
  <c r="AO767" i="5" s="1"/>
  <c r="AJ697" i="5"/>
  <c r="AI697" i="5"/>
  <c r="AG697" i="5"/>
  <c r="AF697" i="5"/>
  <c r="AF767" i="5" s="1"/>
  <c r="AD697" i="5"/>
  <c r="AA697" i="5"/>
  <c r="Z697" i="5"/>
  <c r="Z767" i="5" s="1"/>
  <c r="Z771" i="5" s="1"/>
  <c r="BP696" i="5"/>
  <c r="AW696" i="5"/>
  <c r="AT696" i="5"/>
  <c r="BM695" i="5"/>
  <c r="BK695" i="5"/>
  <c r="BJ695" i="5"/>
  <c r="BI695" i="5"/>
  <c r="BH695" i="5"/>
  <c r="BG695" i="5"/>
  <c r="BF695" i="5"/>
  <c r="AZ695" i="5"/>
  <c r="AU695" i="5"/>
  <c r="AR695" i="5"/>
  <c r="AL695" i="5"/>
  <c r="P695" i="5"/>
  <c r="O695" i="5"/>
  <c r="C695" i="5"/>
  <c r="BM694" i="5"/>
  <c r="BK694" i="5"/>
  <c r="BJ694" i="5"/>
  <c r="BI694" i="5"/>
  <c r="BH694" i="5"/>
  <c r="BG694" i="5"/>
  <c r="BF694" i="5"/>
  <c r="AZ694" i="5"/>
  <c r="AU694" i="5"/>
  <c r="AR694" i="5"/>
  <c r="O694" i="5"/>
  <c r="C694" i="5"/>
  <c r="BM693" i="5"/>
  <c r="BK693" i="5"/>
  <c r="BJ693" i="5"/>
  <c r="BI693" i="5"/>
  <c r="BH693" i="5"/>
  <c r="BG693" i="5"/>
  <c r="BF693" i="5"/>
  <c r="AZ693" i="5"/>
  <c r="AU693" i="5"/>
  <c r="BP693" i="5" s="1"/>
  <c r="AR693" i="5"/>
  <c r="O693" i="5"/>
  <c r="C693" i="5"/>
  <c r="BM692" i="5"/>
  <c r="BK692" i="5"/>
  <c r="BJ692" i="5"/>
  <c r="BI692" i="5"/>
  <c r="BH692" i="5"/>
  <c r="BG692" i="5"/>
  <c r="BF692" i="5"/>
  <c r="AZ692" i="5"/>
  <c r="AU692" i="5"/>
  <c r="BP692" i="5" s="1"/>
  <c r="AR692" i="5"/>
  <c r="O692" i="5"/>
  <c r="C692" i="5"/>
  <c r="BM691" i="5"/>
  <c r="BK691" i="5"/>
  <c r="BJ691" i="5"/>
  <c r="BI691" i="5"/>
  <c r="BH691" i="5"/>
  <c r="BG691" i="5"/>
  <c r="BF691" i="5"/>
  <c r="AZ691" i="5"/>
  <c r="AU691" i="5"/>
  <c r="AR691" i="5"/>
  <c r="O691" i="5"/>
  <c r="C691" i="5"/>
  <c r="BP691" i="5" s="1"/>
  <c r="BM690" i="5"/>
  <c r="BK690" i="5"/>
  <c r="BJ690" i="5"/>
  <c r="BI690" i="5"/>
  <c r="BH690" i="5"/>
  <c r="BG690" i="5"/>
  <c r="BF690" i="5"/>
  <c r="AZ690" i="5"/>
  <c r="AU690" i="5"/>
  <c r="AR690" i="5"/>
  <c r="O690" i="5"/>
  <c r="C690" i="5"/>
  <c r="BM689" i="5"/>
  <c r="BK689" i="5"/>
  <c r="BJ689" i="5"/>
  <c r="BI689" i="5"/>
  <c r="BH689" i="5"/>
  <c r="BG689" i="5"/>
  <c r="BF689" i="5"/>
  <c r="AZ689" i="5"/>
  <c r="AU689" i="5"/>
  <c r="AR689" i="5"/>
  <c r="O689" i="5"/>
  <c r="BM688" i="5"/>
  <c r="BK688" i="5"/>
  <c r="BJ688" i="5"/>
  <c r="BI688" i="5"/>
  <c r="BH688" i="5"/>
  <c r="BG688" i="5"/>
  <c r="BF688" i="5"/>
  <c r="AZ688" i="5"/>
  <c r="AU688" i="5"/>
  <c r="AR688" i="5"/>
  <c r="O688" i="5"/>
  <c r="BM687" i="5"/>
  <c r="BK687" i="5"/>
  <c r="BJ687" i="5"/>
  <c r="BI687" i="5"/>
  <c r="BH687" i="5"/>
  <c r="BG687" i="5"/>
  <c r="BF687" i="5"/>
  <c r="AZ687" i="5"/>
  <c r="AU687" i="5"/>
  <c r="AR687" i="5"/>
  <c r="O687" i="5"/>
  <c r="C687" i="5"/>
  <c r="BP687" i="5" s="1"/>
  <c r="BM686" i="5"/>
  <c r="BK686" i="5"/>
  <c r="BJ686" i="5"/>
  <c r="BI686" i="5"/>
  <c r="BH686" i="5"/>
  <c r="BG686" i="5"/>
  <c r="BF686" i="5"/>
  <c r="AZ686" i="5"/>
  <c r="AU686" i="5"/>
  <c r="BP686" i="5" s="1"/>
  <c r="AR686" i="5"/>
  <c r="O686" i="5"/>
  <c r="C686" i="5"/>
  <c r="BM685" i="5"/>
  <c r="BK685" i="5"/>
  <c r="BJ685" i="5"/>
  <c r="BI685" i="5"/>
  <c r="BH685" i="5"/>
  <c r="BG685" i="5"/>
  <c r="BF685" i="5"/>
  <c r="AZ685" i="5"/>
  <c r="AU685" i="5"/>
  <c r="BP685" i="5" s="1"/>
  <c r="AR685" i="5"/>
  <c r="O685" i="5"/>
  <c r="C685" i="5"/>
  <c r="BM684" i="5"/>
  <c r="BK684" i="5"/>
  <c r="BJ684" i="5"/>
  <c r="BI684" i="5"/>
  <c r="BH684" i="5"/>
  <c r="BG684" i="5"/>
  <c r="BF684" i="5"/>
  <c r="AZ684" i="5"/>
  <c r="AU684" i="5"/>
  <c r="BP684" i="5" s="1"/>
  <c r="AR684" i="5"/>
  <c r="AK684" i="5"/>
  <c r="O684" i="5"/>
  <c r="C684" i="5"/>
  <c r="BP683" i="5"/>
  <c r="BM683" i="5"/>
  <c r="BK683" i="5"/>
  <c r="BJ683" i="5"/>
  <c r="BI683" i="5"/>
  <c r="BH683" i="5"/>
  <c r="BG683" i="5"/>
  <c r="BF683" i="5"/>
  <c r="AZ683" i="5"/>
  <c r="AU683" i="5"/>
  <c r="AR683" i="5"/>
  <c r="O683" i="5"/>
  <c r="C683" i="5"/>
  <c r="BM682" i="5"/>
  <c r="BK682" i="5"/>
  <c r="BJ682" i="5"/>
  <c r="BI682" i="5"/>
  <c r="BH682" i="5"/>
  <c r="BG682" i="5"/>
  <c r="BF682" i="5"/>
  <c r="AZ682" i="5"/>
  <c r="AU682" i="5"/>
  <c r="AR682" i="5"/>
  <c r="AL682" i="5"/>
  <c r="O682" i="5"/>
  <c r="C682" i="5"/>
  <c r="BP682" i="5" s="1"/>
  <c r="BM681" i="5"/>
  <c r="BK681" i="5"/>
  <c r="BJ681" i="5"/>
  <c r="BI681" i="5"/>
  <c r="BH681" i="5"/>
  <c r="BG681" i="5"/>
  <c r="BF681" i="5"/>
  <c r="AZ681" i="5"/>
  <c r="AU681" i="5"/>
  <c r="BP681" i="5" s="1"/>
  <c r="AR681" i="5"/>
  <c r="AL681" i="5"/>
  <c r="C681" i="5"/>
  <c r="BM680" i="5"/>
  <c r="BK680" i="5"/>
  <c r="BK697" i="5" s="1"/>
  <c r="BJ680" i="5"/>
  <c r="BI680" i="5"/>
  <c r="BH680" i="5"/>
  <c r="BG680" i="5"/>
  <c r="BF680" i="5"/>
  <c r="AZ680" i="5"/>
  <c r="AU680" i="5"/>
  <c r="O680" i="5"/>
  <c r="C680" i="5"/>
  <c r="BB670" i="5"/>
  <c r="BB663" i="5"/>
  <c r="W654" i="5"/>
  <c r="AZ651" i="5"/>
  <c r="AY651" i="5"/>
  <c r="AU651" i="5"/>
  <c r="AM651" i="5"/>
  <c r="AJ651" i="5"/>
  <c r="AG651" i="5"/>
  <c r="AD651" i="5"/>
  <c r="C651" i="5"/>
  <c r="BM650" i="5"/>
  <c r="BL650" i="5"/>
  <c r="BK650" i="5"/>
  <c r="BJ650" i="5"/>
  <c r="BI650" i="5"/>
  <c r="BH650" i="5"/>
  <c r="BG650" i="5"/>
  <c r="BF650" i="5"/>
  <c r="T650" i="5"/>
  <c r="U650" i="5" s="1"/>
  <c r="AP650" i="5" s="1"/>
  <c r="BM649" i="5"/>
  <c r="BL649" i="5"/>
  <c r="BK649" i="5"/>
  <c r="BJ649" i="5"/>
  <c r="BI649" i="5"/>
  <c r="BH649" i="5"/>
  <c r="BG649" i="5"/>
  <c r="BF649" i="5"/>
  <c r="T649" i="5"/>
  <c r="BM648" i="5"/>
  <c r="BL648" i="5"/>
  <c r="BK648" i="5"/>
  <c r="BJ648" i="5"/>
  <c r="BI648" i="5"/>
  <c r="BH648" i="5"/>
  <c r="BG648" i="5"/>
  <c r="BF648" i="5"/>
  <c r="AA648" i="5"/>
  <c r="AA651" i="5" s="1"/>
  <c r="T648" i="5"/>
  <c r="U648" i="5" s="1"/>
  <c r="AT648" i="5" s="1"/>
  <c r="BM647" i="5"/>
  <c r="BL647" i="5"/>
  <c r="BK647" i="5"/>
  <c r="BJ647" i="5"/>
  <c r="BI647" i="5"/>
  <c r="BH647" i="5"/>
  <c r="BG647" i="5"/>
  <c r="BF647" i="5"/>
  <c r="T647" i="5"/>
  <c r="AZ642" i="5"/>
  <c r="AY642" i="5"/>
  <c r="AU642" i="5"/>
  <c r="AJ642" i="5"/>
  <c r="AG642" i="5"/>
  <c r="AD642" i="5"/>
  <c r="C642" i="5"/>
  <c r="BM640" i="5"/>
  <c r="BL640" i="5"/>
  <c r="BJ640" i="5"/>
  <c r="BI640" i="5"/>
  <c r="BH640" i="5"/>
  <c r="BG640" i="5"/>
  <c r="BF640" i="5"/>
  <c r="N640" i="5"/>
  <c r="BM639" i="5"/>
  <c r="BL639" i="5"/>
  <c r="BJ639" i="5"/>
  <c r="BI639" i="5"/>
  <c r="BH639" i="5"/>
  <c r="BG639" i="5"/>
  <c r="BF639" i="5"/>
  <c r="N639" i="5"/>
  <c r="BM638" i="5"/>
  <c r="BL638" i="5"/>
  <c r="BJ638" i="5"/>
  <c r="BI638" i="5"/>
  <c r="BH638" i="5"/>
  <c r="BG638" i="5"/>
  <c r="BF638" i="5"/>
  <c r="N638" i="5"/>
  <c r="BM637" i="5"/>
  <c r="BL637" i="5"/>
  <c r="BJ637" i="5"/>
  <c r="BI637" i="5"/>
  <c r="BH637" i="5"/>
  <c r="BG637" i="5"/>
  <c r="BF637" i="5"/>
  <c r="P637" i="5"/>
  <c r="N637" i="5"/>
  <c r="AZ634" i="5"/>
  <c r="AY634" i="5"/>
  <c r="AY644" i="5" s="1"/>
  <c r="AU634" i="5"/>
  <c r="AP634" i="5"/>
  <c r="AJ634" i="5"/>
  <c r="AJ644" i="5" s="1"/>
  <c r="AG634" i="5"/>
  <c r="AD634" i="5"/>
  <c r="AA634" i="5"/>
  <c r="AQ633" i="5"/>
  <c r="BM631" i="5"/>
  <c r="BL631" i="5"/>
  <c r="BJ631" i="5"/>
  <c r="BI631" i="5"/>
  <c r="BH631" i="5"/>
  <c r="BG631" i="5"/>
  <c r="BF631" i="5"/>
  <c r="AR631" i="5"/>
  <c r="AK631" i="5"/>
  <c r="P631" i="5"/>
  <c r="N631" i="5"/>
  <c r="BM630" i="5"/>
  <c r="BL630" i="5"/>
  <c r="BK630" i="5"/>
  <c r="BI630" i="5"/>
  <c r="BH630" i="5"/>
  <c r="BG630" i="5"/>
  <c r="BF630" i="5"/>
  <c r="AR630" i="5"/>
  <c r="AK630" i="5"/>
  <c r="P630" i="5"/>
  <c r="N630" i="5"/>
  <c r="C630" i="5"/>
  <c r="BM629" i="5"/>
  <c r="BL629" i="5"/>
  <c r="BK629" i="5"/>
  <c r="BI629" i="5"/>
  <c r="BH629" i="5"/>
  <c r="BG629" i="5"/>
  <c r="BF629" i="5"/>
  <c r="AR629" i="5"/>
  <c r="P629" i="5"/>
  <c r="N629" i="5"/>
  <c r="BM628" i="5"/>
  <c r="BK628" i="5"/>
  <c r="BJ628" i="5"/>
  <c r="BI628" i="5"/>
  <c r="BH628" i="5"/>
  <c r="BG628" i="5"/>
  <c r="BF628" i="5"/>
  <c r="AR628" i="5"/>
  <c r="AK628" i="5"/>
  <c r="P628" i="5"/>
  <c r="N628" i="5"/>
  <c r="BM627" i="5"/>
  <c r="BK627" i="5"/>
  <c r="BJ627" i="5"/>
  <c r="BI627" i="5"/>
  <c r="BH627" i="5"/>
  <c r="BG627" i="5"/>
  <c r="BF627" i="5"/>
  <c r="AR627" i="5"/>
  <c r="P627" i="5"/>
  <c r="N627" i="5"/>
  <c r="C627" i="5"/>
  <c r="C634" i="5" s="1"/>
  <c r="C644" i="5" s="1"/>
  <c r="AZ622" i="5"/>
  <c r="AY622" i="5"/>
  <c r="AU622" i="5"/>
  <c r="AP622" i="5"/>
  <c r="AQ621" i="5"/>
  <c r="AR620" i="5"/>
  <c r="P620" i="5"/>
  <c r="N620" i="5"/>
  <c r="BM619" i="5"/>
  <c r="BL619" i="5"/>
  <c r="BJ619" i="5"/>
  <c r="BI619" i="5"/>
  <c r="BH619" i="5"/>
  <c r="BG619" i="5"/>
  <c r="BF619" i="5"/>
  <c r="AR619" i="5"/>
  <c r="P619" i="5"/>
  <c r="N619" i="5"/>
  <c r="AR618" i="5"/>
  <c r="P618" i="5"/>
  <c r="N618" i="5"/>
  <c r="AR617" i="5"/>
  <c r="AK617" i="5"/>
  <c r="AJ617" i="5"/>
  <c r="AJ622" i="5" s="1"/>
  <c r="AG617" i="5"/>
  <c r="AG622" i="5" s="1"/>
  <c r="AD617" i="5"/>
  <c r="AD622" i="5" s="1"/>
  <c r="P617" i="5"/>
  <c r="N617" i="5"/>
  <c r="C617" i="5"/>
  <c r="C622" i="5" s="1"/>
  <c r="AZ615" i="5"/>
  <c r="AZ731" i="5" s="1"/>
  <c r="AY615" i="5"/>
  <c r="AU615" i="5"/>
  <c r="AP615" i="5"/>
  <c r="AO615" i="5"/>
  <c r="AL615" i="5"/>
  <c r="AI615" i="5"/>
  <c r="AF615" i="5"/>
  <c r="Z615" i="5"/>
  <c r="AQ614" i="5"/>
  <c r="AR613" i="5"/>
  <c r="N613" i="5"/>
  <c r="AR612" i="5"/>
  <c r="P612" i="5"/>
  <c r="N612" i="5"/>
  <c r="C612" i="5"/>
  <c r="AR611" i="5"/>
  <c r="P611" i="5"/>
  <c r="N611" i="5"/>
  <c r="C611" i="5"/>
  <c r="AR610" i="5"/>
  <c r="P610" i="5"/>
  <c r="N610" i="5"/>
  <c r="AR609" i="5"/>
  <c r="P609" i="5"/>
  <c r="N609" i="5"/>
  <c r="AR608" i="5"/>
  <c r="AK608" i="5"/>
  <c r="AJ608" i="5"/>
  <c r="AJ615" i="5" s="1"/>
  <c r="AG608" i="5"/>
  <c r="AG615" i="5" s="1"/>
  <c r="AD608" i="5"/>
  <c r="AD615" i="5" s="1"/>
  <c r="P608" i="5"/>
  <c r="N608" i="5"/>
  <c r="C608" i="5"/>
  <c r="AZ604" i="5"/>
  <c r="AY604" i="5"/>
  <c r="AU604" i="5"/>
  <c r="C604" i="5"/>
  <c r="BM603" i="5"/>
  <c r="BL603" i="5"/>
  <c r="BK603" i="5"/>
  <c r="AQ603" i="5"/>
  <c r="BM602" i="5"/>
  <c r="BL602" i="5"/>
  <c r="BK602" i="5"/>
  <c r="BI602" i="5"/>
  <c r="BH602" i="5"/>
  <c r="BG602" i="5"/>
  <c r="BF602" i="5"/>
  <c r="P602" i="5"/>
  <c r="N602" i="5"/>
  <c r="BM601" i="5"/>
  <c r="BL601" i="5"/>
  <c r="BK601" i="5"/>
  <c r="BI601" i="5"/>
  <c r="BH601" i="5"/>
  <c r="BG601" i="5"/>
  <c r="BF601" i="5"/>
  <c r="AR601" i="5"/>
  <c r="N601" i="5"/>
  <c r="BM600" i="5"/>
  <c r="BL600" i="5"/>
  <c r="BK600" i="5"/>
  <c r="BI600" i="5"/>
  <c r="BH600" i="5"/>
  <c r="BG600" i="5"/>
  <c r="BF600" i="5"/>
  <c r="AR600" i="5"/>
  <c r="N600" i="5"/>
  <c r="BM599" i="5"/>
  <c r="BL599" i="5"/>
  <c r="BK599" i="5"/>
  <c r="BI599" i="5"/>
  <c r="BH599" i="5"/>
  <c r="BG599" i="5"/>
  <c r="BF599" i="5"/>
  <c r="AR599" i="5"/>
  <c r="AK599" i="5"/>
  <c r="P599" i="5"/>
  <c r="N599" i="5"/>
  <c r="BM598" i="5"/>
  <c r="BL598" i="5"/>
  <c r="BK598" i="5"/>
  <c r="BI598" i="5"/>
  <c r="BH598" i="5"/>
  <c r="BG598" i="5"/>
  <c r="BF598" i="5"/>
  <c r="AR598" i="5"/>
  <c r="AK598" i="5"/>
  <c r="AJ598" i="5"/>
  <c r="AG598" i="5"/>
  <c r="AD598" i="5"/>
  <c r="P598" i="5"/>
  <c r="N598" i="5"/>
  <c r="BM597" i="5"/>
  <c r="BL597" i="5"/>
  <c r="BK597" i="5"/>
  <c r="BI597" i="5"/>
  <c r="BH597" i="5"/>
  <c r="BG597" i="5"/>
  <c r="BF597" i="5"/>
  <c r="AR597" i="5"/>
  <c r="AK597" i="5"/>
  <c r="P597" i="5"/>
  <c r="N597" i="5"/>
  <c r="BM596" i="5"/>
  <c r="BL596" i="5"/>
  <c r="BK596" i="5"/>
  <c r="BI596" i="5"/>
  <c r="BH596" i="5"/>
  <c r="BG596" i="5"/>
  <c r="BF596" i="5"/>
  <c r="AR596" i="5"/>
  <c r="AJ596" i="5"/>
  <c r="AJ604" i="5" s="1"/>
  <c r="AG596" i="5"/>
  <c r="AD596" i="5"/>
  <c r="P596" i="5"/>
  <c r="N596" i="5"/>
  <c r="BM595" i="5"/>
  <c r="BL595" i="5"/>
  <c r="BK595" i="5"/>
  <c r="BI595" i="5"/>
  <c r="BH595" i="5"/>
  <c r="BG595" i="5"/>
  <c r="BF595" i="5"/>
  <c r="AR595" i="5"/>
  <c r="P595" i="5"/>
  <c r="N595" i="5"/>
  <c r="AZ593" i="5"/>
  <c r="AU593" i="5"/>
  <c r="AP593" i="5"/>
  <c r="AO593" i="5"/>
  <c r="AL593" i="5"/>
  <c r="AJ593" i="5"/>
  <c r="AI593" i="5"/>
  <c r="AG593" i="5"/>
  <c r="AF593" i="5"/>
  <c r="AD593" i="5"/>
  <c r="Z593" i="5"/>
  <c r="W593" i="5"/>
  <c r="C593" i="5"/>
  <c r="BM592" i="5"/>
  <c r="BK592" i="5"/>
  <c r="BJ592" i="5"/>
  <c r="BI592" i="5"/>
  <c r="BH592" i="5"/>
  <c r="BG592" i="5"/>
  <c r="BF592" i="5"/>
  <c r="AR592" i="5"/>
  <c r="P592" i="5"/>
  <c r="N592" i="5"/>
  <c r="BM591" i="5"/>
  <c r="BL591" i="5"/>
  <c r="BJ591" i="5"/>
  <c r="BI591" i="5"/>
  <c r="BH591" i="5"/>
  <c r="BG591" i="5"/>
  <c r="BF591" i="5"/>
  <c r="AR591" i="5"/>
  <c r="P591" i="5"/>
  <c r="N591" i="5"/>
  <c r="BM590" i="5"/>
  <c r="BL590" i="5"/>
  <c r="BK590" i="5"/>
  <c r="BI590" i="5"/>
  <c r="BH590" i="5"/>
  <c r="BG590" i="5"/>
  <c r="BF590" i="5"/>
  <c r="AR590" i="5"/>
  <c r="P590" i="5"/>
  <c r="N590" i="5"/>
  <c r="AR589" i="5"/>
  <c r="P589" i="5"/>
  <c r="N589" i="5"/>
  <c r="AR588" i="5"/>
  <c r="P588" i="5"/>
  <c r="N588" i="5"/>
  <c r="BM587" i="5"/>
  <c r="BM593" i="5" s="1"/>
  <c r="BM623" i="5" s="1"/>
  <c r="BL587" i="5"/>
  <c r="BL593" i="5" s="1"/>
  <c r="BL623" i="5" s="1"/>
  <c r="BK587" i="5"/>
  <c r="BK593" i="5" s="1"/>
  <c r="BK623" i="5" s="1"/>
  <c r="BI587" i="5"/>
  <c r="BI593" i="5" s="1"/>
  <c r="BI623" i="5" s="1"/>
  <c r="BH587" i="5"/>
  <c r="BH593" i="5" s="1"/>
  <c r="BH623" i="5" s="1"/>
  <c r="BG587" i="5"/>
  <c r="BG593" i="5" s="1"/>
  <c r="BG623" i="5" s="1"/>
  <c r="BF587" i="5"/>
  <c r="BF593" i="5" s="1"/>
  <c r="BF623" i="5" s="1"/>
  <c r="AR587" i="5"/>
  <c r="P587" i="5"/>
  <c r="N587" i="5"/>
  <c r="AZ582" i="5"/>
  <c r="AU582" i="5"/>
  <c r="AP582" i="5"/>
  <c r="AO582" i="5"/>
  <c r="AL582" i="5"/>
  <c r="AJ582" i="5"/>
  <c r="AI582" i="5"/>
  <c r="AG582" i="5"/>
  <c r="AF582" i="5"/>
  <c r="AD582" i="5"/>
  <c r="AA582" i="5"/>
  <c r="Z582" i="5"/>
  <c r="AM581" i="5"/>
  <c r="AQ581" i="5" s="1"/>
  <c r="BM580" i="5"/>
  <c r="BK580" i="5"/>
  <c r="BJ580" i="5"/>
  <c r="BI580" i="5"/>
  <c r="BH580" i="5"/>
  <c r="BG580" i="5"/>
  <c r="BF580" i="5"/>
  <c r="AR580" i="5"/>
  <c r="N580" i="5"/>
  <c r="BM579" i="5"/>
  <c r="BK579" i="5"/>
  <c r="BJ579" i="5"/>
  <c r="BI579" i="5"/>
  <c r="BH579" i="5"/>
  <c r="BG579" i="5"/>
  <c r="BF579" i="5"/>
  <c r="AR579" i="5"/>
  <c r="R579" i="5"/>
  <c r="P579" i="5"/>
  <c r="N579" i="5"/>
  <c r="BM578" i="5"/>
  <c r="BK578" i="5"/>
  <c r="BJ578" i="5"/>
  <c r="BI578" i="5"/>
  <c r="BH578" i="5"/>
  <c r="BG578" i="5"/>
  <c r="BF578" i="5"/>
  <c r="AR578" i="5"/>
  <c r="P578" i="5"/>
  <c r="N578" i="5"/>
  <c r="BM577" i="5"/>
  <c r="BK577" i="5"/>
  <c r="BJ577" i="5"/>
  <c r="BI577" i="5"/>
  <c r="BH577" i="5"/>
  <c r="BG577" i="5"/>
  <c r="BF577" i="5"/>
  <c r="AR577" i="5"/>
  <c r="P577" i="5"/>
  <c r="N577" i="5"/>
  <c r="BM576" i="5"/>
  <c r="BK576" i="5"/>
  <c r="BJ576" i="5"/>
  <c r="BI576" i="5"/>
  <c r="BH576" i="5"/>
  <c r="BG576" i="5"/>
  <c r="BF576" i="5"/>
  <c r="AR576" i="5"/>
  <c r="P576" i="5"/>
  <c r="N576" i="5"/>
  <c r="BM575" i="5"/>
  <c r="BK575" i="5"/>
  <c r="BJ575" i="5"/>
  <c r="BI575" i="5"/>
  <c r="BH575" i="5"/>
  <c r="BG575" i="5"/>
  <c r="BF575" i="5"/>
  <c r="AR575" i="5"/>
  <c r="P575" i="5"/>
  <c r="N575" i="5"/>
  <c r="BM574" i="5"/>
  <c r="BK574" i="5"/>
  <c r="BJ574" i="5"/>
  <c r="BI574" i="5"/>
  <c r="BH574" i="5"/>
  <c r="BG574" i="5"/>
  <c r="BF574" i="5"/>
  <c r="AR574" i="5"/>
  <c r="P574" i="5"/>
  <c r="N574" i="5"/>
  <c r="C574" i="5"/>
  <c r="BM573" i="5"/>
  <c r="BK573" i="5"/>
  <c r="BJ573" i="5"/>
  <c r="BI573" i="5"/>
  <c r="BH573" i="5"/>
  <c r="BG573" i="5"/>
  <c r="BF573" i="5"/>
  <c r="AR573" i="5"/>
  <c r="P573" i="5"/>
  <c r="N573" i="5"/>
  <c r="C573" i="5"/>
  <c r="C582" i="5" s="1"/>
  <c r="BM572" i="5"/>
  <c r="BK572" i="5"/>
  <c r="BJ572" i="5"/>
  <c r="BI572" i="5"/>
  <c r="BH572" i="5"/>
  <c r="BG572" i="5"/>
  <c r="BF572" i="5"/>
  <c r="AR572" i="5"/>
  <c r="P572" i="5"/>
  <c r="N572" i="5"/>
  <c r="BM571" i="5"/>
  <c r="BK571" i="5"/>
  <c r="BJ571" i="5"/>
  <c r="BI571" i="5"/>
  <c r="BH571" i="5"/>
  <c r="BG571" i="5"/>
  <c r="BF571" i="5"/>
  <c r="AR571" i="5"/>
  <c r="P571" i="5"/>
  <c r="N571" i="5"/>
  <c r="BM570" i="5"/>
  <c r="BK570" i="5"/>
  <c r="BJ570" i="5"/>
  <c r="BI570" i="5"/>
  <c r="BH570" i="5"/>
  <c r="BG570" i="5"/>
  <c r="BF570" i="5"/>
  <c r="AR570" i="5"/>
  <c r="P570" i="5"/>
  <c r="N570" i="5"/>
  <c r="BM569" i="5"/>
  <c r="BK569" i="5"/>
  <c r="BJ569" i="5"/>
  <c r="BI569" i="5"/>
  <c r="BH569" i="5"/>
  <c r="BG569" i="5"/>
  <c r="BF569" i="5"/>
  <c r="AR569" i="5"/>
  <c r="AK569" i="5"/>
  <c r="P569" i="5"/>
  <c r="N569" i="5"/>
  <c r="BM568" i="5"/>
  <c r="BK568" i="5"/>
  <c r="BJ568" i="5"/>
  <c r="BI568" i="5"/>
  <c r="BH568" i="5"/>
  <c r="BG568" i="5"/>
  <c r="BF568" i="5"/>
  <c r="AR568" i="5"/>
  <c r="P568" i="5"/>
  <c r="N568" i="5"/>
  <c r="BM567" i="5"/>
  <c r="BK567" i="5"/>
  <c r="BJ567" i="5"/>
  <c r="BI567" i="5"/>
  <c r="BH567" i="5"/>
  <c r="BG567" i="5"/>
  <c r="BF567" i="5"/>
  <c r="AR567" i="5"/>
  <c r="P567" i="5"/>
  <c r="N567" i="5"/>
  <c r="BM566" i="5"/>
  <c r="BK566" i="5"/>
  <c r="BJ566" i="5"/>
  <c r="BI566" i="5"/>
  <c r="BH566" i="5"/>
  <c r="BG566" i="5"/>
  <c r="BF566" i="5"/>
  <c r="AR566" i="5"/>
  <c r="P566" i="5"/>
  <c r="O566" i="5"/>
  <c r="N566" i="5"/>
  <c r="BM565" i="5"/>
  <c r="BK565" i="5"/>
  <c r="BJ565" i="5"/>
  <c r="BI565" i="5"/>
  <c r="BH565" i="5"/>
  <c r="BG565" i="5"/>
  <c r="BF565" i="5"/>
  <c r="AS565" i="5"/>
  <c r="R565" i="5"/>
  <c r="R608" i="5" s="1"/>
  <c r="P565" i="5"/>
  <c r="N565" i="5"/>
  <c r="M559" i="5"/>
  <c r="M569" i="5" s="1"/>
  <c r="M587" i="5" s="1"/>
  <c r="BB558" i="5"/>
  <c r="W549" i="5"/>
  <c r="AZ546" i="5"/>
  <c r="AY546" i="5"/>
  <c r="AU546" i="5"/>
  <c r="AM546" i="5"/>
  <c r="AJ546" i="5"/>
  <c r="AG546" i="5"/>
  <c r="AD546" i="5"/>
  <c r="C546" i="5"/>
  <c r="BM545" i="5"/>
  <c r="BL545" i="5"/>
  <c r="BK545" i="5"/>
  <c r="BI545" i="5"/>
  <c r="BH545" i="5"/>
  <c r="BG545" i="5"/>
  <c r="BF545" i="5"/>
  <c r="AN545" i="5"/>
  <c r="T545" i="5"/>
  <c r="U545" i="5" s="1"/>
  <c r="R545" i="5"/>
  <c r="BM544" i="5"/>
  <c r="BK544" i="5"/>
  <c r="BJ544" i="5"/>
  <c r="BI544" i="5"/>
  <c r="BH544" i="5"/>
  <c r="BG544" i="5"/>
  <c r="BF544" i="5"/>
  <c r="T544" i="5"/>
  <c r="BM543" i="5"/>
  <c r="BL543" i="5"/>
  <c r="BK543" i="5"/>
  <c r="BI543" i="5"/>
  <c r="BH543" i="5"/>
  <c r="BG543" i="5"/>
  <c r="BF543" i="5"/>
  <c r="T543" i="5"/>
  <c r="U543" i="5" s="1"/>
  <c r="R543" i="5"/>
  <c r="BM542" i="5"/>
  <c r="BL542" i="5"/>
  <c r="BJ542" i="5"/>
  <c r="BI542" i="5"/>
  <c r="BH542" i="5"/>
  <c r="BG542" i="5"/>
  <c r="BF542" i="5"/>
  <c r="T542" i="5"/>
  <c r="R542" i="5"/>
  <c r="AG539" i="5"/>
  <c r="AZ537" i="5"/>
  <c r="AY537" i="5"/>
  <c r="AU537" i="5"/>
  <c r="AJ537" i="5"/>
  <c r="AG537" i="5"/>
  <c r="AD537" i="5"/>
  <c r="C537" i="5"/>
  <c r="BM535" i="5"/>
  <c r="BL535" i="5"/>
  <c r="BJ535" i="5"/>
  <c r="BI535" i="5"/>
  <c r="BH535" i="5"/>
  <c r="BG535" i="5"/>
  <c r="BF535" i="5"/>
  <c r="R535" i="5"/>
  <c r="N535" i="5"/>
  <c r="BM534" i="5"/>
  <c r="BL534" i="5"/>
  <c r="BJ534" i="5"/>
  <c r="BI534" i="5"/>
  <c r="BH534" i="5"/>
  <c r="BG534" i="5"/>
  <c r="BF534" i="5"/>
  <c r="R534" i="5"/>
  <c r="N534" i="5"/>
  <c r="BM533" i="5"/>
  <c r="BL533" i="5"/>
  <c r="BJ533" i="5"/>
  <c r="BI533" i="5"/>
  <c r="BH533" i="5"/>
  <c r="BG533" i="5"/>
  <c r="BF533" i="5"/>
  <c r="R533" i="5"/>
  <c r="N533" i="5"/>
  <c r="BM532" i="5"/>
  <c r="BL532" i="5"/>
  <c r="BJ532" i="5"/>
  <c r="BI532" i="5"/>
  <c r="BH532" i="5"/>
  <c r="BG532" i="5"/>
  <c r="BF532" i="5"/>
  <c r="R532" i="5"/>
  <c r="P532" i="5"/>
  <c r="N532" i="5"/>
  <c r="AZ529" i="5"/>
  <c r="AZ539" i="5" s="1"/>
  <c r="AY529" i="5"/>
  <c r="AY539" i="5" s="1"/>
  <c r="AU529" i="5"/>
  <c r="AU539" i="5" s="1"/>
  <c r="AP529" i="5"/>
  <c r="AJ529" i="5"/>
  <c r="AJ539" i="5" s="1"/>
  <c r="AG529" i="5"/>
  <c r="AD529" i="5"/>
  <c r="AD539" i="5" s="1"/>
  <c r="AA529" i="5"/>
  <c r="AM528" i="5"/>
  <c r="AQ528" i="5" s="1"/>
  <c r="BM526" i="5"/>
  <c r="BL526" i="5"/>
  <c r="BJ526" i="5"/>
  <c r="BI526" i="5"/>
  <c r="BH526" i="5"/>
  <c r="BG526" i="5"/>
  <c r="BF526" i="5"/>
  <c r="AR526" i="5"/>
  <c r="AK526" i="5"/>
  <c r="R526" i="5"/>
  <c r="P526" i="5"/>
  <c r="N526" i="5"/>
  <c r="BM525" i="5"/>
  <c r="BL525" i="5"/>
  <c r="BK525" i="5"/>
  <c r="BI525" i="5"/>
  <c r="BH525" i="5"/>
  <c r="BG525" i="5"/>
  <c r="BF525" i="5"/>
  <c r="AR525" i="5"/>
  <c r="AK525" i="5"/>
  <c r="R525" i="5"/>
  <c r="P525" i="5"/>
  <c r="N525" i="5"/>
  <c r="C525" i="5"/>
  <c r="BM524" i="5"/>
  <c r="BL524" i="5"/>
  <c r="BK524" i="5"/>
  <c r="BI524" i="5"/>
  <c r="BH524" i="5"/>
  <c r="BG524" i="5"/>
  <c r="BF524" i="5"/>
  <c r="AR524" i="5"/>
  <c r="R524" i="5"/>
  <c r="P524" i="5"/>
  <c r="N524" i="5"/>
  <c r="BM523" i="5"/>
  <c r="BK523" i="5"/>
  <c r="BJ523" i="5"/>
  <c r="BI523" i="5"/>
  <c r="BH523" i="5"/>
  <c r="BG523" i="5"/>
  <c r="BF523" i="5"/>
  <c r="AR523" i="5"/>
  <c r="AK523" i="5"/>
  <c r="R523" i="5"/>
  <c r="P523" i="5"/>
  <c r="N523" i="5"/>
  <c r="BM522" i="5"/>
  <c r="BK522" i="5"/>
  <c r="BJ522" i="5"/>
  <c r="BI522" i="5"/>
  <c r="BI539" i="5" s="1"/>
  <c r="BH522" i="5"/>
  <c r="BG522" i="5"/>
  <c r="BF522" i="5"/>
  <c r="AR522" i="5"/>
  <c r="R522" i="5"/>
  <c r="P522" i="5"/>
  <c r="N522" i="5"/>
  <c r="C522" i="5"/>
  <c r="C529" i="5" s="1"/>
  <c r="AZ517" i="5"/>
  <c r="AY517" i="5"/>
  <c r="AU517" i="5"/>
  <c r="AP517" i="5"/>
  <c r="AQ516" i="5"/>
  <c r="AR515" i="5"/>
  <c r="R515" i="5"/>
  <c r="P515" i="5"/>
  <c r="N515" i="5"/>
  <c r="BM514" i="5"/>
  <c r="BL514" i="5"/>
  <c r="BJ514" i="5"/>
  <c r="BI514" i="5"/>
  <c r="BH514" i="5"/>
  <c r="BG514" i="5"/>
  <c r="BF514" i="5"/>
  <c r="AR514" i="5"/>
  <c r="R514" i="5"/>
  <c r="P514" i="5"/>
  <c r="N514" i="5"/>
  <c r="AR513" i="5"/>
  <c r="R513" i="5"/>
  <c r="P513" i="5"/>
  <c r="N513" i="5"/>
  <c r="AR512" i="5"/>
  <c r="AK512" i="5"/>
  <c r="AJ512" i="5"/>
  <c r="AJ517" i="5" s="1"/>
  <c r="AG512" i="5"/>
  <c r="AG517" i="5" s="1"/>
  <c r="AD512" i="5"/>
  <c r="AD517" i="5" s="1"/>
  <c r="R512" i="5"/>
  <c r="P512" i="5"/>
  <c r="N512" i="5"/>
  <c r="C512" i="5"/>
  <c r="C517" i="5" s="1"/>
  <c r="AZ510" i="5"/>
  <c r="AY510" i="5"/>
  <c r="AU510" i="5"/>
  <c r="AP510" i="5"/>
  <c r="AO510" i="5"/>
  <c r="AL510" i="5"/>
  <c r="AI510" i="5"/>
  <c r="AF510" i="5"/>
  <c r="Z510" i="5"/>
  <c r="AQ509" i="5"/>
  <c r="AR508" i="5"/>
  <c r="R508" i="5"/>
  <c r="N508" i="5"/>
  <c r="AR507" i="5"/>
  <c r="R507" i="5"/>
  <c r="P507" i="5"/>
  <c r="N507" i="5"/>
  <c r="C507" i="5"/>
  <c r="AR506" i="5"/>
  <c r="R506" i="5"/>
  <c r="P506" i="5"/>
  <c r="N506" i="5"/>
  <c r="C506" i="5"/>
  <c r="AR505" i="5"/>
  <c r="R505" i="5"/>
  <c r="P505" i="5"/>
  <c r="N505" i="5"/>
  <c r="AR504" i="5"/>
  <c r="R504" i="5"/>
  <c r="P504" i="5"/>
  <c r="N504" i="5"/>
  <c r="AR503" i="5"/>
  <c r="AK503" i="5"/>
  <c r="AJ503" i="5"/>
  <c r="AJ510" i="5" s="1"/>
  <c r="AG503" i="5"/>
  <c r="AG510" i="5" s="1"/>
  <c r="AD503" i="5"/>
  <c r="AD510" i="5" s="1"/>
  <c r="R503" i="5"/>
  <c r="P503" i="5"/>
  <c r="N503" i="5"/>
  <c r="C503" i="5"/>
  <c r="C510" i="5" s="1"/>
  <c r="AZ499" i="5"/>
  <c r="AY499" i="5"/>
  <c r="AU499" i="5"/>
  <c r="C499" i="5"/>
  <c r="BM498" i="5"/>
  <c r="BL498" i="5"/>
  <c r="BK498" i="5"/>
  <c r="AQ498" i="5"/>
  <c r="BM497" i="5"/>
  <c r="BL497" i="5"/>
  <c r="BK497" i="5"/>
  <c r="BI497" i="5"/>
  <c r="BH497" i="5"/>
  <c r="BG497" i="5"/>
  <c r="BF497" i="5"/>
  <c r="R497" i="5"/>
  <c r="P497" i="5"/>
  <c r="N497" i="5"/>
  <c r="BM496" i="5"/>
  <c r="BL496" i="5"/>
  <c r="BK496" i="5"/>
  <c r="BI496" i="5"/>
  <c r="BH496" i="5"/>
  <c r="BG496" i="5"/>
  <c r="BF496" i="5"/>
  <c r="AR496" i="5"/>
  <c r="R496" i="5"/>
  <c r="N496" i="5"/>
  <c r="BM495" i="5"/>
  <c r="BL495" i="5"/>
  <c r="BK495" i="5"/>
  <c r="BI495" i="5"/>
  <c r="BH495" i="5"/>
  <c r="BG495" i="5"/>
  <c r="BF495" i="5"/>
  <c r="AR495" i="5"/>
  <c r="R495" i="5"/>
  <c r="N495" i="5"/>
  <c r="BM494" i="5"/>
  <c r="BL494" i="5"/>
  <c r="BK494" i="5"/>
  <c r="BI494" i="5"/>
  <c r="BH494" i="5"/>
  <c r="BG494" i="5"/>
  <c r="BF494" i="5"/>
  <c r="AR494" i="5"/>
  <c r="AK494" i="5"/>
  <c r="R494" i="5"/>
  <c r="P494" i="5"/>
  <c r="N494" i="5"/>
  <c r="BM493" i="5"/>
  <c r="BL493" i="5"/>
  <c r="BK493" i="5"/>
  <c r="BI493" i="5"/>
  <c r="BH493" i="5"/>
  <c r="BG493" i="5"/>
  <c r="BF493" i="5"/>
  <c r="AR493" i="5"/>
  <c r="AK493" i="5"/>
  <c r="AJ493" i="5"/>
  <c r="AG493" i="5"/>
  <c r="AD493" i="5"/>
  <c r="R493" i="5"/>
  <c r="P493" i="5"/>
  <c r="N493" i="5"/>
  <c r="BM492" i="5"/>
  <c r="BL492" i="5"/>
  <c r="BK492" i="5"/>
  <c r="BI492" i="5"/>
  <c r="BH492" i="5"/>
  <c r="BG492" i="5"/>
  <c r="BF492" i="5"/>
  <c r="AR492" i="5"/>
  <c r="AK492" i="5"/>
  <c r="R492" i="5"/>
  <c r="P492" i="5"/>
  <c r="N492" i="5"/>
  <c r="BM491" i="5"/>
  <c r="BL491" i="5"/>
  <c r="BK491" i="5"/>
  <c r="BI491" i="5"/>
  <c r="BH491" i="5"/>
  <c r="BG491" i="5"/>
  <c r="BF491" i="5"/>
  <c r="AR491" i="5"/>
  <c r="AJ491" i="5"/>
  <c r="AJ499" i="5" s="1"/>
  <c r="AG491" i="5"/>
  <c r="AG499" i="5" s="1"/>
  <c r="AD491" i="5"/>
  <c r="AD499" i="5" s="1"/>
  <c r="R491" i="5"/>
  <c r="P491" i="5"/>
  <c r="N491" i="5"/>
  <c r="BM490" i="5"/>
  <c r="BL490" i="5"/>
  <c r="BK490" i="5"/>
  <c r="BI490" i="5"/>
  <c r="BI499" i="5" s="1"/>
  <c r="BH490" i="5"/>
  <c r="BG490" i="5"/>
  <c r="BF490" i="5"/>
  <c r="AR490" i="5"/>
  <c r="R490" i="5"/>
  <c r="P490" i="5"/>
  <c r="N490" i="5"/>
  <c r="AZ488" i="5"/>
  <c r="AZ518" i="5" s="1"/>
  <c r="AU488" i="5"/>
  <c r="AP488" i="5"/>
  <c r="AO488" i="5"/>
  <c r="AO518" i="5" s="1"/>
  <c r="AL488" i="5"/>
  <c r="AJ488" i="5"/>
  <c r="AI488" i="5"/>
  <c r="AI518" i="5" s="1"/>
  <c r="AG488" i="5"/>
  <c r="AF488" i="5"/>
  <c r="AF518" i="5" s="1"/>
  <c r="AD488" i="5"/>
  <c r="Z488" i="5"/>
  <c r="Z518" i="5" s="1"/>
  <c r="W488" i="5"/>
  <c r="C488" i="5"/>
  <c r="BM487" i="5"/>
  <c r="BK487" i="5"/>
  <c r="BJ487" i="5"/>
  <c r="BI487" i="5"/>
  <c r="BH487" i="5"/>
  <c r="BG487" i="5"/>
  <c r="BF487" i="5"/>
  <c r="AR487" i="5"/>
  <c r="R487" i="5"/>
  <c r="P487" i="5"/>
  <c r="N487" i="5"/>
  <c r="BM486" i="5"/>
  <c r="BL486" i="5"/>
  <c r="BJ486" i="5"/>
  <c r="BI486" i="5"/>
  <c r="BH486" i="5"/>
  <c r="BG486" i="5"/>
  <c r="BF486" i="5"/>
  <c r="AR486" i="5"/>
  <c r="R486" i="5"/>
  <c r="P486" i="5"/>
  <c r="N486" i="5"/>
  <c r="BM485" i="5"/>
  <c r="BL485" i="5"/>
  <c r="BL488" i="5" s="1"/>
  <c r="BL518" i="5" s="1"/>
  <c r="BK485" i="5"/>
  <c r="BI485" i="5"/>
  <c r="BH485" i="5"/>
  <c r="BG485" i="5"/>
  <c r="BF485" i="5"/>
  <c r="AR485" i="5"/>
  <c r="R485" i="5"/>
  <c r="P485" i="5"/>
  <c r="N485" i="5"/>
  <c r="AR484" i="5"/>
  <c r="R484" i="5"/>
  <c r="P484" i="5"/>
  <c r="N484" i="5"/>
  <c r="AR483" i="5"/>
  <c r="R483" i="5"/>
  <c r="P483" i="5"/>
  <c r="N483" i="5"/>
  <c r="BM482" i="5"/>
  <c r="BL482" i="5"/>
  <c r="BK482" i="5"/>
  <c r="BK488" i="5" s="1"/>
  <c r="BK518" i="5" s="1"/>
  <c r="BI482" i="5"/>
  <c r="BH482" i="5"/>
  <c r="BG482" i="5"/>
  <c r="BF482" i="5"/>
  <c r="BF488" i="5" s="1"/>
  <c r="BF518" i="5" s="1"/>
  <c r="AR482" i="5"/>
  <c r="R482" i="5"/>
  <c r="P482" i="5"/>
  <c r="N482" i="5"/>
  <c r="AZ477" i="5"/>
  <c r="AU477" i="5"/>
  <c r="AP477" i="5"/>
  <c r="AO477" i="5"/>
  <c r="AL477" i="5"/>
  <c r="AJ477" i="5"/>
  <c r="AI477" i="5"/>
  <c r="AG477" i="5"/>
  <c r="AF477" i="5"/>
  <c r="AD477" i="5"/>
  <c r="AA477" i="5"/>
  <c r="Z477" i="5"/>
  <c r="Z549" i="5" s="1"/>
  <c r="AM476" i="5"/>
  <c r="AQ476" i="5" s="1"/>
  <c r="BM475" i="5"/>
  <c r="BK475" i="5"/>
  <c r="BJ475" i="5"/>
  <c r="BI475" i="5"/>
  <c r="BH475" i="5"/>
  <c r="BG475" i="5"/>
  <c r="BF475" i="5"/>
  <c r="AR475" i="5"/>
  <c r="R475" i="5"/>
  <c r="N475" i="5"/>
  <c r="BM474" i="5"/>
  <c r="BK474" i="5"/>
  <c r="BJ474" i="5"/>
  <c r="BI474" i="5"/>
  <c r="BH474" i="5"/>
  <c r="BG474" i="5"/>
  <c r="BF474" i="5"/>
  <c r="AR474" i="5"/>
  <c r="R474" i="5"/>
  <c r="P474" i="5"/>
  <c r="N474" i="5"/>
  <c r="BM473" i="5"/>
  <c r="BK473" i="5"/>
  <c r="BJ473" i="5"/>
  <c r="BI473" i="5"/>
  <c r="BH473" i="5"/>
  <c r="BG473" i="5"/>
  <c r="BF473" i="5"/>
  <c r="AR473" i="5"/>
  <c r="R473" i="5"/>
  <c r="P473" i="5"/>
  <c r="N473" i="5"/>
  <c r="BM472" i="5"/>
  <c r="BK472" i="5"/>
  <c r="BJ472" i="5"/>
  <c r="BI472" i="5"/>
  <c r="BH472" i="5"/>
  <c r="BG472" i="5"/>
  <c r="BF472" i="5"/>
  <c r="AR472" i="5"/>
  <c r="R472" i="5"/>
  <c r="P472" i="5"/>
  <c r="N472" i="5"/>
  <c r="BM471" i="5"/>
  <c r="BK471" i="5"/>
  <c r="BJ471" i="5"/>
  <c r="BI471" i="5"/>
  <c r="BH471" i="5"/>
  <c r="BG471" i="5"/>
  <c r="BF471" i="5"/>
  <c r="AR471" i="5"/>
  <c r="R471" i="5"/>
  <c r="P471" i="5"/>
  <c r="N471" i="5"/>
  <c r="BM470" i="5"/>
  <c r="BK470" i="5"/>
  <c r="BJ470" i="5"/>
  <c r="BI470" i="5"/>
  <c r="BH470" i="5"/>
  <c r="BG470" i="5"/>
  <c r="BF470" i="5"/>
  <c r="AR470" i="5"/>
  <c r="R470" i="5"/>
  <c r="P470" i="5"/>
  <c r="N470" i="5"/>
  <c r="BM469" i="5"/>
  <c r="BK469" i="5"/>
  <c r="BJ469" i="5"/>
  <c r="BI469" i="5"/>
  <c r="BH469" i="5"/>
  <c r="BG469" i="5"/>
  <c r="BF469" i="5"/>
  <c r="AR469" i="5"/>
  <c r="R469" i="5"/>
  <c r="P469" i="5"/>
  <c r="N469" i="5"/>
  <c r="C469" i="5"/>
  <c r="BM468" i="5"/>
  <c r="BK468" i="5"/>
  <c r="BJ468" i="5"/>
  <c r="BI468" i="5"/>
  <c r="BH468" i="5"/>
  <c r="BG468" i="5"/>
  <c r="BF468" i="5"/>
  <c r="AR468" i="5"/>
  <c r="R468" i="5"/>
  <c r="P468" i="5"/>
  <c r="N468" i="5"/>
  <c r="C468" i="5"/>
  <c r="BM467" i="5"/>
  <c r="BK467" i="5"/>
  <c r="BJ467" i="5"/>
  <c r="BI467" i="5"/>
  <c r="BH467" i="5"/>
  <c r="BG467" i="5"/>
  <c r="BF467" i="5"/>
  <c r="AR467" i="5"/>
  <c r="R467" i="5"/>
  <c r="P467" i="5"/>
  <c r="N467" i="5"/>
  <c r="BM466" i="5"/>
  <c r="BK466" i="5"/>
  <c r="BJ466" i="5"/>
  <c r="BI466" i="5"/>
  <c r="BH466" i="5"/>
  <c r="BG466" i="5"/>
  <c r="BF466" i="5"/>
  <c r="AR466" i="5"/>
  <c r="R466" i="5"/>
  <c r="P466" i="5"/>
  <c r="N466" i="5"/>
  <c r="BM465" i="5"/>
  <c r="BK465" i="5"/>
  <c r="BJ465" i="5"/>
  <c r="BI465" i="5"/>
  <c r="BH465" i="5"/>
  <c r="BG465" i="5"/>
  <c r="BF465" i="5"/>
  <c r="AR465" i="5"/>
  <c r="R465" i="5"/>
  <c r="P465" i="5"/>
  <c r="N465" i="5"/>
  <c r="BM464" i="5"/>
  <c r="BK464" i="5"/>
  <c r="BJ464" i="5"/>
  <c r="BI464" i="5"/>
  <c r="BH464" i="5"/>
  <c r="BG464" i="5"/>
  <c r="BF464" i="5"/>
  <c r="AR464" i="5"/>
  <c r="AK464" i="5"/>
  <c r="R464" i="5"/>
  <c r="P464" i="5"/>
  <c r="N464" i="5"/>
  <c r="BM463" i="5"/>
  <c r="BK463" i="5"/>
  <c r="BJ463" i="5"/>
  <c r="BI463" i="5"/>
  <c r="BH463" i="5"/>
  <c r="BG463" i="5"/>
  <c r="BF463" i="5"/>
  <c r="AR463" i="5"/>
  <c r="R463" i="5"/>
  <c r="P463" i="5"/>
  <c r="N463" i="5"/>
  <c r="BM462" i="5"/>
  <c r="BK462" i="5"/>
  <c r="BJ462" i="5"/>
  <c r="BI462" i="5"/>
  <c r="BH462" i="5"/>
  <c r="BG462" i="5"/>
  <c r="BF462" i="5"/>
  <c r="AR462" i="5"/>
  <c r="R462" i="5"/>
  <c r="P462" i="5"/>
  <c r="N462" i="5"/>
  <c r="BM461" i="5"/>
  <c r="BK461" i="5"/>
  <c r="BJ461" i="5"/>
  <c r="BI461" i="5"/>
  <c r="BH461" i="5"/>
  <c r="BG461" i="5"/>
  <c r="BF461" i="5"/>
  <c r="AR461" i="5"/>
  <c r="R461" i="5"/>
  <c r="P461" i="5"/>
  <c r="O461" i="5"/>
  <c r="N461" i="5"/>
  <c r="BM460" i="5"/>
  <c r="BK460" i="5"/>
  <c r="BJ460" i="5"/>
  <c r="BI460" i="5"/>
  <c r="BH460" i="5"/>
  <c r="BG460" i="5"/>
  <c r="BF460" i="5"/>
  <c r="AS460" i="5"/>
  <c r="R460" i="5"/>
  <c r="P460" i="5"/>
  <c r="N460" i="5"/>
  <c r="BB450" i="5"/>
  <c r="W441" i="5"/>
  <c r="AZ438" i="5"/>
  <c r="AY438" i="5"/>
  <c r="AU438" i="5"/>
  <c r="AM438" i="5"/>
  <c r="AJ438" i="5"/>
  <c r="AG438" i="5"/>
  <c r="AD438" i="5"/>
  <c r="C438" i="5"/>
  <c r="BM437" i="5"/>
  <c r="BL437" i="5"/>
  <c r="BK437" i="5"/>
  <c r="BI437" i="5"/>
  <c r="BH437" i="5"/>
  <c r="BG437" i="5"/>
  <c r="BF437" i="5"/>
  <c r="AN437" i="5"/>
  <c r="N437" i="5"/>
  <c r="BM436" i="5"/>
  <c r="BK436" i="5"/>
  <c r="BJ436" i="5"/>
  <c r="BI436" i="5"/>
  <c r="BH436" i="5"/>
  <c r="BG436" i="5"/>
  <c r="BF436" i="5"/>
  <c r="P436" i="5"/>
  <c r="N436" i="5"/>
  <c r="BM435" i="5"/>
  <c r="BL435" i="5"/>
  <c r="BK435" i="5"/>
  <c r="BI435" i="5"/>
  <c r="BH435" i="5"/>
  <c r="BG435" i="5"/>
  <c r="BF435" i="5"/>
  <c r="P435" i="5"/>
  <c r="N435" i="5"/>
  <c r="BM434" i="5"/>
  <c r="BL434" i="5"/>
  <c r="BJ434" i="5"/>
  <c r="BI434" i="5"/>
  <c r="BH434" i="5"/>
  <c r="BG434" i="5"/>
  <c r="BF434" i="5"/>
  <c r="P434" i="5"/>
  <c r="N434" i="5"/>
  <c r="AZ429" i="5"/>
  <c r="AY429" i="5"/>
  <c r="AU429" i="5"/>
  <c r="AJ429" i="5"/>
  <c r="AG429" i="5"/>
  <c r="AD429" i="5"/>
  <c r="C429" i="5"/>
  <c r="BM427" i="5"/>
  <c r="BL427" i="5"/>
  <c r="BJ427" i="5"/>
  <c r="BI427" i="5"/>
  <c r="BH427" i="5"/>
  <c r="BG427" i="5"/>
  <c r="BF427" i="5"/>
  <c r="N427" i="5"/>
  <c r="BM426" i="5"/>
  <c r="BL426" i="5"/>
  <c r="BJ426" i="5"/>
  <c r="BI426" i="5"/>
  <c r="BH426" i="5"/>
  <c r="BG426" i="5"/>
  <c r="BF426" i="5"/>
  <c r="N426" i="5"/>
  <c r="BM425" i="5"/>
  <c r="BL425" i="5"/>
  <c r="BJ425" i="5"/>
  <c r="BI425" i="5"/>
  <c r="BH425" i="5"/>
  <c r="BG425" i="5"/>
  <c r="BF425" i="5"/>
  <c r="N425" i="5"/>
  <c r="BM424" i="5"/>
  <c r="BL424" i="5"/>
  <c r="BJ424" i="5"/>
  <c r="BI424" i="5"/>
  <c r="BH424" i="5"/>
  <c r="BG424" i="5"/>
  <c r="BF424" i="5"/>
  <c r="P424" i="5"/>
  <c r="N424" i="5"/>
  <c r="AZ421" i="5"/>
  <c r="AZ431" i="5" s="1"/>
  <c r="AY421" i="5"/>
  <c r="AY431" i="5" s="1"/>
  <c r="AP421" i="5"/>
  <c r="AJ421" i="5"/>
  <c r="AJ431" i="5" s="1"/>
  <c r="AG421" i="5"/>
  <c r="AG431" i="5" s="1"/>
  <c r="AD421" i="5"/>
  <c r="AD431" i="5" s="1"/>
  <c r="AA421" i="5"/>
  <c r="AM420" i="5"/>
  <c r="AQ420" i="5" s="1"/>
  <c r="BM418" i="5"/>
  <c r="BL418" i="5"/>
  <c r="BJ418" i="5"/>
  <c r="BI418" i="5"/>
  <c r="BH418" i="5"/>
  <c r="BG418" i="5"/>
  <c r="BF418" i="5"/>
  <c r="AU418" i="5"/>
  <c r="AU421" i="5" s="1"/>
  <c r="AU431" i="5" s="1"/>
  <c r="AR418" i="5"/>
  <c r="AK418" i="5"/>
  <c r="P418" i="5"/>
  <c r="N418" i="5"/>
  <c r="BM417" i="5"/>
  <c r="BL417" i="5"/>
  <c r="BK417" i="5"/>
  <c r="BI417" i="5"/>
  <c r="BH417" i="5"/>
  <c r="BG417" i="5"/>
  <c r="BF417" i="5"/>
  <c r="AR417" i="5"/>
  <c r="AK417" i="5"/>
  <c r="P417" i="5"/>
  <c r="N417" i="5"/>
  <c r="C417" i="5"/>
  <c r="BM416" i="5"/>
  <c r="BL416" i="5"/>
  <c r="BK416" i="5"/>
  <c r="BI416" i="5"/>
  <c r="BH416" i="5"/>
  <c r="BG416" i="5"/>
  <c r="BF416" i="5"/>
  <c r="AR416" i="5"/>
  <c r="P416" i="5"/>
  <c r="N416" i="5"/>
  <c r="BM415" i="5"/>
  <c r="BK415" i="5"/>
  <c r="BJ415" i="5"/>
  <c r="BI415" i="5"/>
  <c r="BH415" i="5"/>
  <c r="BG415" i="5"/>
  <c r="BF415" i="5"/>
  <c r="AR415" i="5"/>
  <c r="AK415" i="5"/>
  <c r="P415" i="5"/>
  <c r="N415" i="5"/>
  <c r="BM414" i="5"/>
  <c r="BK414" i="5"/>
  <c r="BJ414" i="5"/>
  <c r="BI414" i="5"/>
  <c r="BH414" i="5"/>
  <c r="BG414" i="5"/>
  <c r="BF414" i="5"/>
  <c r="AR414" i="5"/>
  <c r="P414" i="5"/>
  <c r="N414" i="5"/>
  <c r="C414" i="5"/>
  <c r="AZ410" i="5"/>
  <c r="AZ409" i="5"/>
  <c r="AY409" i="5"/>
  <c r="AP409" i="5"/>
  <c r="AQ408" i="5"/>
  <c r="AR407" i="5"/>
  <c r="P407" i="5"/>
  <c r="N407" i="5"/>
  <c r="AR406" i="5"/>
  <c r="P406" i="5"/>
  <c r="N406" i="5"/>
  <c r="C406" i="5"/>
  <c r="AR405" i="5"/>
  <c r="P405" i="5"/>
  <c r="N405" i="5"/>
  <c r="AU404" i="5"/>
  <c r="AU409" i="5" s="1"/>
  <c r="AR404" i="5"/>
  <c r="AK404" i="5"/>
  <c r="AJ404" i="5"/>
  <c r="AJ409" i="5" s="1"/>
  <c r="AG404" i="5"/>
  <c r="AG409" i="5" s="1"/>
  <c r="AD404" i="5"/>
  <c r="AD409" i="5" s="1"/>
  <c r="P404" i="5"/>
  <c r="N404" i="5"/>
  <c r="C404" i="5"/>
  <c r="C409" i="5" s="1"/>
  <c r="AZ402" i="5"/>
  <c r="AY402" i="5"/>
  <c r="AU402" i="5"/>
  <c r="AP402" i="5"/>
  <c r="AO402" i="5"/>
  <c r="AL402" i="5"/>
  <c r="AI402" i="5"/>
  <c r="AF402" i="5"/>
  <c r="Z402" i="5"/>
  <c r="AQ401" i="5"/>
  <c r="AR400" i="5"/>
  <c r="N400" i="5"/>
  <c r="AR399" i="5"/>
  <c r="P399" i="5"/>
  <c r="N399" i="5"/>
  <c r="C399" i="5"/>
  <c r="AR398" i="5"/>
  <c r="P398" i="5"/>
  <c r="N398" i="5"/>
  <c r="C398" i="5"/>
  <c r="AR397" i="5"/>
  <c r="P397" i="5"/>
  <c r="N397" i="5"/>
  <c r="AR396" i="5"/>
  <c r="P396" i="5"/>
  <c r="N396" i="5"/>
  <c r="AR395" i="5"/>
  <c r="AK395" i="5"/>
  <c r="AJ395" i="5"/>
  <c r="AJ402" i="5" s="1"/>
  <c r="AG395" i="5"/>
  <c r="AG402" i="5" s="1"/>
  <c r="AD395" i="5"/>
  <c r="AD402" i="5" s="1"/>
  <c r="P395" i="5"/>
  <c r="N395" i="5"/>
  <c r="C395" i="5"/>
  <c r="AZ391" i="5"/>
  <c r="AY391" i="5"/>
  <c r="AU391" i="5"/>
  <c r="C391" i="5"/>
  <c r="BM390" i="5"/>
  <c r="BL390" i="5"/>
  <c r="BK390" i="5"/>
  <c r="AQ390" i="5"/>
  <c r="BM389" i="5"/>
  <c r="BL389" i="5"/>
  <c r="BK389" i="5"/>
  <c r="BI389" i="5"/>
  <c r="BH389" i="5"/>
  <c r="BG389" i="5"/>
  <c r="BF389" i="5"/>
  <c r="P389" i="5"/>
  <c r="N389" i="5"/>
  <c r="BM388" i="5"/>
  <c r="BL388" i="5"/>
  <c r="BK388" i="5"/>
  <c r="BI388" i="5"/>
  <c r="BH388" i="5"/>
  <c r="BG388" i="5"/>
  <c r="BF388" i="5"/>
  <c r="AR388" i="5"/>
  <c r="N388" i="5"/>
  <c r="BM387" i="5"/>
  <c r="BL387" i="5"/>
  <c r="BK387" i="5"/>
  <c r="BI387" i="5"/>
  <c r="BH387" i="5"/>
  <c r="BG387" i="5"/>
  <c r="BF387" i="5"/>
  <c r="AR387" i="5"/>
  <c r="N387" i="5"/>
  <c r="BM386" i="5"/>
  <c r="BL386" i="5"/>
  <c r="BK386" i="5"/>
  <c r="BI386" i="5"/>
  <c r="BH386" i="5"/>
  <c r="BG386" i="5"/>
  <c r="BF386" i="5"/>
  <c r="AR386" i="5"/>
  <c r="AK386" i="5"/>
  <c r="P386" i="5"/>
  <c r="N386" i="5"/>
  <c r="BM385" i="5"/>
  <c r="BL385" i="5"/>
  <c r="BK385" i="5"/>
  <c r="BI385" i="5"/>
  <c r="BH385" i="5"/>
  <c r="BG385" i="5"/>
  <c r="BF385" i="5"/>
  <c r="AR385" i="5"/>
  <c r="AK385" i="5"/>
  <c r="AJ385" i="5"/>
  <c r="AG385" i="5"/>
  <c r="AD385" i="5"/>
  <c r="P385" i="5"/>
  <c r="N385" i="5"/>
  <c r="BM384" i="5"/>
  <c r="BL384" i="5"/>
  <c r="BK384" i="5"/>
  <c r="BI384" i="5"/>
  <c r="BH384" i="5"/>
  <c r="BG384" i="5"/>
  <c r="BF384" i="5"/>
  <c r="AR384" i="5"/>
  <c r="AK384" i="5"/>
  <c r="P384" i="5"/>
  <c r="N384" i="5"/>
  <c r="BM383" i="5"/>
  <c r="BL383" i="5"/>
  <c r="BK383" i="5"/>
  <c r="BI383" i="5"/>
  <c r="BH383" i="5"/>
  <c r="BG383" i="5"/>
  <c r="BF383" i="5"/>
  <c r="AR383" i="5"/>
  <c r="AJ383" i="5"/>
  <c r="AG383" i="5"/>
  <c r="AG391" i="5" s="1"/>
  <c r="AD383" i="5"/>
  <c r="AD391" i="5" s="1"/>
  <c r="P383" i="5"/>
  <c r="N383" i="5"/>
  <c r="BM382" i="5"/>
  <c r="BL382" i="5"/>
  <c r="BK382" i="5"/>
  <c r="BI382" i="5"/>
  <c r="BH382" i="5"/>
  <c r="BG382" i="5"/>
  <c r="BF382" i="5"/>
  <c r="AR382" i="5"/>
  <c r="P382" i="5"/>
  <c r="N382" i="5"/>
  <c r="AZ380" i="5"/>
  <c r="AY380" i="5"/>
  <c r="AV380" i="5"/>
  <c r="AV709" i="5" s="1"/>
  <c r="AU380" i="5"/>
  <c r="AP380" i="5"/>
  <c r="AO380" i="5"/>
  <c r="AO410" i="5" s="1"/>
  <c r="AL380" i="5"/>
  <c r="AL410" i="5" s="1"/>
  <c r="AJ380" i="5"/>
  <c r="AI380" i="5"/>
  <c r="AI410" i="5" s="1"/>
  <c r="AG380" i="5"/>
  <c r="AF380" i="5"/>
  <c r="AD380" i="5"/>
  <c r="AD410" i="5" s="1"/>
  <c r="AA380" i="5"/>
  <c r="Z380" i="5"/>
  <c r="Z410" i="5" s="1"/>
  <c r="W380" i="5"/>
  <c r="C380" i="5"/>
  <c r="BM379" i="5"/>
  <c r="BK379" i="5"/>
  <c r="BJ379" i="5"/>
  <c r="BI379" i="5"/>
  <c r="BH379" i="5"/>
  <c r="BG379" i="5"/>
  <c r="BF379" i="5"/>
  <c r="AR379" i="5"/>
  <c r="P379" i="5"/>
  <c r="N379" i="5"/>
  <c r="BM378" i="5"/>
  <c r="BL378" i="5"/>
  <c r="BJ378" i="5"/>
  <c r="BI378" i="5"/>
  <c r="BH378" i="5"/>
  <c r="BG378" i="5"/>
  <c r="BF378" i="5"/>
  <c r="AR378" i="5"/>
  <c r="P378" i="5"/>
  <c r="N378" i="5"/>
  <c r="BM377" i="5"/>
  <c r="BL377" i="5"/>
  <c r="BK377" i="5"/>
  <c r="BI377" i="5"/>
  <c r="BH377" i="5"/>
  <c r="BG377" i="5"/>
  <c r="BF377" i="5"/>
  <c r="AR377" i="5"/>
  <c r="P377" i="5"/>
  <c r="N377" i="5"/>
  <c r="AR376" i="5"/>
  <c r="P376" i="5"/>
  <c r="N376" i="5"/>
  <c r="AR375" i="5"/>
  <c r="P375" i="5"/>
  <c r="N375" i="5"/>
  <c r="BM374" i="5"/>
  <c r="BM380" i="5" s="1"/>
  <c r="BM410" i="5" s="1"/>
  <c r="BL374" i="5"/>
  <c r="BL380" i="5" s="1"/>
  <c r="BL410" i="5" s="1"/>
  <c r="BK374" i="5"/>
  <c r="BI374" i="5"/>
  <c r="BI380" i="5" s="1"/>
  <c r="BI410" i="5" s="1"/>
  <c r="BH374" i="5"/>
  <c r="BH380" i="5" s="1"/>
  <c r="BH410" i="5" s="1"/>
  <c r="BG374" i="5"/>
  <c r="BF374" i="5"/>
  <c r="AR374" i="5"/>
  <c r="P374" i="5"/>
  <c r="N374" i="5"/>
  <c r="AZ369" i="5"/>
  <c r="AY369" i="5"/>
  <c r="AU369" i="5"/>
  <c r="AP369" i="5"/>
  <c r="AO369" i="5"/>
  <c r="AL369" i="5"/>
  <c r="AJ369" i="5"/>
  <c r="AI369" i="5"/>
  <c r="AG369" i="5"/>
  <c r="AF369" i="5"/>
  <c r="AD369" i="5"/>
  <c r="AA369" i="5"/>
  <c r="Z369" i="5"/>
  <c r="AM368" i="5"/>
  <c r="AQ368" i="5" s="1"/>
  <c r="BM367" i="5"/>
  <c r="BK367" i="5"/>
  <c r="BJ367" i="5"/>
  <c r="BI367" i="5"/>
  <c r="BH367" i="5"/>
  <c r="BG367" i="5"/>
  <c r="BF367" i="5"/>
  <c r="AR367" i="5"/>
  <c r="N367" i="5"/>
  <c r="BM366" i="5"/>
  <c r="BK366" i="5"/>
  <c r="BJ366" i="5"/>
  <c r="BI366" i="5"/>
  <c r="BH366" i="5"/>
  <c r="BG366" i="5"/>
  <c r="BF366" i="5"/>
  <c r="AR366" i="5"/>
  <c r="P366" i="5"/>
  <c r="N366" i="5"/>
  <c r="BM365" i="5"/>
  <c r="BK365" i="5"/>
  <c r="BJ365" i="5"/>
  <c r="BI365" i="5"/>
  <c r="BH365" i="5"/>
  <c r="BG365" i="5"/>
  <c r="BF365" i="5"/>
  <c r="AR365" i="5"/>
  <c r="P365" i="5"/>
  <c r="N365" i="5"/>
  <c r="BM364" i="5"/>
  <c r="BK364" i="5"/>
  <c r="BJ364" i="5"/>
  <c r="BI364" i="5"/>
  <c r="BH364" i="5"/>
  <c r="BG364" i="5"/>
  <c r="BF364" i="5"/>
  <c r="AR364" i="5"/>
  <c r="P364" i="5"/>
  <c r="N364" i="5"/>
  <c r="BM363" i="5"/>
  <c r="BK363" i="5"/>
  <c r="BJ363" i="5"/>
  <c r="BI363" i="5"/>
  <c r="BH363" i="5"/>
  <c r="BG363" i="5"/>
  <c r="BF363" i="5"/>
  <c r="AR363" i="5"/>
  <c r="P363" i="5"/>
  <c r="N363" i="5"/>
  <c r="BM362" i="5"/>
  <c r="BK362" i="5"/>
  <c r="BJ362" i="5"/>
  <c r="BI362" i="5"/>
  <c r="BH362" i="5"/>
  <c r="BG362" i="5"/>
  <c r="BF362" i="5"/>
  <c r="AR362" i="5"/>
  <c r="P362" i="5"/>
  <c r="N362" i="5"/>
  <c r="BM361" i="5"/>
  <c r="BK361" i="5"/>
  <c r="BJ361" i="5"/>
  <c r="BI361" i="5"/>
  <c r="BH361" i="5"/>
  <c r="BG361" i="5"/>
  <c r="BF361" i="5"/>
  <c r="AR361" i="5"/>
  <c r="P361" i="5"/>
  <c r="N361" i="5"/>
  <c r="C361" i="5"/>
  <c r="BM360" i="5"/>
  <c r="BK360" i="5"/>
  <c r="BJ360" i="5"/>
  <c r="BI360" i="5"/>
  <c r="BH360" i="5"/>
  <c r="BG360" i="5"/>
  <c r="BF360" i="5"/>
  <c r="AR360" i="5"/>
  <c r="P360" i="5"/>
  <c r="N360" i="5"/>
  <c r="C360" i="5"/>
  <c r="C369" i="5" s="1"/>
  <c r="BM359" i="5"/>
  <c r="BK359" i="5"/>
  <c r="BJ359" i="5"/>
  <c r="BI359" i="5"/>
  <c r="BH359" i="5"/>
  <c r="BG359" i="5"/>
  <c r="BF359" i="5"/>
  <c r="AR359" i="5"/>
  <c r="P359" i="5"/>
  <c r="N359" i="5"/>
  <c r="BM358" i="5"/>
  <c r="BK358" i="5"/>
  <c r="BJ358" i="5"/>
  <c r="BI358" i="5"/>
  <c r="BH358" i="5"/>
  <c r="BG358" i="5"/>
  <c r="BF358" i="5"/>
  <c r="AR358" i="5"/>
  <c r="P358" i="5"/>
  <c r="N358" i="5"/>
  <c r="BM357" i="5"/>
  <c r="BK357" i="5"/>
  <c r="BJ357" i="5"/>
  <c r="BI357" i="5"/>
  <c r="BH357" i="5"/>
  <c r="BG357" i="5"/>
  <c r="BF357" i="5"/>
  <c r="AR357" i="5"/>
  <c r="P357" i="5"/>
  <c r="N357" i="5"/>
  <c r="BM356" i="5"/>
  <c r="BK356" i="5"/>
  <c r="BJ356" i="5"/>
  <c r="BI356" i="5"/>
  <c r="BH356" i="5"/>
  <c r="BG356" i="5"/>
  <c r="BF356" i="5"/>
  <c r="AR356" i="5"/>
  <c r="AK356" i="5"/>
  <c r="P356" i="5"/>
  <c r="N356" i="5"/>
  <c r="BM355" i="5"/>
  <c r="BK355" i="5"/>
  <c r="BJ355" i="5"/>
  <c r="BI355" i="5"/>
  <c r="BH355" i="5"/>
  <c r="BG355" i="5"/>
  <c r="BF355" i="5"/>
  <c r="AR355" i="5"/>
  <c r="P355" i="5"/>
  <c r="N355" i="5"/>
  <c r="BM354" i="5"/>
  <c r="BK354" i="5"/>
  <c r="BJ354" i="5"/>
  <c r="BI354" i="5"/>
  <c r="BH354" i="5"/>
  <c r="BG354" i="5"/>
  <c r="BF354" i="5"/>
  <c r="AR354" i="5"/>
  <c r="P354" i="5"/>
  <c r="N354" i="5"/>
  <c r="BM353" i="5"/>
  <c r="BK353" i="5"/>
  <c r="BJ353" i="5"/>
  <c r="BI353" i="5"/>
  <c r="BH353" i="5"/>
  <c r="BG353" i="5"/>
  <c r="BF353" i="5"/>
  <c r="AR353" i="5"/>
  <c r="P353" i="5"/>
  <c r="O353" i="5"/>
  <c r="N353" i="5"/>
  <c r="BM352" i="5"/>
  <c r="BK352" i="5"/>
  <c r="BJ352" i="5"/>
  <c r="BI352" i="5"/>
  <c r="BH352" i="5"/>
  <c r="BG352" i="5"/>
  <c r="BF352" i="5"/>
  <c r="R352" i="5"/>
  <c r="R386" i="5" s="1"/>
  <c r="P352" i="5"/>
  <c r="N352" i="5"/>
  <c r="N680" i="5" s="1"/>
  <c r="M346" i="5"/>
  <c r="BB342" i="5"/>
  <c r="AQ335" i="5"/>
  <c r="W333" i="5"/>
  <c r="AZ330" i="5"/>
  <c r="AY330" i="5"/>
  <c r="AU330" i="5"/>
  <c r="AM330" i="5"/>
  <c r="AJ330" i="5"/>
  <c r="AG330" i="5"/>
  <c r="AD330" i="5"/>
  <c r="C330" i="5"/>
  <c r="BM329" i="5"/>
  <c r="BL329" i="5"/>
  <c r="BK329" i="5"/>
  <c r="BI329" i="5"/>
  <c r="BH329" i="5"/>
  <c r="BG329" i="5"/>
  <c r="BF329" i="5"/>
  <c r="AN329" i="5"/>
  <c r="N329" i="5"/>
  <c r="BM328" i="5"/>
  <c r="BK328" i="5"/>
  <c r="BJ328" i="5"/>
  <c r="BI328" i="5"/>
  <c r="BH328" i="5"/>
  <c r="BG328" i="5"/>
  <c r="BF328" i="5"/>
  <c r="R328" i="5"/>
  <c r="P328" i="5"/>
  <c r="N328" i="5"/>
  <c r="BM327" i="5"/>
  <c r="BL327" i="5"/>
  <c r="BK327" i="5"/>
  <c r="BI327" i="5"/>
  <c r="BH327" i="5"/>
  <c r="BG327" i="5"/>
  <c r="BF327" i="5"/>
  <c r="P327" i="5"/>
  <c r="N327" i="5"/>
  <c r="BM326" i="5"/>
  <c r="BL326" i="5"/>
  <c r="BJ326" i="5"/>
  <c r="BI326" i="5"/>
  <c r="BH326" i="5"/>
  <c r="BG326" i="5"/>
  <c r="BF326" i="5"/>
  <c r="R326" i="5"/>
  <c r="P326" i="5"/>
  <c r="N326" i="5"/>
  <c r="AZ321" i="5"/>
  <c r="AY321" i="5"/>
  <c r="AU321" i="5"/>
  <c r="AJ321" i="5"/>
  <c r="AG321" i="5"/>
  <c r="AD321" i="5"/>
  <c r="C321" i="5"/>
  <c r="BM319" i="5"/>
  <c r="BL319" i="5"/>
  <c r="BJ319" i="5"/>
  <c r="BI319" i="5"/>
  <c r="BH319" i="5"/>
  <c r="BG319" i="5"/>
  <c r="BF319" i="5"/>
  <c r="N319" i="5"/>
  <c r="BM318" i="5"/>
  <c r="BL318" i="5"/>
  <c r="BJ318" i="5"/>
  <c r="BI318" i="5"/>
  <c r="BH318" i="5"/>
  <c r="BG318" i="5"/>
  <c r="BF318" i="5"/>
  <c r="N318" i="5"/>
  <c r="BM317" i="5"/>
  <c r="BL317" i="5"/>
  <c r="BJ317" i="5"/>
  <c r="BI317" i="5"/>
  <c r="BH317" i="5"/>
  <c r="BG317" i="5"/>
  <c r="BF317" i="5"/>
  <c r="N317" i="5"/>
  <c r="BM316" i="5"/>
  <c r="BL316" i="5"/>
  <c r="BJ316" i="5"/>
  <c r="BI316" i="5"/>
  <c r="BH316" i="5"/>
  <c r="BG316" i="5"/>
  <c r="BF316" i="5"/>
  <c r="P316" i="5"/>
  <c r="N316" i="5"/>
  <c r="AZ313" i="5"/>
  <c r="AZ323" i="5" s="1"/>
  <c r="AY313" i="5"/>
  <c r="AP313" i="5"/>
  <c r="AJ313" i="5"/>
  <c r="AG313" i="5"/>
  <c r="AD313" i="5"/>
  <c r="AD323" i="5" s="1"/>
  <c r="AA313" i="5"/>
  <c r="AQ312" i="5"/>
  <c r="BM310" i="5"/>
  <c r="BL310" i="5"/>
  <c r="BJ310" i="5"/>
  <c r="BI310" i="5"/>
  <c r="BH310" i="5"/>
  <c r="BG310" i="5"/>
  <c r="BF310" i="5"/>
  <c r="AU310" i="5"/>
  <c r="AU746" i="5" s="1"/>
  <c r="BP746" i="5" s="1"/>
  <c r="AR310" i="5"/>
  <c r="AK310" i="5"/>
  <c r="P310" i="5"/>
  <c r="N310" i="5"/>
  <c r="BM309" i="5"/>
  <c r="BL309" i="5"/>
  <c r="BK309" i="5"/>
  <c r="BI309" i="5"/>
  <c r="BH309" i="5"/>
  <c r="BG309" i="5"/>
  <c r="BF309" i="5"/>
  <c r="AR309" i="5"/>
  <c r="AK309" i="5"/>
  <c r="P309" i="5"/>
  <c r="N309" i="5"/>
  <c r="C309" i="5"/>
  <c r="BM308" i="5"/>
  <c r="BL308" i="5"/>
  <c r="BK308" i="5"/>
  <c r="BI308" i="5"/>
  <c r="BH308" i="5"/>
  <c r="BG308" i="5"/>
  <c r="BF308" i="5"/>
  <c r="AR308" i="5"/>
  <c r="P308" i="5"/>
  <c r="N308" i="5"/>
  <c r="BM307" i="5"/>
  <c r="BK307" i="5"/>
  <c r="BJ307" i="5"/>
  <c r="BI307" i="5"/>
  <c r="BH307" i="5"/>
  <c r="BG307" i="5"/>
  <c r="BF307" i="5"/>
  <c r="AR307" i="5"/>
  <c r="AK307" i="5"/>
  <c r="P307" i="5"/>
  <c r="N307" i="5"/>
  <c r="BM306" i="5"/>
  <c r="BK306" i="5"/>
  <c r="BJ306" i="5"/>
  <c r="BI306" i="5"/>
  <c r="BH306" i="5"/>
  <c r="BG306" i="5"/>
  <c r="BF306" i="5"/>
  <c r="AR306" i="5"/>
  <c r="P306" i="5"/>
  <c r="N306" i="5"/>
  <c r="C306" i="5"/>
  <c r="AZ301" i="5"/>
  <c r="AY301" i="5"/>
  <c r="AP301" i="5"/>
  <c r="AQ300" i="5"/>
  <c r="AR299" i="5"/>
  <c r="P299" i="5"/>
  <c r="N299" i="5"/>
  <c r="AR298" i="5"/>
  <c r="P298" i="5"/>
  <c r="N298" i="5"/>
  <c r="C298" i="5"/>
  <c r="AR297" i="5"/>
  <c r="P297" i="5"/>
  <c r="N297" i="5"/>
  <c r="AU296" i="5"/>
  <c r="AR296" i="5"/>
  <c r="AK296" i="5"/>
  <c r="AJ296" i="5"/>
  <c r="AJ301" i="5" s="1"/>
  <c r="AG296" i="5"/>
  <c r="AG301" i="5" s="1"/>
  <c r="AD296" i="5"/>
  <c r="AD301" i="5" s="1"/>
  <c r="P296" i="5"/>
  <c r="N296" i="5"/>
  <c r="C296" i="5"/>
  <c r="AZ294" i="5"/>
  <c r="AY294" i="5"/>
  <c r="AU294" i="5"/>
  <c r="AP294" i="5"/>
  <c r="AO294" i="5"/>
  <c r="AL294" i="5"/>
  <c r="AI294" i="5"/>
  <c r="AF294" i="5"/>
  <c r="Z294" i="5"/>
  <c r="AR292" i="5"/>
  <c r="N292" i="5"/>
  <c r="AR291" i="5"/>
  <c r="P291" i="5"/>
  <c r="N291" i="5"/>
  <c r="C291" i="5"/>
  <c r="AR290" i="5"/>
  <c r="P290" i="5"/>
  <c r="N290" i="5"/>
  <c r="C290" i="5"/>
  <c r="AR289" i="5"/>
  <c r="P289" i="5"/>
  <c r="N289" i="5"/>
  <c r="AR288" i="5"/>
  <c r="P288" i="5"/>
  <c r="N288" i="5"/>
  <c r="AR287" i="5"/>
  <c r="AK287" i="5"/>
  <c r="AJ287" i="5"/>
  <c r="AJ294" i="5" s="1"/>
  <c r="AG287" i="5"/>
  <c r="AG294" i="5" s="1"/>
  <c r="AD287" i="5"/>
  <c r="AD294" i="5" s="1"/>
  <c r="P287" i="5"/>
  <c r="N287" i="5"/>
  <c r="C287" i="5"/>
  <c r="C294" i="5" s="1"/>
  <c r="AZ283" i="5"/>
  <c r="AY283" i="5"/>
  <c r="AU283" i="5"/>
  <c r="C283" i="5"/>
  <c r="BM282" i="5"/>
  <c r="BL282" i="5"/>
  <c r="BK282" i="5"/>
  <c r="AQ282" i="5"/>
  <c r="U282" i="5"/>
  <c r="BM281" i="5"/>
  <c r="BL281" i="5"/>
  <c r="BK281" i="5"/>
  <c r="BI281" i="5"/>
  <c r="BH281" i="5"/>
  <c r="BG281" i="5"/>
  <c r="BF281" i="5"/>
  <c r="P281" i="5"/>
  <c r="N281" i="5"/>
  <c r="BM280" i="5"/>
  <c r="BL280" i="5"/>
  <c r="BK280" i="5"/>
  <c r="BI280" i="5"/>
  <c r="BH280" i="5"/>
  <c r="BG280" i="5"/>
  <c r="BF280" i="5"/>
  <c r="AR280" i="5"/>
  <c r="N280" i="5"/>
  <c r="BM279" i="5"/>
  <c r="BL279" i="5"/>
  <c r="BK279" i="5"/>
  <c r="BI279" i="5"/>
  <c r="BH279" i="5"/>
  <c r="BG279" i="5"/>
  <c r="BF279" i="5"/>
  <c r="AR279" i="5"/>
  <c r="N279" i="5"/>
  <c r="BM278" i="5"/>
  <c r="BL278" i="5"/>
  <c r="BK278" i="5"/>
  <c r="BI278" i="5"/>
  <c r="BH278" i="5"/>
  <c r="BG278" i="5"/>
  <c r="BF278" i="5"/>
  <c r="AR278" i="5"/>
  <c r="AK278" i="5"/>
  <c r="P278" i="5"/>
  <c r="N278" i="5"/>
  <c r="BM277" i="5"/>
  <c r="BL277" i="5"/>
  <c r="BK277" i="5"/>
  <c r="BI277" i="5"/>
  <c r="BH277" i="5"/>
  <c r="BG277" i="5"/>
  <c r="BF277" i="5"/>
  <c r="AR277" i="5"/>
  <c r="AK277" i="5"/>
  <c r="AJ277" i="5"/>
  <c r="AG277" i="5"/>
  <c r="AD277" i="5"/>
  <c r="P277" i="5"/>
  <c r="N277" i="5"/>
  <c r="BM276" i="5"/>
  <c r="BL276" i="5"/>
  <c r="BK276" i="5"/>
  <c r="BI276" i="5"/>
  <c r="BH276" i="5"/>
  <c r="BG276" i="5"/>
  <c r="BF276" i="5"/>
  <c r="AR276" i="5"/>
  <c r="AK276" i="5"/>
  <c r="P276" i="5"/>
  <c r="N276" i="5"/>
  <c r="BM275" i="5"/>
  <c r="BL275" i="5"/>
  <c r="BK275" i="5"/>
  <c r="BI275" i="5"/>
  <c r="BH275" i="5"/>
  <c r="BG275" i="5"/>
  <c r="BF275" i="5"/>
  <c r="AR275" i="5"/>
  <c r="AJ275" i="5"/>
  <c r="AJ283" i="5" s="1"/>
  <c r="AG275" i="5"/>
  <c r="AG283" i="5" s="1"/>
  <c r="AD275" i="5"/>
  <c r="AD283" i="5" s="1"/>
  <c r="P275" i="5"/>
  <c r="N275" i="5"/>
  <c r="BM274" i="5"/>
  <c r="BL274" i="5"/>
  <c r="BK274" i="5"/>
  <c r="BI274" i="5"/>
  <c r="BH274" i="5"/>
  <c r="BG274" i="5"/>
  <c r="BF274" i="5"/>
  <c r="BF283" i="5" s="1"/>
  <c r="AR274" i="5"/>
  <c r="P274" i="5"/>
  <c r="N274" i="5"/>
  <c r="AZ272" i="5"/>
  <c r="AZ302" i="5" s="1"/>
  <c r="AY272" i="5"/>
  <c r="AU272" i="5"/>
  <c r="AP272" i="5"/>
  <c r="AO272" i="5"/>
  <c r="AO302" i="5" s="1"/>
  <c r="AL272" i="5"/>
  <c r="AJ272" i="5"/>
  <c r="AI272" i="5"/>
  <c r="AI302" i="5" s="1"/>
  <c r="AG272" i="5"/>
  <c r="AF272" i="5"/>
  <c r="AD272" i="5"/>
  <c r="AA272" i="5"/>
  <c r="Z272" i="5"/>
  <c r="Z302" i="5" s="1"/>
  <c r="C272" i="5"/>
  <c r="BM271" i="5"/>
  <c r="BK271" i="5"/>
  <c r="BJ271" i="5"/>
  <c r="BI271" i="5"/>
  <c r="BH271" i="5"/>
  <c r="BG271" i="5"/>
  <c r="BF271" i="5"/>
  <c r="AR271" i="5"/>
  <c r="P271" i="5"/>
  <c r="N271" i="5"/>
  <c r="BM270" i="5"/>
  <c r="BL270" i="5"/>
  <c r="BJ270" i="5"/>
  <c r="BI270" i="5"/>
  <c r="BH270" i="5"/>
  <c r="BG270" i="5"/>
  <c r="BF270" i="5"/>
  <c r="AR270" i="5"/>
  <c r="P270" i="5"/>
  <c r="N270" i="5"/>
  <c r="BM269" i="5"/>
  <c r="BL269" i="5"/>
  <c r="BK269" i="5"/>
  <c r="BI269" i="5"/>
  <c r="BH269" i="5"/>
  <c r="BG269" i="5"/>
  <c r="BF269" i="5"/>
  <c r="AR269" i="5"/>
  <c r="P269" i="5"/>
  <c r="N269" i="5"/>
  <c r="AR268" i="5"/>
  <c r="P268" i="5"/>
  <c r="N268" i="5"/>
  <c r="AR267" i="5"/>
  <c r="P267" i="5"/>
  <c r="N267" i="5"/>
  <c r="BM266" i="5"/>
  <c r="BM272" i="5" s="1"/>
  <c r="BM302" i="5" s="1"/>
  <c r="BL266" i="5"/>
  <c r="BL272" i="5" s="1"/>
  <c r="BL302" i="5" s="1"/>
  <c r="BK266" i="5"/>
  <c r="BK272" i="5" s="1"/>
  <c r="BK302" i="5" s="1"/>
  <c r="BI266" i="5"/>
  <c r="BH266" i="5"/>
  <c r="BH272" i="5" s="1"/>
  <c r="BH302" i="5" s="1"/>
  <c r="BG266" i="5"/>
  <c r="BG272" i="5" s="1"/>
  <c r="BG302" i="5" s="1"/>
  <c r="BF266" i="5"/>
  <c r="BF272" i="5" s="1"/>
  <c r="BF302" i="5" s="1"/>
  <c r="AR266" i="5"/>
  <c r="P266" i="5"/>
  <c r="N266" i="5"/>
  <c r="AZ261" i="5"/>
  <c r="AY261" i="5"/>
  <c r="AU261" i="5"/>
  <c r="AP261" i="5"/>
  <c r="AO261" i="5"/>
  <c r="AL261" i="5"/>
  <c r="AJ261" i="5"/>
  <c r="AI261" i="5"/>
  <c r="AG261" i="5"/>
  <c r="AF261" i="5"/>
  <c r="AD261" i="5"/>
  <c r="AA261" i="5"/>
  <c r="Z261" i="5"/>
  <c r="Z333" i="5" s="1"/>
  <c r="AQ260" i="5"/>
  <c r="BM259" i="5"/>
  <c r="BK259" i="5"/>
  <c r="BJ259" i="5"/>
  <c r="BI259" i="5"/>
  <c r="BH259" i="5"/>
  <c r="BG259" i="5"/>
  <c r="BF259" i="5"/>
  <c r="AR259" i="5"/>
  <c r="N259" i="5"/>
  <c r="BM258" i="5"/>
  <c r="BK258" i="5"/>
  <c r="BJ258" i="5"/>
  <c r="BI258" i="5"/>
  <c r="BH258" i="5"/>
  <c r="BG258" i="5"/>
  <c r="BF258" i="5"/>
  <c r="AR258" i="5"/>
  <c r="P258" i="5"/>
  <c r="N258" i="5"/>
  <c r="BM257" i="5"/>
  <c r="BK257" i="5"/>
  <c r="BJ257" i="5"/>
  <c r="BI257" i="5"/>
  <c r="BH257" i="5"/>
  <c r="BG257" i="5"/>
  <c r="BF257" i="5"/>
  <c r="AR257" i="5"/>
  <c r="P257" i="5"/>
  <c r="N257" i="5"/>
  <c r="BM256" i="5"/>
  <c r="BK256" i="5"/>
  <c r="BJ256" i="5"/>
  <c r="BI256" i="5"/>
  <c r="BH256" i="5"/>
  <c r="BG256" i="5"/>
  <c r="BF256" i="5"/>
  <c r="AR256" i="5"/>
  <c r="P256" i="5"/>
  <c r="N256" i="5"/>
  <c r="BM255" i="5"/>
  <c r="BK255" i="5"/>
  <c r="BJ255" i="5"/>
  <c r="BI255" i="5"/>
  <c r="BH255" i="5"/>
  <c r="BG255" i="5"/>
  <c r="BF255" i="5"/>
  <c r="AR255" i="5"/>
  <c r="P255" i="5"/>
  <c r="N255" i="5"/>
  <c r="BM254" i="5"/>
  <c r="BK254" i="5"/>
  <c r="BJ254" i="5"/>
  <c r="BI254" i="5"/>
  <c r="BH254" i="5"/>
  <c r="BG254" i="5"/>
  <c r="BF254" i="5"/>
  <c r="AR254" i="5"/>
  <c r="P254" i="5"/>
  <c r="N254" i="5"/>
  <c r="BM253" i="5"/>
  <c r="BK253" i="5"/>
  <c r="BJ253" i="5"/>
  <c r="BI253" i="5"/>
  <c r="BH253" i="5"/>
  <c r="BG253" i="5"/>
  <c r="BF253" i="5"/>
  <c r="AR253" i="5"/>
  <c r="P253" i="5"/>
  <c r="N253" i="5"/>
  <c r="C253" i="5"/>
  <c r="BM252" i="5"/>
  <c r="BK252" i="5"/>
  <c r="BJ252" i="5"/>
  <c r="BI252" i="5"/>
  <c r="BH252" i="5"/>
  <c r="BG252" i="5"/>
  <c r="BF252" i="5"/>
  <c r="AR252" i="5"/>
  <c r="P252" i="5"/>
  <c r="N252" i="5"/>
  <c r="C252" i="5"/>
  <c r="BM251" i="5"/>
  <c r="BK251" i="5"/>
  <c r="BJ251" i="5"/>
  <c r="BI251" i="5"/>
  <c r="BH251" i="5"/>
  <c r="BG251" i="5"/>
  <c r="BF251" i="5"/>
  <c r="AR251" i="5"/>
  <c r="P251" i="5"/>
  <c r="N251" i="5"/>
  <c r="BM250" i="5"/>
  <c r="BK250" i="5"/>
  <c r="BJ250" i="5"/>
  <c r="BI250" i="5"/>
  <c r="BH250" i="5"/>
  <c r="BG250" i="5"/>
  <c r="BF250" i="5"/>
  <c r="AR250" i="5"/>
  <c r="P250" i="5"/>
  <c r="N250" i="5"/>
  <c r="BM249" i="5"/>
  <c r="BK249" i="5"/>
  <c r="BJ249" i="5"/>
  <c r="BI249" i="5"/>
  <c r="BH249" i="5"/>
  <c r="BG249" i="5"/>
  <c r="BF249" i="5"/>
  <c r="AR249" i="5"/>
  <c r="P249" i="5"/>
  <c r="N249" i="5"/>
  <c r="BM248" i="5"/>
  <c r="BK248" i="5"/>
  <c r="BJ248" i="5"/>
  <c r="BI248" i="5"/>
  <c r="BH248" i="5"/>
  <c r="BG248" i="5"/>
  <c r="BF248" i="5"/>
  <c r="AR248" i="5"/>
  <c r="AK248" i="5"/>
  <c r="P248" i="5"/>
  <c r="N248" i="5"/>
  <c r="BM247" i="5"/>
  <c r="BK247" i="5"/>
  <c r="BJ247" i="5"/>
  <c r="BI247" i="5"/>
  <c r="BH247" i="5"/>
  <c r="BG247" i="5"/>
  <c r="BF247" i="5"/>
  <c r="AR247" i="5"/>
  <c r="P247" i="5"/>
  <c r="N247" i="5"/>
  <c r="BM246" i="5"/>
  <c r="BK246" i="5"/>
  <c r="BJ246" i="5"/>
  <c r="BI246" i="5"/>
  <c r="BH246" i="5"/>
  <c r="BG246" i="5"/>
  <c r="BF246" i="5"/>
  <c r="AR246" i="5"/>
  <c r="P246" i="5"/>
  <c r="N246" i="5"/>
  <c r="BM245" i="5"/>
  <c r="BK245" i="5"/>
  <c r="BJ245" i="5"/>
  <c r="BI245" i="5"/>
  <c r="BH245" i="5"/>
  <c r="BG245" i="5"/>
  <c r="BF245" i="5"/>
  <c r="AR245" i="5"/>
  <c r="P245" i="5"/>
  <c r="O245" i="5"/>
  <c r="N245" i="5"/>
  <c r="N681" i="5" s="1"/>
  <c r="BM244" i="5"/>
  <c r="BK244" i="5"/>
  <c r="BJ244" i="5"/>
  <c r="BI244" i="5"/>
  <c r="BH244" i="5"/>
  <c r="BG244" i="5"/>
  <c r="BF244" i="5"/>
  <c r="AS244" i="5"/>
  <c r="R244" i="5"/>
  <c r="R275" i="5" s="1"/>
  <c r="BB234" i="5"/>
  <c r="AQ227" i="5"/>
  <c r="W225" i="5"/>
  <c r="AZ222" i="5"/>
  <c r="AY222" i="5"/>
  <c r="AU222" i="5"/>
  <c r="AM222" i="5"/>
  <c r="AJ222" i="5"/>
  <c r="AG222" i="5"/>
  <c r="AD222" i="5"/>
  <c r="C222" i="5"/>
  <c r="BM221" i="5"/>
  <c r="BL221" i="5"/>
  <c r="BK221" i="5"/>
  <c r="BI221" i="5"/>
  <c r="BH221" i="5"/>
  <c r="BG221" i="5"/>
  <c r="BF221" i="5"/>
  <c r="AN221" i="5"/>
  <c r="N221" i="5"/>
  <c r="BM220" i="5"/>
  <c r="BK220" i="5"/>
  <c r="BJ220" i="5"/>
  <c r="BI220" i="5"/>
  <c r="BH220" i="5"/>
  <c r="BG220" i="5"/>
  <c r="BF220" i="5"/>
  <c r="P220" i="5"/>
  <c r="N220" i="5"/>
  <c r="N762" i="5" s="1"/>
  <c r="BM219" i="5"/>
  <c r="BL219" i="5"/>
  <c r="BK219" i="5"/>
  <c r="BI219" i="5"/>
  <c r="BH219" i="5"/>
  <c r="BG219" i="5"/>
  <c r="BF219" i="5"/>
  <c r="R219" i="5"/>
  <c r="P219" i="5"/>
  <c r="P761" i="5" s="1"/>
  <c r="N219" i="5"/>
  <c r="N761" i="5" s="1"/>
  <c r="BM218" i="5"/>
  <c r="BL218" i="5"/>
  <c r="BJ218" i="5"/>
  <c r="BI218" i="5"/>
  <c r="BH218" i="5"/>
  <c r="BG218" i="5"/>
  <c r="BF218" i="5"/>
  <c r="P218" i="5"/>
  <c r="N218" i="5"/>
  <c r="N760" i="5" s="1"/>
  <c r="AZ213" i="5"/>
  <c r="AY213" i="5"/>
  <c r="AU213" i="5"/>
  <c r="AJ213" i="5"/>
  <c r="AG213" i="5"/>
  <c r="AD213" i="5"/>
  <c r="C213" i="5"/>
  <c r="BM211" i="5"/>
  <c r="BL211" i="5"/>
  <c r="BJ211" i="5"/>
  <c r="BI211" i="5"/>
  <c r="BH211" i="5"/>
  <c r="BG211" i="5"/>
  <c r="BF211" i="5"/>
  <c r="N211" i="5"/>
  <c r="BM210" i="5"/>
  <c r="BL210" i="5"/>
  <c r="BJ210" i="5"/>
  <c r="BI210" i="5"/>
  <c r="BH210" i="5"/>
  <c r="BG210" i="5"/>
  <c r="BF210" i="5"/>
  <c r="N210" i="5"/>
  <c r="BM209" i="5"/>
  <c r="BL209" i="5"/>
  <c r="BJ209" i="5"/>
  <c r="BI209" i="5"/>
  <c r="BH209" i="5"/>
  <c r="BG209" i="5"/>
  <c r="BF209" i="5"/>
  <c r="N209" i="5"/>
  <c r="BM208" i="5"/>
  <c r="BL208" i="5"/>
  <c r="BJ208" i="5"/>
  <c r="BI208" i="5"/>
  <c r="BH208" i="5"/>
  <c r="BG208" i="5"/>
  <c r="BF208" i="5"/>
  <c r="P208" i="5"/>
  <c r="N208" i="5"/>
  <c r="AZ205" i="5"/>
  <c r="AZ215" i="5" s="1"/>
  <c r="AY205" i="5"/>
  <c r="AY215" i="5" s="1"/>
  <c r="AU205" i="5"/>
  <c r="AU215" i="5" s="1"/>
  <c r="AP205" i="5"/>
  <c r="AJ205" i="5"/>
  <c r="AJ215" i="5" s="1"/>
  <c r="AG205" i="5"/>
  <c r="AG215" i="5" s="1"/>
  <c r="AD205" i="5"/>
  <c r="AD215" i="5" s="1"/>
  <c r="AA205" i="5"/>
  <c r="AQ204" i="5"/>
  <c r="BM202" i="5"/>
  <c r="BL202" i="5"/>
  <c r="BJ202" i="5"/>
  <c r="BI202" i="5"/>
  <c r="BH202" i="5"/>
  <c r="BG202" i="5"/>
  <c r="BF202" i="5"/>
  <c r="AR202" i="5"/>
  <c r="AK202" i="5"/>
  <c r="P202" i="5"/>
  <c r="N202" i="5"/>
  <c r="BM201" i="5"/>
  <c r="BL201" i="5"/>
  <c r="BK201" i="5"/>
  <c r="BI201" i="5"/>
  <c r="BH201" i="5"/>
  <c r="BG201" i="5"/>
  <c r="BF201" i="5"/>
  <c r="AR201" i="5"/>
  <c r="AK201" i="5"/>
  <c r="P201" i="5"/>
  <c r="N201" i="5"/>
  <c r="C201" i="5"/>
  <c r="BM200" i="5"/>
  <c r="BL200" i="5"/>
  <c r="BK200" i="5"/>
  <c r="BI200" i="5"/>
  <c r="BH200" i="5"/>
  <c r="BG200" i="5"/>
  <c r="BF200" i="5"/>
  <c r="AR200" i="5"/>
  <c r="P200" i="5"/>
  <c r="N200" i="5"/>
  <c r="BM199" i="5"/>
  <c r="BK199" i="5"/>
  <c r="BJ199" i="5"/>
  <c r="BI199" i="5"/>
  <c r="BH199" i="5"/>
  <c r="BG199" i="5"/>
  <c r="BF199" i="5"/>
  <c r="AR199" i="5"/>
  <c r="AK199" i="5"/>
  <c r="P199" i="5"/>
  <c r="N199" i="5"/>
  <c r="BM198" i="5"/>
  <c r="BK198" i="5"/>
  <c r="BJ198" i="5"/>
  <c r="BI198" i="5"/>
  <c r="BI215" i="5" s="1"/>
  <c r="BH198" i="5"/>
  <c r="BG198" i="5"/>
  <c r="BF198" i="5"/>
  <c r="AR198" i="5"/>
  <c r="P198" i="5"/>
  <c r="N198" i="5"/>
  <c r="C198" i="5"/>
  <c r="C205" i="5" s="1"/>
  <c r="C215" i="5" s="1"/>
  <c r="AZ193" i="5"/>
  <c r="AY193" i="5"/>
  <c r="AU193" i="5"/>
  <c r="AP193" i="5"/>
  <c r="AQ192" i="5"/>
  <c r="AR191" i="5"/>
  <c r="P191" i="5"/>
  <c r="N191" i="5"/>
  <c r="AR190" i="5"/>
  <c r="P190" i="5"/>
  <c r="N190" i="5"/>
  <c r="C190" i="5"/>
  <c r="AR189" i="5"/>
  <c r="P189" i="5"/>
  <c r="N189" i="5"/>
  <c r="AR188" i="5"/>
  <c r="AK188" i="5"/>
  <c r="AJ188" i="5"/>
  <c r="AJ193" i="5" s="1"/>
  <c r="AG188" i="5"/>
  <c r="AG193" i="5" s="1"/>
  <c r="AD188" i="5"/>
  <c r="AD193" i="5" s="1"/>
  <c r="P188" i="5"/>
  <c r="N188" i="5"/>
  <c r="C188" i="5"/>
  <c r="C193" i="5" s="1"/>
  <c r="AZ186" i="5"/>
  <c r="AY186" i="5"/>
  <c r="AU186" i="5"/>
  <c r="AP186" i="5"/>
  <c r="AO186" i="5"/>
  <c r="AL186" i="5"/>
  <c r="AI186" i="5"/>
  <c r="AF186" i="5"/>
  <c r="Z186" i="5"/>
  <c r="AR184" i="5"/>
  <c r="N184" i="5"/>
  <c r="AR183" i="5"/>
  <c r="P183" i="5"/>
  <c r="N183" i="5"/>
  <c r="C183" i="5"/>
  <c r="AR182" i="5"/>
  <c r="P182" i="5"/>
  <c r="N182" i="5"/>
  <c r="C182" i="5"/>
  <c r="AR181" i="5"/>
  <c r="P181" i="5"/>
  <c r="N181" i="5"/>
  <c r="AR180" i="5"/>
  <c r="P180" i="5"/>
  <c r="N180" i="5"/>
  <c r="AR179" i="5"/>
  <c r="AK179" i="5"/>
  <c r="AJ179" i="5"/>
  <c r="AJ186" i="5" s="1"/>
  <c r="AG179" i="5"/>
  <c r="AG186" i="5" s="1"/>
  <c r="AD179" i="5"/>
  <c r="AD186" i="5" s="1"/>
  <c r="P179" i="5"/>
  <c r="N179" i="5"/>
  <c r="C179" i="5"/>
  <c r="C186" i="5" s="1"/>
  <c r="AZ175" i="5"/>
  <c r="AY175" i="5"/>
  <c r="C175" i="5"/>
  <c r="BM174" i="5"/>
  <c r="BL174" i="5"/>
  <c r="BK174" i="5"/>
  <c r="AQ174" i="5"/>
  <c r="BM173" i="5"/>
  <c r="BL173" i="5"/>
  <c r="BK173" i="5"/>
  <c r="BI173" i="5"/>
  <c r="BH173" i="5"/>
  <c r="BG173" i="5"/>
  <c r="BF173" i="5"/>
  <c r="P173" i="5"/>
  <c r="N173" i="5"/>
  <c r="BM172" i="5"/>
  <c r="BL172" i="5"/>
  <c r="BK172" i="5"/>
  <c r="BI172" i="5"/>
  <c r="BH172" i="5"/>
  <c r="BG172" i="5"/>
  <c r="BF172" i="5"/>
  <c r="AR172" i="5"/>
  <c r="N172" i="5"/>
  <c r="BM171" i="5"/>
  <c r="BL171" i="5"/>
  <c r="BK171" i="5"/>
  <c r="BI171" i="5"/>
  <c r="BH171" i="5"/>
  <c r="BG171" i="5"/>
  <c r="BF171" i="5"/>
  <c r="AR171" i="5"/>
  <c r="N171" i="5"/>
  <c r="BM170" i="5"/>
  <c r="BL170" i="5"/>
  <c r="BK170" i="5"/>
  <c r="BI170" i="5"/>
  <c r="BH170" i="5"/>
  <c r="BG170" i="5"/>
  <c r="BF170" i="5"/>
  <c r="AR170" i="5"/>
  <c r="AK170" i="5"/>
  <c r="P170" i="5"/>
  <c r="N170" i="5"/>
  <c r="BM169" i="5"/>
  <c r="BL169" i="5"/>
  <c r="BK169" i="5"/>
  <c r="BI169" i="5"/>
  <c r="BH169" i="5"/>
  <c r="BG169" i="5"/>
  <c r="BF169" i="5"/>
  <c r="AR169" i="5"/>
  <c r="AK169" i="5"/>
  <c r="AJ169" i="5"/>
  <c r="AG169" i="5"/>
  <c r="AD169" i="5"/>
  <c r="P169" i="5"/>
  <c r="N169" i="5"/>
  <c r="BM168" i="5"/>
  <c r="BL168" i="5"/>
  <c r="BK168" i="5"/>
  <c r="BI168" i="5"/>
  <c r="BH168" i="5"/>
  <c r="BG168" i="5"/>
  <c r="BF168" i="5"/>
  <c r="AU168" i="5"/>
  <c r="AU712" i="5" s="1"/>
  <c r="BP712" i="5" s="1"/>
  <c r="AR168" i="5"/>
  <c r="AK168" i="5"/>
  <c r="P168" i="5"/>
  <c r="N168" i="5"/>
  <c r="BM167" i="5"/>
  <c r="BL167" i="5"/>
  <c r="BK167" i="5"/>
  <c r="BI167" i="5"/>
  <c r="BH167" i="5"/>
  <c r="BG167" i="5"/>
  <c r="BF167" i="5"/>
  <c r="AR167" i="5"/>
  <c r="AJ167" i="5"/>
  <c r="AG167" i="5"/>
  <c r="AG175" i="5" s="1"/>
  <c r="AD167" i="5"/>
  <c r="P167" i="5"/>
  <c r="N167" i="5"/>
  <c r="BM166" i="5"/>
  <c r="BL166" i="5"/>
  <c r="BK166" i="5"/>
  <c r="BI166" i="5"/>
  <c r="BH166" i="5"/>
  <c r="BH175" i="5" s="1"/>
  <c r="BG166" i="5"/>
  <c r="BF166" i="5"/>
  <c r="AR166" i="5"/>
  <c r="P166" i="5"/>
  <c r="N166" i="5"/>
  <c r="AZ164" i="5"/>
  <c r="AY164" i="5"/>
  <c r="AU164" i="5"/>
  <c r="AP164" i="5"/>
  <c r="AO164" i="5"/>
  <c r="AO194" i="5" s="1"/>
  <c r="AL164" i="5"/>
  <c r="AL194" i="5" s="1"/>
  <c r="AJ164" i="5"/>
  <c r="AI164" i="5"/>
  <c r="AI194" i="5" s="1"/>
  <c r="AG164" i="5"/>
  <c r="AF164" i="5"/>
  <c r="AF194" i="5" s="1"/>
  <c r="AD164" i="5"/>
  <c r="AA164" i="5"/>
  <c r="Z164" i="5"/>
  <c r="Z194" i="5" s="1"/>
  <c r="C164" i="5"/>
  <c r="C194" i="5" s="1"/>
  <c r="BM163" i="5"/>
  <c r="BK163" i="5"/>
  <c r="BJ163" i="5"/>
  <c r="BI163" i="5"/>
  <c r="BH163" i="5"/>
  <c r="BG163" i="5"/>
  <c r="BF163" i="5"/>
  <c r="AR163" i="5"/>
  <c r="P163" i="5"/>
  <c r="N163" i="5"/>
  <c r="BM162" i="5"/>
  <c r="BL162" i="5"/>
  <c r="BJ162" i="5"/>
  <c r="BI162" i="5"/>
  <c r="BH162" i="5"/>
  <c r="BG162" i="5"/>
  <c r="BF162" i="5"/>
  <c r="AR162" i="5"/>
  <c r="P162" i="5"/>
  <c r="N162" i="5"/>
  <c r="BM161" i="5"/>
  <c r="BL161" i="5"/>
  <c r="BK161" i="5"/>
  <c r="BI161" i="5"/>
  <c r="BH161" i="5"/>
  <c r="BG161" i="5"/>
  <c r="BF161" i="5"/>
  <c r="AR161" i="5"/>
  <c r="P161" i="5"/>
  <c r="N161" i="5"/>
  <c r="AR160" i="5"/>
  <c r="P160" i="5"/>
  <c r="N160" i="5"/>
  <c r="AR159" i="5"/>
  <c r="P159" i="5"/>
  <c r="N159" i="5"/>
  <c r="BM158" i="5"/>
  <c r="BM164" i="5" s="1"/>
  <c r="BM194" i="5" s="1"/>
  <c r="BL158" i="5"/>
  <c r="BL164" i="5" s="1"/>
  <c r="BL194" i="5" s="1"/>
  <c r="BK158" i="5"/>
  <c r="BK164" i="5" s="1"/>
  <c r="BK194" i="5" s="1"/>
  <c r="BI158" i="5"/>
  <c r="BI164" i="5" s="1"/>
  <c r="BI194" i="5" s="1"/>
  <c r="BH158" i="5"/>
  <c r="BH164" i="5" s="1"/>
  <c r="BH194" i="5" s="1"/>
  <c r="BG158" i="5"/>
  <c r="BG164" i="5" s="1"/>
  <c r="BG194" i="5" s="1"/>
  <c r="BF158" i="5"/>
  <c r="AR158" i="5"/>
  <c r="P158" i="5"/>
  <c r="N158" i="5"/>
  <c r="AZ153" i="5"/>
  <c r="AY153" i="5"/>
  <c r="AU153" i="5"/>
  <c r="AP153" i="5"/>
  <c r="AO153" i="5"/>
  <c r="AO225" i="5" s="1"/>
  <c r="AL153" i="5"/>
  <c r="AJ153" i="5"/>
  <c r="AI153" i="5"/>
  <c r="AI225" i="5" s="1"/>
  <c r="AG153" i="5"/>
  <c r="AF153" i="5"/>
  <c r="AD153" i="5"/>
  <c r="AA153" i="5"/>
  <c r="Z153" i="5"/>
  <c r="AQ152" i="5"/>
  <c r="BM151" i="5"/>
  <c r="BK151" i="5"/>
  <c r="BJ151" i="5"/>
  <c r="BI151" i="5"/>
  <c r="BH151" i="5"/>
  <c r="BG151" i="5"/>
  <c r="BF151" i="5"/>
  <c r="AR151" i="5"/>
  <c r="N151" i="5"/>
  <c r="BM150" i="5"/>
  <c r="BK150" i="5"/>
  <c r="BJ150" i="5"/>
  <c r="BI150" i="5"/>
  <c r="BH150" i="5"/>
  <c r="BG150" i="5"/>
  <c r="BF150" i="5"/>
  <c r="AR150" i="5"/>
  <c r="P150" i="5"/>
  <c r="N150" i="5"/>
  <c r="BM149" i="5"/>
  <c r="BK149" i="5"/>
  <c r="BJ149" i="5"/>
  <c r="BI149" i="5"/>
  <c r="BH149" i="5"/>
  <c r="BG149" i="5"/>
  <c r="BF149" i="5"/>
  <c r="AR149" i="5"/>
  <c r="P149" i="5"/>
  <c r="N149" i="5"/>
  <c r="BM148" i="5"/>
  <c r="BK148" i="5"/>
  <c r="BJ148" i="5"/>
  <c r="BI148" i="5"/>
  <c r="BH148" i="5"/>
  <c r="BG148" i="5"/>
  <c r="BF148" i="5"/>
  <c r="AR148" i="5"/>
  <c r="P148" i="5"/>
  <c r="N148" i="5"/>
  <c r="BM147" i="5"/>
  <c r="BK147" i="5"/>
  <c r="BJ147" i="5"/>
  <c r="BI147" i="5"/>
  <c r="BH147" i="5"/>
  <c r="BG147" i="5"/>
  <c r="BF147" i="5"/>
  <c r="AR147" i="5"/>
  <c r="P147" i="5"/>
  <c r="N147" i="5"/>
  <c r="BM146" i="5"/>
  <c r="BK146" i="5"/>
  <c r="BJ146" i="5"/>
  <c r="BI146" i="5"/>
  <c r="BH146" i="5"/>
  <c r="BG146" i="5"/>
  <c r="BF146" i="5"/>
  <c r="AR146" i="5"/>
  <c r="P146" i="5"/>
  <c r="N146" i="5"/>
  <c r="BM145" i="5"/>
  <c r="BK145" i="5"/>
  <c r="BJ145" i="5"/>
  <c r="BI145" i="5"/>
  <c r="BH145" i="5"/>
  <c r="BG145" i="5"/>
  <c r="BF145" i="5"/>
  <c r="AR145" i="5"/>
  <c r="P145" i="5"/>
  <c r="N145" i="5"/>
  <c r="C145" i="5"/>
  <c r="BM144" i="5"/>
  <c r="BK144" i="5"/>
  <c r="BJ144" i="5"/>
  <c r="BI144" i="5"/>
  <c r="BH144" i="5"/>
  <c r="BG144" i="5"/>
  <c r="BF144" i="5"/>
  <c r="AR144" i="5"/>
  <c r="P144" i="5"/>
  <c r="N144" i="5"/>
  <c r="C144" i="5"/>
  <c r="C153" i="5" s="1"/>
  <c r="BM143" i="5"/>
  <c r="BK143" i="5"/>
  <c r="BJ143" i="5"/>
  <c r="BI143" i="5"/>
  <c r="BH143" i="5"/>
  <c r="BG143" i="5"/>
  <c r="BF143" i="5"/>
  <c r="AR143" i="5"/>
  <c r="P143" i="5"/>
  <c r="N143" i="5"/>
  <c r="BM142" i="5"/>
  <c r="BK142" i="5"/>
  <c r="BJ142" i="5"/>
  <c r="BI142" i="5"/>
  <c r="BH142" i="5"/>
  <c r="BG142" i="5"/>
  <c r="BF142" i="5"/>
  <c r="AR142" i="5"/>
  <c r="P142" i="5"/>
  <c r="N142" i="5"/>
  <c r="BM141" i="5"/>
  <c r="BK141" i="5"/>
  <c r="BJ141" i="5"/>
  <c r="BI141" i="5"/>
  <c r="BH141" i="5"/>
  <c r="BG141" i="5"/>
  <c r="BF141" i="5"/>
  <c r="AR141" i="5"/>
  <c r="P141" i="5"/>
  <c r="N141" i="5"/>
  <c r="BM140" i="5"/>
  <c r="BK140" i="5"/>
  <c r="BJ140" i="5"/>
  <c r="BI140" i="5"/>
  <c r="BH140" i="5"/>
  <c r="BG140" i="5"/>
  <c r="BF140" i="5"/>
  <c r="AR140" i="5"/>
  <c r="AK140" i="5"/>
  <c r="P140" i="5"/>
  <c r="N140" i="5"/>
  <c r="BM139" i="5"/>
  <c r="BK139" i="5"/>
  <c r="BJ139" i="5"/>
  <c r="BI139" i="5"/>
  <c r="BH139" i="5"/>
  <c r="BG139" i="5"/>
  <c r="BF139" i="5"/>
  <c r="AR139" i="5"/>
  <c r="P139" i="5"/>
  <c r="N139" i="5"/>
  <c r="BM138" i="5"/>
  <c r="BK138" i="5"/>
  <c r="BJ138" i="5"/>
  <c r="BI138" i="5"/>
  <c r="BH138" i="5"/>
  <c r="BG138" i="5"/>
  <c r="BF138" i="5"/>
  <c r="AR138" i="5"/>
  <c r="P138" i="5"/>
  <c r="N138" i="5"/>
  <c r="BM137" i="5"/>
  <c r="BK137" i="5"/>
  <c r="BJ137" i="5"/>
  <c r="BI137" i="5"/>
  <c r="BH137" i="5"/>
  <c r="BG137" i="5"/>
  <c r="BF137" i="5"/>
  <c r="AR137" i="5"/>
  <c r="P137" i="5"/>
  <c r="O137" i="5"/>
  <c r="N137" i="5"/>
  <c r="BM136" i="5"/>
  <c r="BK136" i="5"/>
  <c r="BJ136" i="5"/>
  <c r="BI136" i="5"/>
  <c r="BH136" i="5"/>
  <c r="BG136" i="5"/>
  <c r="BF136" i="5"/>
  <c r="AS136" i="5"/>
  <c r="R136" i="5"/>
  <c r="BB126" i="5"/>
  <c r="BD116" i="5"/>
  <c r="T116" i="5"/>
  <c r="BD115" i="5"/>
  <c r="T115" i="5"/>
  <c r="BD114" i="5"/>
  <c r="T114" i="5"/>
  <c r="BD113" i="5"/>
  <c r="T113" i="5"/>
  <c r="BD112" i="5"/>
  <c r="T112" i="5"/>
  <c r="BD111" i="5"/>
  <c r="T111" i="5"/>
  <c r="BD110" i="5"/>
  <c r="T110" i="5"/>
  <c r="BD109" i="5"/>
  <c r="T109" i="5"/>
  <c r="AZ105" i="5"/>
  <c r="AY105" i="5"/>
  <c r="AU105" i="5"/>
  <c r="AJ105" i="5"/>
  <c r="AG105" i="5"/>
  <c r="AD105" i="5"/>
  <c r="C105" i="5"/>
  <c r="BM103" i="5"/>
  <c r="BL103" i="5"/>
  <c r="BJ103" i="5"/>
  <c r="BI103" i="5"/>
  <c r="BH103" i="5"/>
  <c r="BG103" i="5"/>
  <c r="BF103" i="5"/>
  <c r="N103" i="5"/>
  <c r="N755" i="5" s="1"/>
  <c r="BM102" i="5"/>
  <c r="BL102" i="5"/>
  <c r="BJ102" i="5"/>
  <c r="BI102" i="5"/>
  <c r="BH102" i="5"/>
  <c r="BG102" i="5"/>
  <c r="BF102" i="5"/>
  <c r="N102" i="5"/>
  <c r="BM101" i="5"/>
  <c r="BL101" i="5"/>
  <c r="BJ101" i="5"/>
  <c r="BI101" i="5"/>
  <c r="BH101" i="5"/>
  <c r="BG101" i="5"/>
  <c r="BF101" i="5"/>
  <c r="N101" i="5"/>
  <c r="BM100" i="5"/>
  <c r="BL100" i="5"/>
  <c r="BJ100" i="5"/>
  <c r="BI100" i="5"/>
  <c r="BH100" i="5"/>
  <c r="BG100" i="5"/>
  <c r="BF100" i="5"/>
  <c r="P100" i="5"/>
  <c r="N100" i="5"/>
  <c r="N752" i="5" s="1"/>
  <c r="AZ97" i="5"/>
  <c r="AZ107" i="5" s="1"/>
  <c r="AY97" i="5"/>
  <c r="AY107" i="5" s="1"/>
  <c r="AU97" i="5"/>
  <c r="AU107" i="5" s="1"/>
  <c r="AP97" i="5"/>
  <c r="AJ97" i="5"/>
  <c r="AJ107" i="5" s="1"/>
  <c r="AG97" i="5"/>
  <c r="AD97" i="5"/>
  <c r="AD107" i="5" s="1"/>
  <c r="AA97" i="5"/>
  <c r="AM96" i="5"/>
  <c r="AM748" i="5" s="1"/>
  <c r="AQ748" i="5" s="1"/>
  <c r="BM94" i="5"/>
  <c r="BL94" i="5"/>
  <c r="BJ94" i="5"/>
  <c r="BI94" i="5"/>
  <c r="BH94" i="5"/>
  <c r="BG94" i="5"/>
  <c r="BF94" i="5"/>
  <c r="AR94" i="5"/>
  <c r="AK94" i="5"/>
  <c r="P94" i="5"/>
  <c r="N94" i="5"/>
  <c r="N746" i="5" s="1"/>
  <c r="BM93" i="5"/>
  <c r="BL93" i="5"/>
  <c r="BK93" i="5"/>
  <c r="BI93" i="5"/>
  <c r="BH93" i="5"/>
  <c r="BG93" i="5"/>
  <c r="BF93" i="5"/>
  <c r="AR93" i="5"/>
  <c r="AK93" i="5"/>
  <c r="P93" i="5"/>
  <c r="P745" i="5" s="1"/>
  <c r="N93" i="5"/>
  <c r="N745" i="5" s="1"/>
  <c r="C93" i="5"/>
  <c r="BM92" i="5"/>
  <c r="BL92" i="5"/>
  <c r="BK92" i="5"/>
  <c r="BI92" i="5"/>
  <c r="BH92" i="5"/>
  <c r="BG92" i="5"/>
  <c r="BF92" i="5"/>
  <c r="AR92" i="5"/>
  <c r="P92" i="5"/>
  <c r="N92" i="5"/>
  <c r="N744" i="5" s="1"/>
  <c r="BM91" i="5"/>
  <c r="BK91" i="5"/>
  <c r="BJ91" i="5"/>
  <c r="BI91" i="5"/>
  <c r="BH91" i="5"/>
  <c r="BG91" i="5"/>
  <c r="BF91" i="5"/>
  <c r="AR91" i="5"/>
  <c r="AK91" i="5"/>
  <c r="P91" i="5"/>
  <c r="P743" i="5" s="1"/>
  <c r="N91" i="5"/>
  <c r="BM90" i="5"/>
  <c r="BK90" i="5"/>
  <c r="BJ90" i="5"/>
  <c r="BI90" i="5"/>
  <c r="BH90" i="5"/>
  <c r="BG90" i="5"/>
  <c r="BF90" i="5"/>
  <c r="BF107" i="5" s="1"/>
  <c r="AR90" i="5"/>
  <c r="P90" i="5"/>
  <c r="N90" i="5"/>
  <c r="N742" i="5" s="1"/>
  <c r="C90" i="5"/>
  <c r="AZ85" i="5"/>
  <c r="AY85" i="5"/>
  <c r="AU85" i="5"/>
  <c r="AP85" i="5"/>
  <c r="AQ84" i="5"/>
  <c r="AR83" i="5"/>
  <c r="P83" i="5"/>
  <c r="P735" i="5" s="1"/>
  <c r="N83" i="5"/>
  <c r="AR82" i="5"/>
  <c r="P82" i="5"/>
  <c r="P734" i="5" s="1"/>
  <c r="N82" i="5"/>
  <c r="N734" i="5" s="1"/>
  <c r="C82" i="5"/>
  <c r="AR81" i="5"/>
  <c r="P81" i="5"/>
  <c r="N81" i="5"/>
  <c r="N733" i="5" s="1"/>
  <c r="AR80" i="5"/>
  <c r="AK80" i="5"/>
  <c r="AJ80" i="5"/>
  <c r="AJ85" i="5" s="1"/>
  <c r="AG80" i="5"/>
  <c r="AG85" i="5" s="1"/>
  <c r="AD80" i="5"/>
  <c r="AD85" i="5" s="1"/>
  <c r="P80" i="5"/>
  <c r="N80" i="5"/>
  <c r="N732" i="5" s="1"/>
  <c r="C80" i="5"/>
  <c r="AZ78" i="5"/>
  <c r="AY78" i="5"/>
  <c r="AU78" i="5"/>
  <c r="AP78" i="5"/>
  <c r="AO78" i="5"/>
  <c r="AL78" i="5"/>
  <c r="AI78" i="5"/>
  <c r="AF78" i="5"/>
  <c r="Z78" i="5"/>
  <c r="AQ77" i="5"/>
  <c r="N76" i="5"/>
  <c r="N728" i="5" s="1"/>
  <c r="P75" i="5"/>
  <c r="P727" i="5" s="1"/>
  <c r="N75" i="5"/>
  <c r="C75" i="5"/>
  <c r="AR74" i="5"/>
  <c r="R74" i="5"/>
  <c r="P74" i="5"/>
  <c r="P726" i="5" s="1"/>
  <c r="N74" i="5"/>
  <c r="N726" i="5" s="1"/>
  <c r="C74" i="5"/>
  <c r="C726" i="5" s="1"/>
  <c r="BP726" i="5" s="1"/>
  <c r="AR73" i="5"/>
  <c r="P73" i="5"/>
  <c r="P725" i="5" s="1"/>
  <c r="N73" i="5"/>
  <c r="AR72" i="5"/>
  <c r="P72" i="5"/>
  <c r="P724" i="5" s="1"/>
  <c r="N72" i="5"/>
  <c r="N724" i="5" s="1"/>
  <c r="AR71" i="5"/>
  <c r="AK71" i="5"/>
  <c r="AJ71" i="5"/>
  <c r="AJ78" i="5" s="1"/>
  <c r="AG71" i="5"/>
  <c r="AG78" i="5" s="1"/>
  <c r="AD71" i="5"/>
  <c r="AD78" i="5" s="1"/>
  <c r="P71" i="5"/>
  <c r="N71" i="5"/>
  <c r="N723" i="5" s="1"/>
  <c r="C71" i="5"/>
  <c r="C723" i="5" s="1"/>
  <c r="AZ67" i="5"/>
  <c r="AY67" i="5"/>
  <c r="AU67" i="5"/>
  <c r="C67" i="5"/>
  <c r="BM66" i="5"/>
  <c r="BL66" i="5"/>
  <c r="BK66" i="5"/>
  <c r="AQ66" i="5"/>
  <c r="BM65" i="5"/>
  <c r="BL65" i="5"/>
  <c r="BK65" i="5"/>
  <c r="BI65" i="5"/>
  <c r="BH65" i="5"/>
  <c r="BG65" i="5"/>
  <c r="BF65" i="5"/>
  <c r="P65" i="5"/>
  <c r="P717" i="5" s="1"/>
  <c r="N65" i="5"/>
  <c r="N717" i="5" s="1"/>
  <c r="AR64" i="5"/>
  <c r="N64" i="5"/>
  <c r="N716" i="5" s="1"/>
  <c r="BM63" i="5"/>
  <c r="BL63" i="5"/>
  <c r="BK63" i="5"/>
  <c r="BI63" i="5"/>
  <c r="BH63" i="5"/>
  <c r="BG63" i="5"/>
  <c r="BF63" i="5"/>
  <c r="AR63" i="5"/>
  <c r="N63" i="5"/>
  <c r="BM62" i="5"/>
  <c r="BL62" i="5"/>
  <c r="BK62" i="5"/>
  <c r="BI62" i="5"/>
  <c r="BH62" i="5"/>
  <c r="BG62" i="5"/>
  <c r="BF62" i="5"/>
  <c r="AR62" i="5"/>
  <c r="AK62" i="5"/>
  <c r="P62" i="5"/>
  <c r="P714" i="5" s="1"/>
  <c r="N62" i="5"/>
  <c r="BM61" i="5"/>
  <c r="BL61" i="5"/>
  <c r="BK61" i="5"/>
  <c r="BI61" i="5"/>
  <c r="BH61" i="5"/>
  <c r="BG61" i="5"/>
  <c r="BF61" i="5"/>
  <c r="AK61" i="5"/>
  <c r="AJ61" i="5"/>
  <c r="AG61" i="5"/>
  <c r="AD61" i="5"/>
  <c r="P61" i="5"/>
  <c r="P713" i="5" s="1"/>
  <c r="N61" i="5"/>
  <c r="BM60" i="5"/>
  <c r="BL60" i="5"/>
  <c r="BK60" i="5"/>
  <c r="BI60" i="5"/>
  <c r="BH60" i="5"/>
  <c r="BG60" i="5"/>
  <c r="BF60" i="5"/>
  <c r="AR60" i="5"/>
  <c r="AK60" i="5"/>
  <c r="P60" i="5"/>
  <c r="N60" i="5"/>
  <c r="N712" i="5" s="1"/>
  <c r="BM59" i="5"/>
  <c r="BL59" i="5"/>
  <c r="BK59" i="5"/>
  <c r="BI59" i="5"/>
  <c r="BH59" i="5"/>
  <c r="BG59" i="5"/>
  <c r="BF59" i="5"/>
  <c r="AR59" i="5"/>
  <c r="AJ59" i="5"/>
  <c r="AJ67" i="5" s="1"/>
  <c r="AG59" i="5"/>
  <c r="AG67" i="5" s="1"/>
  <c r="AD59" i="5"/>
  <c r="AD67" i="5" s="1"/>
  <c r="P59" i="5"/>
  <c r="P711" i="5" s="1"/>
  <c r="N59" i="5"/>
  <c r="BM58" i="5"/>
  <c r="BL58" i="5"/>
  <c r="BL67" i="5" s="1"/>
  <c r="BK58" i="5"/>
  <c r="BI58" i="5"/>
  <c r="BH58" i="5"/>
  <c r="BH67" i="5" s="1"/>
  <c r="BG58" i="5"/>
  <c r="BG67" i="5" s="1"/>
  <c r="BF58" i="5"/>
  <c r="BF67" i="5" s="1"/>
  <c r="AR58" i="5"/>
  <c r="P58" i="5"/>
  <c r="P710" i="5" s="1"/>
  <c r="N58" i="5"/>
  <c r="AZ56" i="5"/>
  <c r="AY56" i="5"/>
  <c r="AY86" i="5" s="1"/>
  <c r="AU56" i="5"/>
  <c r="AP56" i="5"/>
  <c r="AO56" i="5"/>
  <c r="AL56" i="5"/>
  <c r="AL86" i="5" s="1"/>
  <c r="AJ56" i="5"/>
  <c r="AI56" i="5"/>
  <c r="AI86" i="5" s="1"/>
  <c r="AG56" i="5"/>
  <c r="AF56" i="5"/>
  <c r="AF86" i="5" s="1"/>
  <c r="AD56" i="5"/>
  <c r="AA56" i="5"/>
  <c r="Z56" i="5"/>
  <c r="Z86" i="5" s="1"/>
  <c r="W56" i="5"/>
  <c r="C56" i="5"/>
  <c r="AR55" i="5"/>
  <c r="P55" i="5"/>
  <c r="N55" i="5"/>
  <c r="N707" i="5" s="1"/>
  <c r="BM54" i="5"/>
  <c r="BL54" i="5"/>
  <c r="BJ54" i="5"/>
  <c r="BI54" i="5"/>
  <c r="BH54" i="5"/>
  <c r="BG54" i="5"/>
  <c r="BF54" i="5"/>
  <c r="AR54" i="5"/>
  <c r="P54" i="5"/>
  <c r="N54" i="5"/>
  <c r="N706" i="5" s="1"/>
  <c r="BM53" i="5"/>
  <c r="BL53" i="5"/>
  <c r="BK53" i="5"/>
  <c r="BI53" i="5"/>
  <c r="BH53" i="5"/>
  <c r="BG53" i="5"/>
  <c r="BF53" i="5"/>
  <c r="AR53" i="5"/>
  <c r="P53" i="5"/>
  <c r="N53" i="5"/>
  <c r="N705" i="5" s="1"/>
  <c r="AR52" i="5"/>
  <c r="P52" i="5"/>
  <c r="N52" i="5"/>
  <c r="N704" i="5" s="1"/>
  <c r="AR51" i="5"/>
  <c r="P51" i="5"/>
  <c r="P703" i="5" s="1"/>
  <c r="N51" i="5"/>
  <c r="N703" i="5" s="1"/>
  <c r="BM50" i="5"/>
  <c r="BM56" i="5" s="1"/>
  <c r="BM86" i="5" s="1"/>
  <c r="BL50" i="5"/>
  <c r="BL56" i="5" s="1"/>
  <c r="BL86" i="5" s="1"/>
  <c r="BK50" i="5"/>
  <c r="BK56" i="5" s="1"/>
  <c r="BK86" i="5" s="1"/>
  <c r="BI50" i="5"/>
  <c r="BI56" i="5" s="1"/>
  <c r="BI86" i="5" s="1"/>
  <c r="BH50" i="5"/>
  <c r="BH56" i="5" s="1"/>
  <c r="BH86" i="5" s="1"/>
  <c r="BG50" i="5"/>
  <c r="BG56" i="5" s="1"/>
  <c r="BG86" i="5" s="1"/>
  <c r="BF50" i="5"/>
  <c r="BF56" i="5" s="1"/>
  <c r="BF86" i="5" s="1"/>
  <c r="AR50" i="5"/>
  <c r="P50" i="5"/>
  <c r="N50" i="5"/>
  <c r="N702" i="5" s="1"/>
  <c r="AZ45" i="5"/>
  <c r="AY45" i="5"/>
  <c r="AY117" i="5" s="1"/>
  <c r="AU45" i="5"/>
  <c r="AP45" i="5"/>
  <c r="AO45" i="5"/>
  <c r="AL45" i="5"/>
  <c r="AJ45" i="5"/>
  <c r="AI45" i="5"/>
  <c r="AI117" i="5" s="1"/>
  <c r="AG45" i="5"/>
  <c r="AF45" i="5"/>
  <c r="AD45" i="5"/>
  <c r="AA45" i="5"/>
  <c r="Z45" i="5"/>
  <c r="Z117" i="5" s="1"/>
  <c r="AQ44" i="5"/>
  <c r="AM44" i="5"/>
  <c r="AM696" i="5" s="1"/>
  <c r="AQ696" i="5" s="1"/>
  <c r="BM43" i="5"/>
  <c r="BK43" i="5"/>
  <c r="BJ43" i="5"/>
  <c r="BI43" i="5"/>
  <c r="BH43" i="5"/>
  <c r="BG43" i="5"/>
  <c r="BF43" i="5"/>
  <c r="AR43" i="5"/>
  <c r="N43" i="5"/>
  <c r="BM42" i="5"/>
  <c r="BK42" i="5"/>
  <c r="BJ42" i="5"/>
  <c r="BI42" i="5"/>
  <c r="BH42" i="5"/>
  <c r="BG42" i="5"/>
  <c r="BF42" i="5"/>
  <c r="AR42" i="5"/>
  <c r="P42" i="5"/>
  <c r="N42" i="5"/>
  <c r="N694" i="5" s="1"/>
  <c r="BM41" i="5"/>
  <c r="BK41" i="5"/>
  <c r="BJ41" i="5"/>
  <c r="BI41" i="5"/>
  <c r="BH41" i="5"/>
  <c r="BG41" i="5"/>
  <c r="BF41" i="5"/>
  <c r="AR41" i="5"/>
  <c r="P41" i="5"/>
  <c r="N41" i="5"/>
  <c r="BM40" i="5"/>
  <c r="BK40" i="5"/>
  <c r="BJ40" i="5"/>
  <c r="BI40" i="5"/>
  <c r="BH40" i="5"/>
  <c r="BG40" i="5"/>
  <c r="BF40" i="5"/>
  <c r="AR40" i="5"/>
  <c r="P40" i="5"/>
  <c r="N40" i="5"/>
  <c r="N692" i="5" s="1"/>
  <c r="BM39" i="5"/>
  <c r="BK39" i="5"/>
  <c r="BJ39" i="5"/>
  <c r="BI39" i="5"/>
  <c r="BH39" i="5"/>
  <c r="BG39" i="5"/>
  <c r="BF39" i="5"/>
  <c r="AR39" i="5"/>
  <c r="P39" i="5"/>
  <c r="P691" i="5" s="1"/>
  <c r="N39" i="5"/>
  <c r="BM38" i="5"/>
  <c r="BK38" i="5"/>
  <c r="BJ38" i="5"/>
  <c r="BI38" i="5"/>
  <c r="BH38" i="5"/>
  <c r="BG38" i="5"/>
  <c r="BF38" i="5"/>
  <c r="AR38" i="5"/>
  <c r="P38" i="5"/>
  <c r="N38" i="5"/>
  <c r="N690" i="5" s="1"/>
  <c r="BM37" i="5"/>
  <c r="BK37" i="5"/>
  <c r="BJ37" i="5"/>
  <c r="BI37" i="5"/>
  <c r="BH37" i="5"/>
  <c r="BG37" i="5"/>
  <c r="BF37" i="5"/>
  <c r="AR37" i="5"/>
  <c r="P37" i="5"/>
  <c r="N37" i="5"/>
  <c r="N689" i="5" s="1"/>
  <c r="C37" i="5"/>
  <c r="C689" i="5" s="1"/>
  <c r="BP689" i="5" s="1"/>
  <c r="BM36" i="5"/>
  <c r="BK36" i="5"/>
  <c r="BJ36" i="5"/>
  <c r="BI36" i="5"/>
  <c r="BH36" i="5"/>
  <c r="BG36" i="5"/>
  <c r="BF36" i="5"/>
  <c r="AR36" i="5"/>
  <c r="P36" i="5"/>
  <c r="P688" i="5" s="1"/>
  <c r="N36" i="5"/>
  <c r="C36" i="5"/>
  <c r="AR35" i="5"/>
  <c r="P35" i="5"/>
  <c r="N35" i="5"/>
  <c r="BM34" i="5"/>
  <c r="BK34" i="5"/>
  <c r="BJ34" i="5"/>
  <c r="BI34" i="5"/>
  <c r="BH34" i="5"/>
  <c r="BG34" i="5"/>
  <c r="BF34" i="5"/>
  <c r="AR34" i="5"/>
  <c r="P34" i="5"/>
  <c r="N34" i="5"/>
  <c r="N686" i="5" s="1"/>
  <c r="BM33" i="5"/>
  <c r="BK33" i="5"/>
  <c r="BJ33" i="5"/>
  <c r="BI33" i="5"/>
  <c r="BH33" i="5"/>
  <c r="BG33" i="5"/>
  <c r="BF33" i="5"/>
  <c r="AR33" i="5"/>
  <c r="P33" i="5"/>
  <c r="N33" i="5"/>
  <c r="BM32" i="5"/>
  <c r="BK32" i="5"/>
  <c r="BJ32" i="5"/>
  <c r="BI32" i="5"/>
  <c r="BH32" i="5"/>
  <c r="BG32" i="5"/>
  <c r="BF32" i="5"/>
  <c r="AR32" i="5"/>
  <c r="AK32" i="5"/>
  <c r="P32" i="5"/>
  <c r="N32" i="5"/>
  <c r="BM31" i="5"/>
  <c r="BK31" i="5"/>
  <c r="BJ31" i="5"/>
  <c r="BI31" i="5"/>
  <c r="BH31" i="5"/>
  <c r="BG31" i="5"/>
  <c r="BF31" i="5"/>
  <c r="AR31" i="5"/>
  <c r="P31" i="5"/>
  <c r="P683" i="5" s="1"/>
  <c r="N31" i="5"/>
  <c r="BM30" i="5"/>
  <c r="BK30" i="5"/>
  <c r="BJ30" i="5"/>
  <c r="BI30" i="5"/>
  <c r="BH30" i="5"/>
  <c r="BG30" i="5"/>
  <c r="BF30" i="5"/>
  <c r="P30" i="5"/>
  <c r="P682" i="5" s="1"/>
  <c r="N30" i="5"/>
  <c r="BM29" i="5"/>
  <c r="BK29" i="5"/>
  <c r="BJ29" i="5"/>
  <c r="BI29" i="5"/>
  <c r="BH29" i="5"/>
  <c r="BG29" i="5"/>
  <c r="BF29" i="5"/>
  <c r="P29" i="5"/>
  <c r="O29" i="5"/>
  <c r="O681" i="5" s="1"/>
  <c r="BM28" i="5"/>
  <c r="BK28" i="5"/>
  <c r="BJ28" i="5"/>
  <c r="BI28" i="5"/>
  <c r="BH28" i="5"/>
  <c r="BG28" i="5"/>
  <c r="BF28" i="5"/>
  <c r="R28" i="5"/>
  <c r="R92" i="5" s="1"/>
  <c r="P28" i="5"/>
  <c r="C22" i="5"/>
  <c r="M42" i="5" s="1"/>
  <c r="BF4" i="5"/>
  <c r="J105" i="4"/>
  <c r="N108" i="4" s="1"/>
  <c r="F104" i="4"/>
  <c r="F103" i="4"/>
  <c r="F102" i="4"/>
  <c r="F101" i="4"/>
  <c r="J99" i="4"/>
  <c r="F98" i="4"/>
  <c r="F97" i="4"/>
  <c r="F96" i="4"/>
  <c r="F95" i="4"/>
  <c r="J93" i="4"/>
  <c r="F92" i="4"/>
  <c r="H91" i="4"/>
  <c r="F91" i="4"/>
  <c r="F90" i="4"/>
  <c r="F89" i="4"/>
  <c r="J86" i="4"/>
  <c r="F85" i="4"/>
  <c r="F84" i="4"/>
  <c r="F83" i="4"/>
  <c r="F82" i="4"/>
  <c r="J80" i="4"/>
  <c r="F79" i="4"/>
  <c r="F78" i="4"/>
  <c r="F77" i="4"/>
  <c r="F76" i="4"/>
  <c r="F75" i="4"/>
  <c r="F74" i="4"/>
  <c r="J72" i="4"/>
  <c r="J107" i="4" s="1"/>
  <c r="F71" i="4"/>
  <c r="I70" i="4"/>
  <c r="K70" i="4" s="1"/>
  <c r="F70" i="4"/>
  <c r="F69" i="4"/>
  <c r="F68" i="4"/>
  <c r="F67" i="4"/>
  <c r="F66" i="4"/>
  <c r="F65" i="4"/>
  <c r="F64" i="4"/>
  <c r="J63" i="4"/>
  <c r="F62" i="4"/>
  <c r="F61" i="4"/>
  <c r="F60" i="4"/>
  <c r="Q59" i="4"/>
  <c r="R59" i="4" s="1"/>
  <c r="F59" i="4"/>
  <c r="F58" i="4"/>
  <c r="F57" i="4"/>
  <c r="J55" i="4"/>
  <c r="F54" i="4"/>
  <c r="F53" i="4"/>
  <c r="F52" i="4"/>
  <c r="F51" i="4"/>
  <c r="F50" i="4"/>
  <c r="F49" i="4"/>
  <c r="F48" i="4"/>
  <c r="I47" i="4"/>
  <c r="K47" i="4" s="1"/>
  <c r="F47" i="4"/>
  <c r="F46" i="4"/>
  <c r="F45" i="4"/>
  <c r="F44" i="4"/>
  <c r="I43" i="4"/>
  <c r="K43" i="4" s="1"/>
  <c r="F43" i="4"/>
  <c r="F42" i="4"/>
  <c r="F41" i="4"/>
  <c r="F40" i="4"/>
  <c r="K32" i="4"/>
  <c r="I103" i="4" s="1"/>
  <c r="K103" i="4" s="1"/>
  <c r="J105" i="3"/>
  <c r="N108" i="3" s="1"/>
  <c r="F104" i="3"/>
  <c r="F103" i="3"/>
  <c r="F102" i="3"/>
  <c r="F101" i="3"/>
  <c r="J99" i="3"/>
  <c r="F98" i="3"/>
  <c r="F97" i="3"/>
  <c r="F96" i="3"/>
  <c r="F95" i="3"/>
  <c r="J93" i="3"/>
  <c r="F92" i="3"/>
  <c r="H91" i="3"/>
  <c r="F91" i="3"/>
  <c r="F90" i="3"/>
  <c r="I89" i="3"/>
  <c r="K89" i="3" s="1"/>
  <c r="F89" i="3"/>
  <c r="J86" i="3"/>
  <c r="F85" i="3"/>
  <c r="F84" i="3"/>
  <c r="F83" i="3"/>
  <c r="F82" i="3"/>
  <c r="J80" i="3"/>
  <c r="F79" i="3"/>
  <c r="F78" i="3"/>
  <c r="F77" i="3"/>
  <c r="F76" i="3"/>
  <c r="F75" i="3"/>
  <c r="F74" i="3"/>
  <c r="J72" i="3"/>
  <c r="F71" i="3"/>
  <c r="I70" i="3"/>
  <c r="K70" i="3" s="1"/>
  <c r="F70" i="3"/>
  <c r="F69" i="3"/>
  <c r="F68" i="3"/>
  <c r="F67" i="3"/>
  <c r="I66" i="3"/>
  <c r="K66" i="3" s="1"/>
  <c r="F66" i="3"/>
  <c r="F65" i="3"/>
  <c r="F64" i="3"/>
  <c r="J63" i="3"/>
  <c r="F62" i="3"/>
  <c r="F61" i="3"/>
  <c r="F60" i="3"/>
  <c r="Q59" i="3"/>
  <c r="R59" i="3" s="1"/>
  <c r="F59" i="3"/>
  <c r="F58" i="3"/>
  <c r="F57" i="3"/>
  <c r="J55" i="3"/>
  <c r="F54" i="3"/>
  <c r="F53" i="3"/>
  <c r="F52" i="3"/>
  <c r="F51" i="3"/>
  <c r="F50" i="3"/>
  <c r="F49" i="3"/>
  <c r="I48" i="3"/>
  <c r="K48" i="3" s="1"/>
  <c r="F48" i="3"/>
  <c r="I47" i="3"/>
  <c r="K47" i="3" s="1"/>
  <c r="F47" i="3"/>
  <c r="F46" i="3"/>
  <c r="F45" i="3"/>
  <c r="F44" i="3"/>
  <c r="F43" i="3"/>
  <c r="F42" i="3"/>
  <c r="F41" i="3"/>
  <c r="F40" i="3"/>
  <c r="I39" i="3"/>
  <c r="K39" i="3" s="1"/>
  <c r="K32" i="3"/>
  <c r="I103" i="3" s="1"/>
  <c r="K103" i="3" s="1"/>
  <c r="W108" i="2"/>
  <c r="J105" i="2"/>
  <c r="N108" i="2" s="1"/>
  <c r="F104" i="2"/>
  <c r="F103" i="2"/>
  <c r="F102" i="2"/>
  <c r="F101" i="2"/>
  <c r="J99" i="2"/>
  <c r="I98" i="2"/>
  <c r="K98" i="2" s="1"/>
  <c r="F98" i="2"/>
  <c r="F97" i="2"/>
  <c r="F96" i="2"/>
  <c r="F95" i="2"/>
  <c r="J93" i="2"/>
  <c r="F92" i="2"/>
  <c r="H91" i="2"/>
  <c r="F91" i="2"/>
  <c r="F90" i="2"/>
  <c r="F89" i="2"/>
  <c r="J86" i="2"/>
  <c r="F85" i="2"/>
  <c r="F84" i="2"/>
  <c r="F83" i="2"/>
  <c r="I82" i="2"/>
  <c r="K82" i="2" s="1"/>
  <c r="F82" i="2"/>
  <c r="J80" i="2"/>
  <c r="F79" i="2"/>
  <c r="F78" i="2"/>
  <c r="F77" i="2"/>
  <c r="F76" i="2"/>
  <c r="F75" i="2"/>
  <c r="F74" i="2"/>
  <c r="J72" i="2"/>
  <c r="J107" i="2" s="1"/>
  <c r="F71" i="2"/>
  <c r="F70" i="2"/>
  <c r="F69" i="2"/>
  <c r="F68" i="2"/>
  <c r="F67" i="2"/>
  <c r="F66" i="2"/>
  <c r="F65" i="2"/>
  <c r="F64" i="2"/>
  <c r="J63" i="2"/>
  <c r="F62" i="2"/>
  <c r="F61" i="2"/>
  <c r="F60" i="2"/>
  <c r="Q59" i="2"/>
  <c r="R59" i="2" s="1"/>
  <c r="I59" i="2"/>
  <c r="N59" i="2" s="1"/>
  <c r="O59" i="2" s="1"/>
  <c r="F59" i="2"/>
  <c r="F58" i="2"/>
  <c r="F57" i="2"/>
  <c r="J55" i="2"/>
  <c r="J106" i="2" s="1"/>
  <c r="I107" i="2" s="1"/>
  <c r="F54" i="2"/>
  <c r="F53" i="2"/>
  <c r="F52" i="2"/>
  <c r="F51" i="2"/>
  <c r="F50" i="2"/>
  <c r="F49" i="2"/>
  <c r="F48" i="2"/>
  <c r="I47" i="2"/>
  <c r="K47" i="2" s="1"/>
  <c r="F47" i="2"/>
  <c r="F46" i="2"/>
  <c r="F45" i="2"/>
  <c r="F44" i="2"/>
  <c r="F43" i="2"/>
  <c r="F42" i="2"/>
  <c r="F41" i="2"/>
  <c r="F40" i="2"/>
  <c r="K32" i="2"/>
  <c r="I103" i="2" s="1"/>
  <c r="K103" i="2" s="1"/>
  <c r="I66" i="2" l="1"/>
  <c r="K66" i="2" s="1"/>
  <c r="I89" i="2"/>
  <c r="K89" i="2" s="1"/>
  <c r="I78" i="3"/>
  <c r="K78" i="3" s="1"/>
  <c r="J87" i="3"/>
  <c r="I102" i="3"/>
  <c r="K102" i="3" s="1"/>
  <c r="J106" i="4"/>
  <c r="I107" i="4" s="1"/>
  <c r="C688" i="5"/>
  <c r="BP688" i="5" s="1"/>
  <c r="N691" i="5"/>
  <c r="BM67" i="5"/>
  <c r="N725" i="5"/>
  <c r="C727" i="5"/>
  <c r="BP727" i="5" s="1"/>
  <c r="P732" i="5"/>
  <c r="BI107" i="5"/>
  <c r="P762" i="5"/>
  <c r="N763" i="5"/>
  <c r="C261" i="5"/>
  <c r="AU732" i="5"/>
  <c r="C402" i="5"/>
  <c r="S545" i="5"/>
  <c r="AL623" i="5"/>
  <c r="R599" i="5"/>
  <c r="BK604" i="5"/>
  <c r="AI767" i="5"/>
  <c r="AI771" i="5" s="1"/>
  <c r="C708" i="5"/>
  <c r="AY738" i="5"/>
  <c r="BP743" i="5"/>
  <c r="O65" i="8"/>
  <c r="H30" i="8"/>
  <c r="O30" i="8"/>
  <c r="BI272" i="5"/>
  <c r="BI302" i="5" s="1"/>
  <c r="I51" i="2"/>
  <c r="K51" i="2" s="1"/>
  <c r="I74" i="2"/>
  <c r="K74" i="2" s="1"/>
  <c r="I51" i="3"/>
  <c r="K51" i="3" s="1"/>
  <c r="I59" i="3"/>
  <c r="N59" i="3" s="1"/>
  <c r="O59" i="3" s="1"/>
  <c r="J107" i="3"/>
  <c r="N688" i="5"/>
  <c r="P702" i="5"/>
  <c r="P705" i="5"/>
  <c r="N711" i="5"/>
  <c r="N713" i="5"/>
  <c r="N715" i="5"/>
  <c r="N727" i="5"/>
  <c r="N743" i="5"/>
  <c r="AG107" i="5"/>
  <c r="BH215" i="5"/>
  <c r="BI261" i="5"/>
  <c r="BM323" i="5"/>
  <c r="AI441" i="5"/>
  <c r="BH431" i="5"/>
  <c r="BF582" i="5"/>
  <c r="BF644" i="5"/>
  <c r="BP694" i="5"/>
  <c r="AZ730" i="5"/>
  <c r="I43" i="3"/>
  <c r="K43" i="3" s="1"/>
  <c r="I74" i="3"/>
  <c r="K74" i="3" s="1"/>
  <c r="I78" i="4"/>
  <c r="K78" i="4" s="1"/>
  <c r="I102" i="4"/>
  <c r="K102" i="4" s="1"/>
  <c r="P681" i="5"/>
  <c r="N682" i="5"/>
  <c r="AU86" i="5"/>
  <c r="P746" i="5"/>
  <c r="BF153" i="5"/>
  <c r="AY194" i="5"/>
  <c r="BH477" i="5"/>
  <c r="AL697" i="5"/>
  <c r="AL767" i="5" s="1"/>
  <c r="AL771" i="5" s="1"/>
  <c r="BP747" i="5"/>
  <c r="BP755" i="5"/>
  <c r="O34" i="8"/>
  <c r="I43" i="2"/>
  <c r="K43" i="2" s="1"/>
  <c r="I82" i="3"/>
  <c r="K82" i="3" s="1"/>
  <c r="I98" i="3"/>
  <c r="K98" i="3" s="1"/>
  <c r="I51" i="4"/>
  <c r="K51" i="4" s="1"/>
  <c r="I59" i="4"/>
  <c r="K59" i="4" s="1"/>
  <c r="N683" i="5"/>
  <c r="P686" i="5"/>
  <c r="AZ194" i="5"/>
  <c r="AT232" i="5"/>
  <c r="BG499" i="5"/>
  <c r="T587" i="5"/>
  <c r="AM587" i="5" s="1"/>
  <c r="BI582" i="5"/>
  <c r="R573" i="5"/>
  <c r="AY767" i="5"/>
  <c r="AY771" i="5" s="1"/>
  <c r="AU708" i="5"/>
  <c r="BI719" i="5"/>
  <c r="BL719" i="5"/>
  <c r="BP735" i="5"/>
  <c r="I39" i="2"/>
  <c r="K39" i="2" s="1"/>
  <c r="I44" i="2"/>
  <c r="K44" i="2" s="1"/>
  <c r="I70" i="2"/>
  <c r="K70" i="2" s="1"/>
  <c r="I44" i="3"/>
  <c r="K44" i="3" s="1"/>
  <c r="J106" i="3"/>
  <c r="I107" i="3" s="1"/>
  <c r="I39" i="4"/>
  <c r="K39" i="4" s="1"/>
  <c r="I66" i="4"/>
  <c r="K66" i="4" s="1"/>
  <c r="J87" i="4"/>
  <c r="I89" i="4"/>
  <c r="K89" i="4" s="1"/>
  <c r="P689" i="5"/>
  <c r="P693" i="5"/>
  <c r="AU117" i="5"/>
  <c r="C730" i="5"/>
  <c r="BL175" i="5"/>
  <c r="BM215" i="5"/>
  <c r="P760" i="5"/>
  <c r="BF391" i="5"/>
  <c r="AF549" i="5"/>
  <c r="AZ697" i="5"/>
  <c r="AZ708" i="5"/>
  <c r="BP702" i="5"/>
  <c r="R7" i="8"/>
  <c r="O21" i="8"/>
  <c r="I40" i="2"/>
  <c r="K40" i="2" s="1"/>
  <c r="I78" i="2"/>
  <c r="K78" i="2" s="1"/>
  <c r="J87" i="2"/>
  <c r="J108" i="2" s="1"/>
  <c r="I102" i="2"/>
  <c r="K102" i="2" s="1"/>
  <c r="I40" i="3"/>
  <c r="K40" i="3" s="1"/>
  <c r="I74" i="4"/>
  <c r="K74" i="4" s="1"/>
  <c r="BI45" i="5"/>
  <c r="BK67" i="5"/>
  <c r="N714" i="5"/>
  <c r="C732" i="5"/>
  <c r="C745" i="5"/>
  <c r="AQ96" i="5"/>
  <c r="BF369" i="5"/>
  <c r="AU410" i="5"/>
  <c r="AU441" i="5" s="1"/>
  <c r="BH539" i="5"/>
  <c r="S543" i="5"/>
  <c r="AW650" i="5"/>
  <c r="BF708" i="5"/>
  <c r="BF738" i="5" s="1"/>
  <c r="BP713" i="5"/>
  <c r="BP725" i="5"/>
  <c r="O41" i="8"/>
  <c r="O50" i="8"/>
  <c r="I82" i="4"/>
  <c r="K82" i="4" s="1"/>
  <c r="I98" i="4"/>
  <c r="K98" i="4" s="1"/>
  <c r="P684" i="5"/>
  <c r="N710" i="5"/>
  <c r="P712" i="5"/>
  <c r="P723" i="5"/>
  <c r="P733" i="5"/>
  <c r="BJ153" i="5"/>
  <c r="AF410" i="5"/>
  <c r="BM477" i="5"/>
  <c r="AL518" i="5"/>
  <c r="AL549" i="5" s="1"/>
  <c r="R568" i="5"/>
  <c r="R592" i="5"/>
  <c r="BM644" i="5"/>
  <c r="BP690" i="5"/>
  <c r="BI757" i="5"/>
  <c r="BP753" i="5"/>
  <c r="O36" i="8"/>
  <c r="U18" i="8"/>
  <c r="O62" i="8"/>
  <c r="L68" i="8"/>
  <c r="O69" i="8"/>
  <c r="D70" i="8"/>
  <c r="D71" i="8" s="1"/>
  <c r="D73" i="8"/>
  <c r="U19" i="8"/>
  <c r="M68" i="8"/>
  <c r="J68" i="8"/>
  <c r="J14" i="8"/>
  <c r="J13" i="8" s="1"/>
  <c r="I17" i="8"/>
  <c r="O17" i="8" s="1"/>
  <c r="H16" i="8"/>
  <c r="O63" i="8"/>
  <c r="R63" i="8" s="1"/>
  <c r="K68" i="8"/>
  <c r="O64" i="8"/>
  <c r="O32" i="8"/>
  <c r="P31" i="8" s="1"/>
  <c r="H66" i="8"/>
  <c r="V66" i="8"/>
  <c r="G31" i="8"/>
  <c r="G14" i="8" s="1"/>
  <c r="E14" i="8"/>
  <c r="E13" i="8" s="1"/>
  <c r="C12" i="8"/>
  <c r="O43" i="8"/>
  <c r="P42" i="8" s="1"/>
  <c r="N70" i="8"/>
  <c r="N71" i="8" s="1"/>
  <c r="N75" i="8"/>
  <c r="K14" i="8"/>
  <c r="F13" i="8"/>
  <c r="I31" i="8"/>
  <c r="H31" i="8" s="1"/>
  <c r="C14" i="8"/>
  <c r="O22" i="8"/>
  <c r="BJ369" i="5"/>
  <c r="R417" i="5"/>
  <c r="R418" i="5"/>
  <c r="BF45" i="5"/>
  <c r="BJ45" i="5"/>
  <c r="AD86" i="5"/>
  <c r="AG194" i="5"/>
  <c r="BI175" i="5"/>
  <c r="AD302" i="5"/>
  <c r="R329" i="5"/>
  <c r="R366" i="5"/>
  <c r="BF380" i="5"/>
  <c r="BF410" i="5" s="1"/>
  <c r="BK380" i="5"/>
  <c r="BK410" i="5" s="1"/>
  <c r="BG391" i="5"/>
  <c r="R389" i="5"/>
  <c r="R395" i="5"/>
  <c r="BF431" i="5"/>
  <c r="BI477" i="5"/>
  <c r="BG488" i="5"/>
  <c r="BG518" i="5" s="1"/>
  <c r="BH488" i="5"/>
  <c r="BH518" i="5" s="1"/>
  <c r="BM488" i="5"/>
  <c r="BM518" i="5" s="1"/>
  <c r="BK499" i="5"/>
  <c r="BF539" i="5"/>
  <c r="M573" i="5"/>
  <c r="T573" i="5" s="1"/>
  <c r="U573" i="5" s="1"/>
  <c r="BF604" i="5"/>
  <c r="BG644" i="5"/>
  <c r="BH644" i="5"/>
  <c r="AG738" i="5"/>
  <c r="AG767" i="5" s="1"/>
  <c r="BF719" i="5"/>
  <c r="BH719" i="5"/>
  <c r="BK283" i="5"/>
  <c r="R364" i="5"/>
  <c r="BG45" i="5"/>
  <c r="BK45" i="5"/>
  <c r="BK175" i="5"/>
  <c r="AJ175" i="5"/>
  <c r="R218" i="5"/>
  <c r="R220" i="5"/>
  <c r="BG283" i="5"/>
  <c r="BL283" i="5"/>
  <c r="R327" i="5"/>
  <c r="R359" i="5"/>
  <c r="BG380" i="5"/>
  <c r="BG410" i="5" s="1"/>
  <c r="R382" i="5"/>
  <c r="R400" i="5"/>
  <c r="BF477" i="5"/>
  <c r="BJ477" i="5"/>
  <c r="BI488" i="5"/>
  <c r="BI518" i="5" s="1"/>
  <c r="BL499" i="5"/>
  <c r="R544" i="5"/>
  <c r="R570" i="5"/>
  <c r="R575" i="5"/>
  <c r="AD604" i="5"/>
  <c r="R602" i="5"/>
  <c r="AD719" i="5"/>
  <c r="AJ719" i="5"/>
  <c r="BH261" i="5"/>
  <c r="R357" i="5"/>
  <c r="BH45" i="5"/>
  <c r="BM45" i="5"/>
  <c r="AD117" i="5"/>
  <c r="BI67" i="5"/>
  <c r="BG107" i="5"/>
  <c r="BM107" i="5"/>
  <c r="BG175" i="5"/>
  <c r="AD175" i="5"/>
  <c r="AD194" i="5" s="1"/>
  <c r="AD225" i="5" s="1"/>
  <c r="BG215" i="5"/>
  <c r="R221" i="5"/>
  <c r="BM261" i="5"/>
  <c r="BI283" i="5"/>
  <c r="BH283" i="5"/>
  <c r="BF323" i="5"/>
  <c r="BI323" i="5"/>
  <c r="R358" i="5"/>
  <c r="R362" i="5"/>
  <c r="AJ391" i="5"/>
  <c r="AJ410" i="5" s="1"/>
  <c r="AJ441" i="5" s="1"/>
  <c r="BH499" i="5"/>
  <c r="BM499" i="5"/>
  <c r="BM539" i="5"/>
  <c r="R566" i="5"/>
  <c r="BJ582" i="5"/>
  <c r="R572" i="5"/>
  <c r="R577" i="5"/>
  <c r="R595" i="5"/>
  <c r="AG604" i="5"/>
  <c r="BI644" i="5"/>
  <c r="BH697" i="5"/>
  <c r="BG697" i="5"/>
  <c r="AJ738" i="5"/>
  <c r="AJ767" i="5" s="1"/>
  <c r="BM719" i="5"/>
  <c r="AJ86" i="5"/>
  <c r="AJ117" i="5" s="1"/>
  <c r="T42" i="5"/>
  <c r="AT338" i="5"/>
  <c r="R29" i="5"/>
  <c r="R32" i="5"/>
  <c r="M33" i="5"/>
  <c r="M35" i="5"/>
  <c r="R36" i="5"/>
  <c r="M37" i="5"/>
  <c r="P690" i="5"/>
  <c r="M39" i="5"/>
  <c r="P692" i="5"/>
  <c r="M41" i="5"/>
  <c r="P694" i="5"/>
  <c r="P704" i="5"/>
  <c r="P706" i="5"/>
  <c r="R58" i="5"/>
  <c r="R64" i="5"/>
  <c r="R72" i="5"/>
  <c r="R80" i="5"/>
  <c r="P744" i="5"/>
  <c r="R93" i="5"/>
  <c r="BG153" i="5"/>
  <c r="BK153" i="5"/>
  <c r="BF175" i="5"/>
  <c r="BF261" i="5"/>
  <c r="BJ261" i="5"/>
  <c r="R279" i="5"/>
  <c r="C301" i="5"/>
  <c r="BG369" i="5"/>
  <c r="BK369" i="5"/>
  <c r="M31" i="5"/>
  <c r="R33" i="5"/>
  <c r="R35" i="5"/>
  <c r="R37" i="5"/>
  <c r="R39" i="5"/>
  <c r="R41" i="5"/>
  <c r="C45" i="5"/>
  <c r="R51" i="5"/>
  <c r="R53" i="5"/>
  <c r="R55" i="5"/>
  <c r="R59" i="5"/>
  <c r="R73" i="5"/>
  <c r="R250" i="5"/>
  <c r="R296" i="5"/>
  <c r="R297" i="5"/>
  <c r="M28" i="5"/>
  <c r="M29" i="5"/>
  <c r="R30" i="5"/>
  <c r="M32" i="5"/>
  <c r="N685" i="5"/>
  <c r="R34" i="5"/>
  <c r="M36" i="5"/>
  <c r="R38" i="5"/>
  <c r="R40" i="5"/>
  <c r="N695" i="5"/>
  <c r="N693" i="5"/>
  <c r="R42" i="5"/>
  <c r="R50" i="5"/>
  <c r="R52" i="5"/>
  <c r="R54" i="5"/>
  <c r="AG86" i="5"/>
  <c r="AG117" i="5" s="1"/>
  <c r="R60" i="5"/>
  <c r="R61" i="5"/>
  <c r="R65" i="5"/>
  <c r="R75" i="5"/>
  <c r="C85" i="5"/>
  <c r="BH107" i="5"/>
  <c r="C130" i="5"/>
  <c r="BH153" i="5"/>
  <c r="BM153" i="5"/>
  <c r="R144" i="5"/>
  <c r="AF225" i="5"/>
  <c r="AL225" i="5"/>
  <c r="AY225" i="5"/>
  <c r="AJ194" i="5"/>
  <c r="AJ225" i="5" s="1"/>
  <c r="R172" i="5"/>
  <c r="R184" i="5"/>
  <c r="BF215" i="5"/>
  <c r="BG261" i="5"/>
  <c r="BK261" i="5"/>
  <c r="R253" i="5"/>
  <c r="R255" i="5"/>
  <c r="R257" i="5"/>
  <c r="AD333" i="5"/>
  <c r="R680" i="5"/>
  <c r="R103" i="5"/>
  <c r="R94" i="5"/>
  <c r="R82" i="5"/>
  <c r="R81" i="5"/>
  <c r="R102" i="5"/>
  <c r="R101" i="5"/>
  <c r="R100" i="5"/>
  <c r="R91" i="5"/>
  <c r="R62" i="5"/>
  <c r="R83" i="5"/>
  <c r="R319" i="5"/>
  <c r="R307" i="5"/>
  <c r="R318" i="5"/>
  <c r="R317" i="5"/>
  <c r="R316" i="5"/>
  <c r="R308" i="5"/>
  <c r="R310" i="5"/>
  <c r="R309" i="5"/>
  <c r="R291" i="5"/>
  <c r="R281" i="5"/>
  <c r="R280" i="5"/>
  <c r="R271" i="5"/>
  <c r="R269" i="5"/>
  <c r="R267" i="5"/>
  <c r="R259" i="5"/>
  <c r="R248" i="5"/>
  <c r="R246" i="5"/>
  <c r="R211" i="5"/>
  <c r="R200" i="5"/>
  <c r="R191" i="5"/>
  <c r="R182" i="5"/>
  <c r="R179" i="5"/>
  <c r="R173" i="5"/>
  <c r="R170" i="5"/>
  <c r="R168" i="5"/>
  <c r="R162" i="5"/>
  <c r="R160" i="5"/>
  <c r="R158" i="5"/>
  <c r="R149" i="5"/>
  <c r="R147" i="5"/>
  <c r="R145" i="5"/>
  <c r="R142" i="5"/>
  <c r="R299" i="5"/>
  <c r="R288" i="5"/>
  <c r="R277" i="5"/>
  <c r="R276" i="5"/>
  <c r="R258" i="5"/>
  <c r="R256" i="5"/>
  <c r="R254" i="5"/>
  <c r="R251" i="5"/>
  <c r="R249" i="5"/>
  <c r="R210" i="5"/>
  <c r="R209" i="5"/>
  <c r="R208" i="5"/>
  <c r="R201" i="5"/>
  <c r="R198" i="5"/>
  <c r="R188" i="5"/>
  <c r="R183" i="5"/>
  <c r="R171" i="5"/>
  <c r="R166" i="5"/>
  <c r="R151" i="5"/>
  <c r="R140" i="5"/>
  <c r="R138" i="5"/>
  <c r="R306" i="5"/>
  <c r="R292" i="5"/>
  <c r="R289" i="5"/>
  <c r="R278" i="5"/>
  <c r="R274" i="5"/>
  <c r="R270" i="5"/>
  <c r="R268" i="5"/>
  <c r="R266" i="5"/>
  <c r="R252" i="5"/>
  <c r="R247" i="5"/>
  <c r="R245" i="5"/>
  <c r="R202" i="5"/>
  <c r="R190" i="5"/>
  <c r="R189" i="5"/>
  <c r="R180" i="5"/>
  <c r="R167" i="5"/>
  <c r="R163" i="5"/>
  <c r="R161" i="5"/>
  <c r="R159" i="5"/>
  <c r="R150" i="5"/>
  <c r="R148" i="5"/>
  <c r="R146" i="5"/>
  <c r="R143" i="5"/>
  <c r="R141" i="5"/>
  <c r="R287" i="5"/>
  <c r="R290" i="5"/>
  <c r="P680" i="5"/>
  <c r="M30" i="5"/>
  <c r="R31" i="5"/>
  <c r="N687" i="5"/>
  <c r="N684" i="5"/>
  <c r="P685" i="5"/>
  <c r="P687" i="5"/>
  <c r="M38" i="5"/>
  <c r="M40" i="5"/>
  <c r="R43" i="5"/>
  <c r="AF117" i="5"/>
  <c r="AL117" i="5"/>
  <c r="P707" i="5"/>
  <c r="AO86" i="5"/>
  <c r="AO117" i="5" s="1"/>
  <c r="AZ86" i="5"/>
  <c r="AZ117" i="5" s="1"/>
  <c r="R63" i="5"/>
  <c r="R71" i="5"/>
  <c r="R76" i="5"/>
  <c r="C78" i="5"/>
  <c r="AT124" i="5" s="1"/>
  <c r="C742" i="5"/>
  <c r="C749" i="5" s="1"/>
  <c r="C97" i="5"/>
  <c r="C107" i="5" s="1"/>
  <c r="R90" i="5"/>
  <c r="BI153" i="5"/>
  <c r="R137" i="5"/>
  <c r="R139" i="5"/>
  <c r="C225" i="5"/>
  <c r="AT228" i="5" s="1"/>
  <c r="Z225" i="5"/>
  <c r="AG225" i="5"/>
  <c r="AZ225" i="5"/>
  <c r="BF164" i="5"/>
  <c r="BF194" i="5" s="1"/>
  <c r="BM175" i="5"/>
  <c r="R169" i="5"/>
  <c r="R181" i="5"/>
  <c r="R199" i="5"/>
  <c r="AT230" i="5"/>
  <c r="AJ302" i="5"/>
  <c r="AJ333" i="5" s="1"/>
  <c r="BM283" i="5"/>
  <c r="R298" i="5"/>
  <c r="M454" i="5"/>
  <c r="M356" i="5"/>
  <c r="M359" i="5"/>
  <c r="AT446" i="5"/>
  <c r="BH391" i="5"/>
  <c r="P752" i="5"/>
  <c r="N753" i="5"/>
  <c r="N754" i="5"/>
  <c r="AI333" i="5"/>
  <c r="AO333" i="5"/>
  <c r="AZ333" i="5"/>
  <c r="BG323" i="5"/>
  <c r="AG323" i="5"/>
  <c r="BH369" i="5"/>
  <c r="BM369" i="5"/>
  <c r="AD441" i="5"/>
  <c r="BL391" i="5"/>
  <c r="BF499" i="5"/>
  <c r="N735" i="5"/>
  <c r="AU175" i="5"/>
  <c r="AU194" i="5" s="1"/>
  <c r="AU225" i="5" s="1"/>
  <c r="AF302" i="5"/>
  <c r="AF333" i="5" s="1"/>
  <c r="AL302" i="5"/>
  <c r="AL333" i="5" s="1"/>
  <c r="AT340" i="5"/>
  <c r="C313" i="5"/>
  <c r="C323" i="5" s="1"/>
  <c r="BH323" i="5"/>
  <c r="AJ323" i="5"/>
  <c r="AJ758" i="5" s="1"/>
  <c r="BI369" i="5"/>
  <c r="BM391" i="5"/>
  <c r="BI391" i="5"/>
  <c r="BM431" i="5"/>
  <c r="C734" i="5"/>
  <c r="C737" i="5" s="1"/>
  <c r="P742" i="5"/>
  <c r="C302" i="5"/>
  <c r="C333" i="5" s="1"/>
  <c r="AT336" i="5" s="1"/>
  <c r="AG302" i="5"/>
  <c r="AY302" i="5"/>
  <c r="AU737" i="5"/>
  <c r="BP732" i="5"/>
  <c r="AU301" i="5"/>
  <c r="AU302" i="5" s="1"/>
  <c r="AU333" i="5" s="1"/>
  <c r="AY323" i="5"/>
  <c r="AO441" i="5"/>
  <c r="AZ441" i="5"/>
  <c r="C410" i="5"/>
  <c r="BI431" i="5"/>
  <c r="R436" i="5"/>
  <c r="R426" i="5"/>
  <c r="R425" i="5"/>
  <c r="R424" i="5"/>
  <c r="R415" i="5"/>
  <c r="R399" i="5"/>
  <c r="R437" i="5"/>
  <c r="R416" i="5"/>
  <c r="R407" i="5"/>
  <c r="R396" i="5"/>
  <c r="R435" i="5"/>
  <c r="R434" i="5"/>
  <c r="R354" i="5"/>
  <c r="R356" i="5"/>
  <c r="R367" i="5"/>
  <c r="AF441" i="5"/>
  <c r="AL441" i="5"/>
  <c r="R375" i="5"/>
  <c r="R377" i="5"/>
  <c r="R379" i="5"/>
  <c r="AG410" i="5"/>
  <c r="AG441" i="5" s="1"/>
  <c r="BK391" i="5"/>
  <c r="R384" i="5"/>
  <c r="R385" i="5"/>
  <c r="R388" i="5"/>
  <c r="R398" i="5"/>
  <c r="BH582" i="5"/>
  <c r="BM582" i="5"/>
  <c r="U587" i="5"/>
  <c r="AW587" i="5"/>
  <c r="AU313" i="5"/>
  <c r="AU323" i="5" s="1"/>
  <c r="R361" i="5"/>
  <c r="R363" i="5"/>
  <c r="R365" i="5"/>
  <c r="Z441" i="5"/>
  <c r="AY410" i="5"/>
  <c r="AY441" i="5" s="1"/>
  <c r="AT448" i="5"/>
  <c r="R397" i="5"/>
  <c r="R404" i="5"/>
  <c r="R414" i="5"/>
  <c r="BG431" i="5"/>
  <c r="BG477" i="5"/>
  <c r="BK477" i="5"/>
  <c r="C477" i="5"/>
  <c r="AG518" i="5"/>
  <c r="AG549" i="5" s="1"/>
  <c r="AD709" i="5"/>
  <c r="AD623" i="5"/>
  <c r="AJ709" i="5"/>
  <c r="AJ623" i="5"/>
  <c r="AU709" i="5"/>
  <c r="AU623" i="5"/>
  <c r="R353" i="5"/>
  <c r="R355" i="5"/>
  <c r="R360" i="5"/>
  <c r="R374" i="5"/>
  <c r="R376" i="5"/>
  <c r="R378" i="5"/>
  <c r="R383" i="5"/>
  <c r="R387" i="5"/>
  <c r="R405" i="5"/>
  <c r="R406" i="5"/>
  <c r="C421" i="5"/>
  <c r="C431" i="5" s="1"/>
  <c r="R427" i="5"/>
  <c r="AT556" i="5"/>
  <c r="S542" i="5"/>
  <c r="AW542" i="5"/>
  <c r="U542" i="5"/>
  <c r="AT659" i="5"/>
  <c r="AG720" i="5"/>
  <c r="X543" i="5"/>
  <c r="AP543" i="5"/>
  <c r="S544" i="5"/>
  <c r="AW544" i="5"/>
  <c r="U544" i="5"/>
  <c r="X545" i="5"/>
  <c r="AP545" i="5"/>
  <c r="AO698" i="5"/>
  <c r="AZ698" i="5"/>
  <c r="AJ720" i="5"/>
  <c r="AD731" i="5"/>
  <c r="AS648" i="5"/>
  <c r="AI549" i="5"/>
  <c r="AO549" i="5"/>
  <c r="AZ549" i="5"/>
  <c r="AD518" i="5"/>
  <c r="AD549" i="5" s="1"/>
  <c r="AJ518" i="5"/>
  <c r="AU518" i="5"/>
  <c r="BG539" i="5"/>
  <c r="C539" i="5"/>
  <c r="AA543" i="5"/>
  <c r="AA546" i="5" s="1"/>
  <c r="M640" i="5"/>
  <c r="T640" i="5" s="1"/>
  <c r="M628" i="5"/>
  <c r="T628" i="5" s="1"/>
  <c r="M610" i="5"/>
  <c r="T610" i="5" s="1"/>
  <c r="M639" i="5"/>
  <c r="T639" i="5" s="1"/>
  <c r="M638" i="5"/>
  <c r="T638" i="5" s="1"/>
  <c r="M629" i="5"/>
  <c r="T629" i="5" s="1"/>
  <c r="M620" i="5"/>
  <c r="T620" i="5" s="1"/>
  <c r="M617" i="5"/>
  <c r="T617" i="5" s="1"/>
  <c r="M611" i="5"/>
  <c r="T611" i="5" s="1"/>
  <c r="M608" i="5"/>
  <c r="T608" i="5" s="1"/>
  <c r="M637" i="5"/>
  <c r="T637" i="5" s="1"/>
  <c r="M630" i="5"/>
  <c r="T630" i="5" s="1"/>
  <c r="M627" i="5"/>
  <c r="T627" i="5" s="1"/>
  <c r="M618" i="5"/>
  <c r="T618" i="5" s="1"/>
  <c r="M612" i="5"/>
  <c r="T612" i="5" s="1"/>
  <c r="M631" i="5"/>
  <c r="T631" i="5" s="1"/>
  <c r="M601" i="5"/>
  <c r="T601" i="5" s="1"/>
  <c r="M580" i="5"/>
  <c r="T580" i="5" s="1"/>
  <c r="M578" i="5"/>
  <c r="T578" i="5" s="1"/>
  <c r="M576" i="5"/>
  <c r="T576" i="5" s="1"/>
  <c r="M574" i="5"/>
  <c r="T574" i="5" s="1"/>
  <c r="M571" i="5"/>
  <c r="T571" i="5" s="1"/>
  <c r="T569" i="5"/>
  <c r="M619" i="5"/>
  <c r="T619" i="5" s="1"/>
  <c r="M613" i="5"/>
  <c r="T613" i="5" s="1"/>
  <c r="M602" i="5"/>
  <c r="T602" i="5" s="1"/>
  <c r="M600" i="5"/>
  <c r="T600" i="5" s="1"/>
  <c r="M579" i="5"/>
  <c r="T579" i="5" s="1"/>
  <c r="M577" i="5"/>
  <c r="T577" i="5" s="1"/>
  <c r="M575" i="5"/>
  <c r="T575" i="5" s="1"/>
  <c r="AM573" i="5"/>
  <c r="AA698" i="5"/>
  <c r="AI698" i="5"/>
  <c r="W709" i="5"/>
  <c r="AJ549" i="5"/>
  <c r="AU549" i="5"/>
  <c r="C518" i="5"/>
  <c r="AT543" i="5"/>
  <c r="AT545" i="5"/>
  <c r="BG582" i="5"/>
  <c r="BK582" i="5"/>
  <c r="AP709" i="5"/>
  <c r="BG604" i="5"/>
  <c r="M609" i="5"/>
  <c r="T609" i="5" s="1"/>
  <c r="AW543" i="5"/>
  <c r="AW545" i="5"/>
  <c r="R567" i="5"/>
  <c r="R569" i="5"/>
  <c r="M572" i="5"/>
  <c r="R580" i="5"/>
  <c r="AD698" i="5"/>
  <c r="AJ698" i="5"/>
  <c r="AJ654" i="5"/>
  <c r="AP698" i="5"/>
  <c r="AU698" i="5"/>
  <c r="R588" i="5"/>
  <c r="R590" i="5"/>
  <c r="AF709" i="5"/>
  <c r="AF623" i="5"/>
  <c r="AF739" i="5" s="1"/>
  <c r="R597" i="5"/>
  <c r="R598" i="5"/>
  <c r="R601" i="5"/>
  <c r="AY720" i="5"/>
  <c r="AG731" i="5"/>
  <c r="AA750" i="5"/>
  <c r="R650" i="5"/>
  <c r="S650" i="5" s="1"/>
  <c r="R648" i="5"/>
  <c r="S648" i="5" s="1"/>
  <c r="R631" i="5"/>
  <c r="R619" i="5"/>
  <c r="R609" i="5"/>
  <c r="R649" i="5"/>
  <c r="S649" i="5" s="1"/>
  <c r="R647" i="5"/>
  <c r="S647" i="5" s="1"/>
  <c r="R628" i="5"/>
  <c r="R613" i="5"/>
  <c r="R610" i="5"/>
  <c r="R640" i="5"/>
  <c r="R629" i="5"/>
  <c r="R620" i="5"/>
  <c r="R617" i="5"/>
  <c r="R611" i="5"/>
  <c r="R726" i="5" s="1"/>
  <c r="R571" i="5"/>
  <c r="R574" i="5"/>
  <c r="R576" i="5"/>
  <c r="R578" i="5"/>
  <c r="AF698" i="5"/>
  <c r="AL698" i="5"/>
  <c r="AL654" i="5"/>
  <c r="R591" i="5"/>
  <c r="Z709" i="5"/>
  <c r="Z623" i="5"/>
  <c r="Z739" i="5" s="1"/>
  <c r="AG709" i="5"/>
  <c r="AG623" i="5"/>
  <c r="BH604" i="5"/>
  <c r="BL604" i="5"/>
  <c r="AZ720" i="5"/>
  <c r="C615" i="5"/>
  <c r="C623" i="5" s="1"/>
  <c r="C654" i="5" s="1"/>
  <c r="AT657" i="5" s="1"/>
  <c r="R612" i="5"/>
  <c r="AP731" i="5"/>
  <c r="R618" i="5"/>
  <c r="R627" i="5"/>
  <c r="R630" i="5"/>
  <c r="AZ750" i="5"/>
  <c r="AZ644" i="5"/>
  <c r="AZ758" i="5" s="1"/>
  <c r="R637" i="5"/>
  <c r="R638" i="5"/>
  <c r="R639" i="5"/>
  <c r="Z698" i="5"/>
  <c r="AG698" i="5"/>
  <c r="R587" i="5"/>
  <c r="S587" i="5" s="1"/>
  <c r="R589" i="5"/>
  <c r="AI709" i="5"/>
  <c r="AI623" i="5"/>
  <c r="AI739" i="5" s="1"/>
  <c r="AO709" i="5"/>
  <c r="AO623" i="5"/>
  <c r="AZ709" i="5"/>
  <c r="AZ623" i="5"/>
  <c r="AZ739" i="5" s="1"/>
  <c r="BI604" i="5"/>
  <c r="BM604" i="5"/>
  <c r="R596" i="5"/>
  <c r="R600" i="5"/>
  <c r="AU720" i="5"/>
  <c r="Z731" i="5"/>
  <c r="AJ731" i="5"/>
  <c r="AU731" i="5"/>
  <c r="AY758" i="5"/>
  <c r="AW647" i="5"/>
  <c r="U647" i="5"/>
  <c r="X648" i="5"/>
  <c r="AP648" i="5"/>
  <c r="AP651" i="5" s="1"/>
  <c r="AW649" i="5"/>
  <c r="U649" i="5"/>
  <c r="AT650" i="5"/>
  <c r="X650" i="5"/>
  <c r="AQ650" i="5" s="1"/>
  <c r="AJ765" i="5"/>
  <c r="AY765" i="5"/>
  <c r="AL709" i="5"/>
  <c r="AF731" i="5"/>
  <c r="AL731" i="5"/>
  <c r="AD750" i="5"/>
  <c r="AP750" i="5"/>
  <c r="AU750" i="5"/>
  <c r="AW648" i="5"/>
  <c r="BA648" i="5" s="1"/>
  <c r="AM765" i="5"/>
  <c r="AZ765" i="5"/>
  <c r="AY731" i="5"/>
  <c r="AG750" i="5"/>
  <c r="AD644" i="5"/>
  <c r="AD758" i="5" s="1"/>
  <c r="AU644" i="5"/>
  <c r="AU758" i="5" s="1"/>
  <c r="AD765" i="5"/>
  <c r="AU765" i="5"/>
  <c r="AU697" i="5"/>
  <c r="BI697" i="5"/>
  <c r="BM697" i="5"/>
  <c r="BP695" i="5"/>
  <c r="C719" i="5"/>
  <c r="C720" i="5" s="1"/>
  <c r="BP710" i="5"/>
  <c r="AI731" i="5"/>
  <c r="AO731" i="5"/>
  <c r="AJ750" i="5"/>
  <c r="AY750" i="5"/>
  <c r="AG644" i="5"/>
  <c r="AG758" i="5" s="1"/>
  <c r="AG765" i="5"/>
  <c r="C697" i="5"/>
  <c r="BF697" i="5"/>
  <c r="BJ697" i="5"/>
  <c r="BP680" i="5"/>
  <c r="AU719" i="5"/>
  <c r="AZ737" i="5"/>
  <c r="BP745" i="5"/>
  <c r="AD738" i="5"/>
  <c r="AD767" i="5" s="1"/>
  <c r="AZ719" i="5"/>
  <c r="BP717" i="5"/>
  <c r="BG719" i="5"/>
  <c r="BK719" i="5"/>
  <c r="BP723" i="5"/>
  <c r="AU730" i="5"/>
  <c r="BA747" i="5"/>
  <c r="BC747" i="5" s="1"/>
  <c r="BP734" i="5"/>
  <c r="AZ757" i="5"/>
  <c r="BH757" i="5"/>
  <c r="C756" i="5"/>
  <c r="BP752" i="5"/>
  <c r="C764" i="5"/>
  <c r="AU749" i="5"/>
  <c r="AU757" i="5" s="1"/>
  <c r="BP742" i="5"/>
  <c r="BM757" i="5"/>
  <c r="BF757" i="5"/>
  <c r="AF771" i="5"/>
  <c r="AO771" i="5"/>
  <c r="BG757" i="5"/>
  <c r="AU764" i="5"/>
  <c r="J108" i="4"/>
  <c r="I42" i="4"/>
  <c r="K42" i="4" s="1"/>
  <c r="I46" i="4"/>
  <c r="K46" i="4" s="1"/>
  <c r="I54" i="4"/>
  <c r="K54" i="4" s="1"/>
  <c r="I58" i="4"/>
  <c r="K58" i="4" s="1"/>
  <c r="I62" i="4"/>
  <c r="K62" i="4" s="1"/>
  <c r="I65" i="4"/>
  <c r="K65" i="4" s="1"/>
  <c r="I69" i="4"/>
  <c r="K69" i="4" s="1"/>
  <c r="I85" i="4"/>
  <c r="K85" i="4" s="1"/>
  <c r="I97" i="4"/>
  <c r="K97" i="4" s="1"/>
  <c r="I101" i="4"/>
  <c r="K101" i="4" s="1"/>
  <c r="K33" i="4"/>
  <c r="K34" i="4" s="1"/>
  <c r="I41" i="4"/>
  <c r="K41" i="4" s="1"/>
  <c r="I45" i="4"/>
  <c r="K45" i="4" s="1"/>
  <c r="I49" i="4"/>
  <c r="K49" i="4" s="1"/>
  <c r="I53" i="4"/>
  <c r="K53" i="4" s="1"/>
  <c r="I57" i="4"/>
  <c r="K57" i="4" s="1"/>
  <c r="N59" i="4"/>
  <c r="O59" i="4" s="1"/>
  <c r="I61" i="4"/>
  <c r="K61" i="4" s="1"/>
  <c r="I64" i="4"/>
  <c r="K64" i="4" s="1"/>
  <c r="I68" i="4"/>
  <c r="K68" i="4" s="1"/>
  <c r="I76" i="4"/>
  <c r="K76" i="4" s="1"/>
  <c r="I84" i="4"/>
  <c r="K84" i="4" s="1"/>
  <c r="I92" i="4"/>
  <c r="K92" i="4" s="1"/>
  <c r="I96" i="4"/>
  <c r="K96" i="4" s="1"/>
  <c r="I104" i="4"/>
  <c r="K104" i="4" s="1"/>
  <c r="I50" i="4"/>
  <c r="K50" i="4" s="1"/>
  <c r="I77" i="4"/>
  <c r="K77" i="4" s="1"/>
  <c r="I40" i="4"/>
  <c r="K40" i="4" s="1"/>
  <c r="I44" i="4"/>
  <c r="K44" i="4" s="1"/>
  <c r="I48" i="4"/>
  <c r="K48" i="4" s="1"/>
  <c r="I52" i="4"/>
  <c r="K52" i="4" s="1"/>
  <c r="I60" i="4"/>
  <c r="K60" i="4" s="1"/>
  <c r="I67" i="4"/>
  <c r="K67" i="4" s="1"/>
  <c r="I71" i="4"/>
  <c r="K71" i="4" s="1"/>
  <c r="I75" i="4"/>
  <c r="K75" i="4" s="1"/>
  <c r="I79" i="4"/>
  <c r="K79" i="4" s="1"/>
  <c r="I83" i="4"/>
  <c r="K83" i="4" s="1"/>
  <c r="K86" i="4" s="1"/>
  <c r="I90" i="4"/>
  <c r="K90" i="4" s="1"/>
  <c r="K93" i="4" s="1"/>
  <c r="I91" i="4"/>
  <c r="K91" i="4" s="1"/>
  <c r="I95" i="4"/>
  <c r="K95" i="4" s="1"/>
  <c r="J108" i="3"/>
  <c r="I42" i="3"/>
  <c r="K42" i="3" s="1"/>
  <c r="I46" i="3"/>
  <c r="K46" i="3" s="1"/>
  <c r="I50" i="3"/>
  <c r="K50" i="3" s="1"/>
  <c r="I54" i="3"/>
  <c r="K54" i="3" s="1"/>
  <c r="I58" i="3"/>
  <c r="K58" i="3" s="1"/>
  <c r="K59" i="3"/>
  <c r="I62" i="3"/>
  <c r="K62" i="3" s="1"/>
  <c r="I65" i="3"/>
  <c r="K65" i="3" s="1"/>
  <c r="I69" i="3"/>
  <c r="K69" i="3" s="1"/>
  <c r="I77" i="3"/>
  <c r="K77" i="3" s="1"/>
  <c r="I85" i="3"/>
  <c r="K85" i="3" s="1"/>
  <c r="I97" i="3"/>
  <c r="K97" i="3" s="1"/>
  <c r="I101" i="3"/>
  <c r="K101" i="3" s="1"/>
  <c r="K33" i="3"/>
  <c r="K34" i="3" s="1"/>
  <c r="I41" i="3"/>
  <c r="K41" i="3" s="1"/>
  <c r="I45" i="3"/>
  <c r="K45" i="3" s="1"/>
  <c r="I49" i="3"/>
  <c r="K49" i="3" s="1"/>
  <c r="I53" i="3"/>
  <c r="K53" i="3" s="1"/>
  <c r="I57" i="3"/>
  <c r="K57" i="3" s="1"/>
  <c r="I61" i="3"/>
  <c r="K61" i="3" s="1"/>
  <c r="I64" i="3"/>
  <c r="K64" i="3" s="1"/>
  <c r="I68" i="3"/>
  <c r="K68" i="3" s="1"/>
  <c r="I76" i="3"/>
  <c r="K76" i="3" s="1"/>
  <c r="K80" i="3" s="1"/>
  <c r="I84" i="3"/>
  <c r="K84" i="3" s="1"/>
  <c r="I92" i="3"/>
  <c r="K92" i="3" s="1"/>
  <c r="I96" i="3"/>
  <c r="K96" i="3" s="1"/>
  <c r="I104" i="3"/>
  <c r="K104" i="3" s="1"/>
  <c r="I52" i="3"/>
  <c r="K52" i="3" s="1"/>
  <c r="I60" i="3"/>
  <c r="K60" i="3" s="1"/>
  <c r="I67" i="3"/>
  <c r="K67" i="3" s="1"/>
  <c r="I71" i="3"/>
  <c r="K71" i="3" s="1"/>
  <c r="I75" i="3"/>
  <c r="K75" i="3" s="1"/>
  <c r="I79" i="3"/>
  <c r="K79" i="3" s="1"/>
  <c r="I83" i="3"/>
  <c r="K83" i="3" s="1"/>
  <c r="K86" i="3" s="1"/>
  <c r="I90" i="3"/>
  <c r="K90" i="3" s="1"/>
  <c r="I91" i="3"/>
  <c r="K91" i="3" s="1"/>
  <c r="I95" i="3"/>
  <c r="K95" i="3" s="1"/>
  <c r="K99" i="3" s="1"/>
  <c r="I42" i="2"/>
  <c r="K42" i="2" s="1"/>
  <c r="I46" i="2"/>
  <c r="K46" i="2" s="1"/>
  <c r="I50" i="2"/>
  <c r="K50" i="2" s="1"/>
  <c r="I54" i="2"/>
  <c r="K54" i="2" s="1"/>
  <c r="I58" i="2"/>
  <c r="K58" i="2" s="1"/>
  <c r="K59" i="2"/>
  <c r="I62" i="2"/>
  <c r="K62" i="2" s="1"/>
  <c r="I65" i="2"/>
  <c r="K65" i="2" s="1"/>
  <c r="I69" i="2"/>
  <c r="K69" i="2" s="1"/>
  <c r="I77" i="2"/>
  <c r="K77" i="2" s="1"/>
  <c r="I85" i="2"/>
  <c r="K85" i="2" s="1"/>
  <c r="I97" i="2"/>
  <c r="K97" i="2" s="1"/>
  <c r="I101" i="2"/>
  <c r="K101" i="2" s="1"/>
  <c r="K33" i="2"/>
  <c r="K34" i="2" s="1"/>
  <c r="I41" i="2"/>
  <c r="K41" i="2" s="1"/>
  <c r="I45" i="2"/>
  <c r="K45" i="2" s="1"/>
  <c r="I49" i="2"/>
  <c r="K49" i="2" s="1"/>
  <c r="I53" i="2"/>
  <c r="K53" i="2" s="1"/>
  <c r="I57" i="2"/>
  <c r="K57" i="2" s="1"/>
  <c r="I61" i="2"/>
  <c r="K61" i="2" s="1"/>
  <c r="I64" i="2"/>
  <c r="K64" i="2" s="1"/>
  <c r="I68" i="2"/>
  <c r="K68" i="2" s="1"/>
  <c r="I76" i="2"/>
  <c r="K76" i="2" s="1"/>
  <c r="I84" i="2"/>
  <c r="K84" i="2" s="1"/>
  <c r="I92" i="2"/>
  <c r="K92" i="2" s="1"/>
  <c r="I96" i="2"/>
  <c r="K96" i="2" s="1"/>
  <c r="I104" i="2"/>
  <c r="K104" i="2" s="1"/>
  <c r="I48" i="2"/>
  <c r="K48" i="2" s="1"/>
  <c r="I52" i="2"/>
  <c r="K52" i="2" s="1"/>
  <c r="I60" i="2"/>
  <c r="K60" i="2" s="1"/>
  <c r="I67" i="2"/>
  <c r="K67" i="2" s="1"/>
  <c r="I71" i="2"/>
  <c r="K71" i="2" s="1"/>
  <c r="I75" i="2"/>
  <c r="K75" i="2" s="1"/>
  <c r="I79" i="2"/>
  <c r="K79" i="2" s="1"/>
  <c r="I83" i="2"/>
  <c r="K83" i="2" s="1"/>
  <c r="K86" i="2" s="1"/>
  <c r="I90" i="2"/>
  <c r="K90" i="2" s="1"/>
  <c r="K93" i="2" s="1"/>
  <c r="I91" i="2"/>
  <c r="K91" i="2" s="1"/>
  <c r="I95" i="2"/>
  <c r="K95" i="2" s="1"/>
  <c r="K99" i="2" s="1"/>
  <c r="R121" i="15"/>
  <c r="AJ120" i="15"/>
  <c r="AI120" i="15"/>
  <c r="G119" i="15"/>
  <c r="AF119" i="15" s="1"/>
  <c r="F119" i="15"/>
  <c r="E119" i="15"/>
  <c r="M119" i="15" s="1"/>
  <c r="D119" i="15"/>
  <c r="C119" i="15"/>
  <c r="K119" i="15" s="1"/>
  <c r="B119" i="15"/>
  <c r="J119" i="15" s="1"/>
  <c r="G118" i="15"/>
  <c r="AI118" i="15" s="1"/>
  <c r="F118" i="15"/>
  <c r="E118" i="15"/>
  <c r="M118" i="15" s="1"/>
  <c r="D118" i="15"/>
  <c r="C118" i="15"/>
  <c r="K118" i="15" s="1"/>
  <c r="B118" i="15"/>
  <c r="J118" i="15" s="1"/>
  <c r="G117" i="15"/>
  <c r="AI117" i="15" s="1"/>
  <c r="F117" i="15"/>
  <c r="E117" i="15"/>
  <c r="M117" i="15" s="1"/>
  <c r="D117" i="15"/>
  <c r="C117" i="15"/>
  <c r="K117" i="15" s="1"/>
  <c r="B117" i="15"/>
  <c r="J117" i="15" s="1"/>
  <c r="G116" i="15"/>
  <c r="AI116" i="15" s="1"/>
  <c r="F116" i="15"/>
  <c r="E116" i="15"/>
  <c r="M116" i="15" s="1"/>
  <c r="D116" i="15"/>
  <c r="C116" i="15"/>
  <c r="K116" i="15" s="1"/>
  <c r="B116" i="15"/>
  <c r="J116" i="15" s="1"/>
  <c r="G115" i="15"/>
  <c r="AF115" i="15" s="1"/>
  <c r="F115" i="15"/>
  <c r="E115" i="15"/>
  <c r="M115" i="15" s="1"/>
  <c r="D115" i="15"/>
  <c r="C115" i="15"/>
  <c r="K115" i="15" s="1"/>
  <c r="B115" i="15"/>
  <c r="J115" i="15" s="1"/>
  <c r="M114" i="15"/>
  <c r="G114" i="15"/>
  <c r="F114" i="15"/>
  <c r="E114" i="15"/>
  <c r="D114" i="15"/>
  <c r="C114" i="15"/>
  <c r="K114" i="15" s="1"/>
  <c r="B114" i="15"/>
  <c r="J114" i="15" s="1"/>
  <c r="M113" i="15"/>
  <c r="G113" i="15"/>
  <c r="AF113" i="15" s="1"/>
  <c r="F113" i="15"/>
  <c r="E113" i="15"/>
  <c r="D113" i="15"/>
  <c r="C113" i="15"/>
  <c r="K113" i="15" s="1"/>
  <c r="B113" i="15"/>
  <c r="J113" i="15" s="1"/>
  <c r="AF112" i="15"/>
  <c r="K112" i="15"/>
  <c r="G112" i="15"/>
  <c r="AI112" i="15" s="1"/>
  <c r="F112" i="15"/>
  <c r="E112" i="15"/>
  <c r="M112" i="15" s="1"/>
  <c r="D112" i="15"/>
  <c r="C112" i="15"/>
  <c r="B112" i="15"/>
  <c r="J112" i="15" s="1"/>
  <c r="AF111" i="15"/>
  <c r="M111" i="15"/>
  <c r="G111" i="15"/>
  <c r="F111" i="15"/>
  <c r="E111" i="15"/>
  <c r="D111" i="15"/>
  <c r="C111" i="15"/>
  <c r="K111" i="15" s="1"/>
  <c r="B111" i="15"/>
  <c r="J111" i="15" s="1"/>
  <c r="K109" i="15"/>
  <c r="J109" i="15"/>
  <c r="F109" i="15"/>
  <c r="N109" i="15" s="1"/>
  <c r="P109" i="15" s="1"/>
  <c r="E109" i="15"/>
  <c r="G109" i="15" s="1"/>
  <c r="AL108" i="15"/>
  <c r="AK108" i="15"/>
  <c r="AE108" i="15"/>
  <c r="AE110" i="15" s="1"/>
  <c r="AD108" i="15"/>
  <c r="AC108" i="15"/>
  <c r="AC110" i="15" s="1"/>
  <c r="Z108" i="15"/>
  <c r="Z110" i="15" s="1"/>
  <c r="Y108" i="15"/>
  <c r="X108" i="15"/>
  <c r="X110" i="15" s="1"/>
  <c r="U108" i="15"/>
  <c r="U110" i="15" s="1"/>
  <c r="T108" i="15"/>
  <c r="S108" i="15"/>
  <c r="S110" i="15" s="1"/>
  <c r="Q108" i="15"/>
  <c r="Q110" i="15" s="1"/>
  <c r="P108" i="15"/>
  <c r="O108" i="15"/>
  <c r="K108" i="15"/>
  <c r="J108" i="15"/>
  <c r="G108" i="15"/>
  <c r="E108" i="15"/>
  <c r="M108" i="15" s="1"/>
  <c r="Q106" i="15"/>
  <c r="Q121" i="15" s="1"/>
  <c r="P106" i="15"/>
  <c r="O106" i="15"/>
  <c r="O121" i="15" s="1"/>
  <c r="H106" i="15"/>
  <c r="M105" i="15"/>
  <c r="L105" i="15"/>
  <c r="K105" i="15"/>
  <c r="F105" i="15"/>
  <c r="N105" i="15" s="1"/>
  <c r="E105" i="15"/>
  <c r="G105" i="15" s="1"/>
  <c r="AE104" i="15"/>
  <c r="AD104" i="15"/>
  <c r="AC104" i="15"/>
  <c r="Z104" i="15"/>
  <c r="Y104" i="15"/>
  <c r="X104" i="15"/>
  <c r="U104" i="15"/>
  <c r="T104" i="15"/>
  <c r="K104" i="15"/>
  <c r="AE103" i="15"/>
  <c r="AD103" i="15"/>
  <c r="AC103" i="15"/>
  <c r="AC102" i="15" s="1"/>
  <c r="Z103" i="15"/>
  <c r="Z102" i="15" s="1"/>
  <c r="Y103" i="15"/>
  <c r="Y102" i="15" s="1"/>
  <c r="X103" i="15"/>
  <c r="X102" i="15" s="1"/>
  <c r="U103" i="15"/>
  <c r="T103" i="15"/>
  <c r="T102" i="15" s="1"/>
  <c r="S103" i="15"/>
  <c r="F103" i="15"/>
  <c r="N103" i="15" s="1"/>
  <c r="E103" i="15"/>
  <c r="M103" i="15" s="1"/>
  <c r="AF103" i="15" s="1"/>
  <c r="AD102" i="15"/>
  <c r="AB102" i="15"/>
  <c r="AA102" i="15"/>
  <c r="W102" i="15"/>
  <c r="V102" i="15"/>
  <c r="U102" i="15"/>
  <c r="S102" i="15"/>
  <c r="K102" i="15"/>
  <c r="AE101" i="15"/>
  <c r="AD101" i="15"/>
  <c r="AC101" i="15"/>
  <c r="Z101" i="15"/>
  <c r="Y101" i="15"/>
  <c r="X101" i="15"/>
  <c r="U101" i="15"/>
  <c r="T101" i="15"/>
  <c r="S101" i="15"/>
  <c r="L101" i="15"/>
  <c r="K101" i="15"/>
  <c r="F101" i="15"/>
  <c r="N101" i="15" s="1"/>
  <c r="E101" i="15"/>
  <c r="AE100" i="15"/>
  <c r="AD100" i="15"/>
  <c r="AC100" i="15"/>
  <c r="Z100" i="15"/>
  <c r="Y100" i="15"/>
  <c r="X100" i="15"/>
  <c r="U100" i="15"/>
  <c r="T100" i="15"/>
  <c r="S100" i="15"/>
  <c r="L100" i="15"/>
  <c r="K100" i="15"/>
  <c r="F100" i="15"/>
  <c r="N100" i="15" s="1"/>
  <c r="E100" i="15"/>
  <c r="M100" i="15" s="1"/>
  <c r="AF100" i="15" s="1"/>
  <c r="AI99" i="15"/>
  <c r="AH99" i="15"/>
  <c r="AJ99" i="15" s="1"/>
  <c r="K99" i="15"/>
  <c r="F99" i="15"/>
  <c r="E99" i="15"/>
  <c r="AJ98" i="15"/>
  <c r="AI98" i="15"/>
  <c r="AH98" i="15"/>
  <c r="K98" i="15"/>
  <c r="F98" i="15"/>
  <c r="E98" i="15"/>
  <c r="AE97" i="15"/>
  <c r="AD97" i="15"/>
  <c r="AC97" i="15"/>
  <c r="AB97" i="15"/>
  <c r="AA97" i="15"/>
  <c r="Z97" i="15"/>
  <c r="Y97" i="15"/>
  <c r="X97" i="15"/>
  <c r="W97" i="15"/>
  <c r="V97" i="15"/>
  <c r="U97" i="15"/>
  <c r="T97" i="15"/>
  <c r="S97" i="15"/>
  <c r="AH97" i="15" s="1"/>
  <c r="L97" i="15"/>
  <c r="K97" i="15"/>
  <c r="G97" i="15"/>
  <c r="AI97" i="15" s="1"/>
  <c r="N95" i="15"/>
  <c r="M95" i="15"/>
  <c r="F95" i="15"/>
  <c r="E95" i="15"/>
  <c r="G95" i="15" s="1"/>
  <c r="S95" i="15" s="1"/>
  <c r="N94" i="15"/>
  <c r="M94" i="15"/>
  <c r="F94" i="15"/>
  <c r="E94" i="15"/>
  <c r="G94" i="15" s="1"/>
  <c r="AE93" i="15"/>
  <c r="AD93" i="15"/>
  <c r="AC93" i="15"/>
  <c r="AC92" i="15" s="1"/>
  <c r="Z93" i="15"/>
  <c r="Y93" i="15"/>
  <c r="X93" i="15"/>
  <c r="U93" i="15"/>
  <c r="T93" i="15"/>
  <c r="AE92" i="15"/>
  <c r="AD92" i="15"/>
  <c r="AB92" i="15"/>
  <c r="AA92" i="15"/>
  <c r="X92" i="15"/>
  <c r="K92" i="15"/>
  <c r="N91" i="15"/>
  <c r="F91" i="15"/>
  <c r="E91" i="15"/>
  <c r="D91" i="15"/>
  <c r="L91" i="15" s="1"/>
  <c r="C91" i="15"/>
  <c r="K91" i="15" s="1"/>
  <c r="AI90" i="15"/>
  <c r="N90" i="15"/>
  <c r="M90" i="15"/>
  <c r="G90" i="15"/>
  <c r="S90" i="15" s="1"/>
  <c r="F90" i="15"/>
  <c r="E90" i="15"/>
  <c r="D90" i="15"/>
  <c r="L90" i="15" s="1"/>
  <c r="C90" i="15"/>
  <c r="K90" i="15" s="1"/>
  <c r="N89" i="15"/>
  <c r="M89" i="15"/>
  <c r="F89" i="15"/>
  <c r="E89" i="15"/>
  <c r="G89" i="15" s="1"/>
  <c r="D89" i="15"/>
  <c r="L89" i="15" s="1"/>
  <c r="C89" i="15"/>
  <c r="K89" i="15" s="1"/>
  <c r="N88" i="15"/>
  <c r="M88" i="15"/>
  <c r="F88" i="15"/>
  <c r="E88" i="15"/>
  <c r="G88" i="15" s="1"/>
  <c r="D88" i="15"/>
  <c r="L88" i="15" s="1"/>
  <c r="C88" i="15"/>
  <c r="K88" i="15" s="1"/>
  <c r="N87" i="15"/>
  <c r="M87" i="15"/>
  <c r="L87" i="15"/>
  <c r="F87" i="15"/>
  <c r="E87" i="15"/>
  <c r="D87" i="15"/>
  <c r="C87" i="15"/>
  <c r="K87" i="15" s="1"/>
  <c r="AI86" i="15"/>
  <c r="N86" i="15"/>
  <c r="M86" i="15"/>
  <c r="G86" i="15"/>
  <c r="S86" i="15" s="1"/>
  <c r="F86" i="15"/>
  <c r="E86" i="15"/>
  <c r="D86" i="15"/>
  <c r="L86" i="15" s="1"/>
  <c r="C86" i="15"/>
  <c r="K86" i="15" s="1"/>
  <c r="N85" i="15"/>
  <c r="M85" i="15"/>
  <c r="L85" i="15"/>
  <c r="F85" i="15"/>
  <c r="E85" i="15"/>
  <c r="D85" i="15"/>
  <c r="C85" i="15"/>
  <c r="K85" i="15" s="1"/>
  <c r="N84" i="15"/>
  <c r="M84" i="15"/>
  <c r="F84" i="15"/>
  <c r="G84" i="15" s="1"/>
  <c r="S84" i="15" s="1"/>
  <c r="E84" i="15"/>
  <c r="D84" i="15"/>
  <c r="L84" i="15" s="1"/>
  <c r="C84" i="15"/>
  <c r="K84" i="15" s="1"/>
  <c r="N83" i="15"/>
  <c r="M83" i="15"/>
  <c r="F83" i="15"/>
  <c r="E83" i="15"/>
  <c r="G83" i="15" s="1"/>
  <c r="D83" i="15"/>
  <c r="L83" i="15" s="1"/>
  <c r="C83" i="15"/>
  <c r="K83" i="15" s="1"/>
  <c r="N82" i="15"/>
  <c r="M82" i="15"/>
  <c r="L82" i="15"/>
  <c r="F82" i="15"/>
  <c r="E82" i="15"/>
  <c r="G82" i="15" s="1"/>
  <c r="D82" i="15"/>
  <c r="C82" i="15"/>
  <c r="K82" i="15" s="1"/>
  <c r="N81" i="15"/>
  <c r="M81" i="15"/>
  <c r="L81" i="15"/>
  <c r="G81" i="15"/>
  <c r="S81" i="15" s="1"/>
  <c r="AH81" i="15" s="1"/>
  <c r="F81" i="15"/>
  <c r="E81" i="15"/>
  <c r="D81" i="15"/>
  <c r="C81" i="15"/>
  <c r="K81" i="15" s="1"/>
  <c r="N80" i="15"/>
  <c r="M80" i="15"/>
  <c r="L80" i="15"/>
  <c r="F80" i="15"/>
  <c r="E80" i="15"/>
  <c r="D80" i="15"/>
  <c r="C80" i="15"/>
  <c r="K80" i="15" s="1"/>
  <c r="N79" i="15"/>
  <c r="M79" i="15"/>
  <c r="F79" i="15"/>
  <c r="E79" i="15"/>
  <c r="G79" i="15" s="1"/>
  <c r="D79" i="15"/>
  <c r="L79" i="15" s="1"/>
  <c r="C79" i="15"/>
  <c r="K79" i="15" s="1"/>
  <c r="N78" i="15"/>
  <c r="M78" i="15"/>
  <c r="F78" i="15"/>
  <c r="E78" i="15"/>
  <c r="G78" i="15" s="1"/>
  <c r="D78" i="15"/>
  <c r="L78" i="15" s="1"/>
  <c r="C78" i="15"/>
  <c r="K78" i="15" s="1"/>
  <c r="N77" i="15"/>
  <c r="M77" i="15"/>
  <c r="G77" i="15"/>
  <c r="F77" i="15"/>
  <c r="E77" i="15"/>
  <c r="D77" i="15"/>
  <c r="L77" i="15" s="1"/>
  <c r="C77" i="15"/>
  <c r="K77" i="15" s="1"/>
  <c r="N76" i="15"/>
  <c r="M76" i="15"/>
  <c r="L76" i="15"/>
  <c r="F76" i="15"/>
  <c r="E76" i="15"/>
  <c r="D76" i="15"/>
  <c r="C76" i="15"/>
  <c r="K76" i="15" s="1"/>
  <c r="N75" i="15"/>
  <c r="M75" i="15"/>
  <c r="F75" i="15"/>
  <c r="E75" i="15"/>
  <c r="G75" i="15" s="1"/>
  <c r="D75" i="15"/>
  <c r="L75" i="15" s="1"/>
  <c r="C75" i="15"/>
  <c r="K75" i="15" s="1"/>
  <c r="N74" i="15"/>
  <c r="M74" i="15"/>
  <c r="F74" i="15"/>
  <c r="E74" i="15"/>
  <c r="G74" i="15" s="1"/>
  <c r="D74" i="15"/>
  <c r="L74" i="15" s="1"/>
  <c r="C74" i="15"/>
  <c r="K74" i="15" s="1"/>
  <c r="AE73" i="15"/>
  <c r="AD73" i="15"/>
  <c r="AC73" i="15"/>
  <c r="Z73" i="15"/>
  <c r="Y73" i="15"/>
  <c r="X73" i="15"/>
  <c r="U73" i="15"/>
  <c r="T73" i="15"/>
  <c r="M72" i="15"/>
  <c r="L72" i="15"/>
  <c r="K72" i="15"/>
  <c r="F72" i="15"/>
  <c r="N72" i="15" s="1"/>
  <c r="L71" i="15"/>
  <c r="K71" i="15"/>
  <c r="F71" i="15"/>
  <c r="N71" i="15" s="1"/>
  <c r="E71" i="15"/>
  <c r="N70" i="15"/>
  <c r="L70" i="15"/>
  <c r="K70" i="15"/>
  <c r="F70" i="15"/>
  <c r="E70" i="15"/>
  <c r="L69" i="15"/>
  <c r="K69" i="15"/>
  <c r="F69" i="15"/>
  <c r="N69" i="15" s="1"/>
  <c r="E69" i="15"/>
  <c r="AE68" i="15"/>
  <c r="AD68" i="15"/>
  <c r="AC68" i="15"/>
  <c r="Z68" i="15"/>
  <c r="Y68" i="15"/>
  <c r="X68" i="15"/>
  <c r="T68" i="15"/>
  <c r="AI67" i="15"/>
  <c r="AH67" i="15"/>
  <c r="AF67" i="15"/>
  <c r="M67" i="15"/>
  <c r="K67" i="15"/>
  <c r="AE66" i="15"/>
  <c r="AD66" i="15"/>
  <c r="AC66" i="15"/>
  <c r="Z66" i="15"/>
  <c r="Y66" i="15"/>
  <c r="X66" i="15"/>
  <c r="U66" i="15"/>
  <c r="T66" i="15"/>
  <c r="S66" i="15"/>
  <c r="F66" i="15"/>
  <c r="N66" i="15" s="1"/>
  <c r="E66" i="15"/>
  <c r="M66" i="15" s="1"/>
  <c r="C66" i="15"/>
  <c r="K66" i="15" s="1"/>
  <c r="AE65" i="15"/>
  <c r="AD65" i="15"/>
  <c r="AC65" i="15"/>
  <c r="Z65" i="15"/>
  <c r="Y65" i="15"/>
  <c r="X65" i="15"/>
  <c r="U65" i="15"/>
  <c r="T65" i="15"/>
  <c r="S65" i="15"/>
  <c r="K65" i="15"/>
  <c r="F65" i="15"/>
  <c r="N65" i="15" s="1"/>
  <c r="E65" i="15"/>
  <c r="M65" i="15" s="1"/>
  <c r="AE64" i="15"/>
  <c r="AD64" i="15"/>
  <c r="AD63" i="15" s="1"/>
  <c r="AC64" i="15"/>
  <c r="AC63" i="15" s="1"/>
  <c r="Z64" i="15"/>
  <c r="Y64" i="15"/>
  <c r="X64" i="15"/>
  <c r="U64" i="15"/>
  <c r="T64" i="15"/>
  <c r="S64" i="15"/>
  <c r="K64" i="15"/>
  <c r="F64" i="15"/>
  <c r="G64" i="15" s="1"/>
  <c r="E64" i="15"/>
  <c r="M64" i="15" s="1"/>
  <c r="U63" i="15"/>
  <c r="H62" i="15"/>
  <c r="F62" i="15"/>
  <c r="N62" i="15" s="1"/>
  <c r="E62" i="15"/>
  <c r="D62" i="15"/>
  <c r="L62" i="15" s="1"/>
  <c r="C62" i="15"/>
  <c r="K62" i="15" s="1"/>
  <c r="H61" i="15"/>
  <c r="F61" i="15"/>
  <c r="N61" i="15" s="1"/>
  <c r="E61" i="15"/>
  <c r="D61" i="15"/>
  <c r="L61" i="15" s="1"/>
  <c r="C61" i="15"/>
  <c r="K61" i="15" s="1"/>
  <c r="H60" i="15"/>
  <c r="F60" i="15"/>
  <c r="N60" i="15" s="1"/>
  <c r="E60" i="15"/>
  <c r="M60" i="15" s="1"/>
  <c r="D60" i="15"/>
  <c r="L60" i="15" s="1"/>
  <c r="C60" i="15"/>
  <c r="K60" i="15" s="1"/>
  <c r="F59" i="15"/>
  <c r="N59" i="15" s="1"/>
  <c r="E59" i="15"/>
  <c r="M59" i="15" s="1"/>
  <c r="D59" i="15"/>
  <c r="L59" i="15" s="1"/>
  <c r="C59" i="15"/>
  <c r="K59" i="15" s="1"/>
  <c r="L58" i="15"/>
  <c r="F58" i="15"/>
  <c r="N58" i="15" s="1"/>
  <c r="E58" i="15"/>
  <c r="D58" i="15"/>
  <c r="C58" i="15"/>
  <c r="K58" i="15" s="1"/>
  <c r="K57" i="15"/>
  <c r="F57" i="15"/>
  <c r="N57" i="15" s="1"/>
  <c r="E57" i="15"/>
  <c r="D57" i="15"/>
  <c r="L57" i="15" s="1"/>
  <c r="C57" i="15"/>
  <c r="F56" i="15"/>
  <c r="N56" i="15" s="1"/>
  <c r="E56" i="15"/>
  <c r="M56" i="15" s="1"/>
  <c r="D56" i="15"/>
  <c r="L56" i="15" s="1"/>
  <c r="C56" i="15"/>
  <c r="K56" i="15" s="1"/>
  <c r="M55" i="15"/>
  <c r="F55" i="15"/>
  <c r="N55" i="15" s="1"/>
  <c r="E55" i="15"/>
  <c r="D55" i="15"/>
  <c r="L55" i="15" s="1"/>
  <c r="C55" i="15"/>
  <c r="K55" i="15" s="1"/>
  <c r="K54" i="15"/>
  <c r="F54" i="15"/>
  <c r="N54" i="15" s="1"/>
  <c r="E54" i="15"/>
  <c r="D54" i="15"/>
  <c r="L54" i="15" s="1"/>
  <c r="C54" i="15"/>
  <c r="K53" i="15"/>
  <c r="F53" i="15"/>
  <c r="N53" i="15" s="1"/>
  <c r="E53" i="15"/>
  <c r="D53" i="15"/>
  <c r="L53" i="15" s="1"/>
  <c r="C53" i="15"/>
  <c r="F52" i="15"/>
  <c r="N52" i="15" s="1"/>
  <c r="E52" i="15"/>
  <c r="D52" i="15"/>
  <c r="L52" i="15" s="1"/>
  <c r="C52" i="15"/>
  <c r="K52" i="15" s="1"/>
  <c r="L51" i="15"/>
  <c r="F51" i="15"/>
  <c r="N51" i="15" s="1"/>
  <c r="E51" i="15"/>
  <c r="D51" i="15"/>
  <c r="C51" i="15"/>
  <c r="K51" i="15" s="1"/>
  <c r="N50" i="15"/>
  <c r="F50" i="15"/>
  <c r="E50" i="15"/>
  <c r="D50" i="15"/>
  <c r="L50" i="15" s="1"/>
  <c r="C50" i="15"/>
  <c r="K50" i="15" s="1"/>
  <c r="N49" i="15"/>
  <c r="M49" i="15"/>
  <c r="G49" i="15"/>
  <c r="AI49" i="15" s="1"/>
  <c r="F49" i="15"/>
  <c r="E49" i="15"/>
  <c r="D49" i="15"/>
  <c r="L49" i="15" s="1"/>
  <c r="C49" i="15"/>
  <c r="K49" i="15" s="1"/>
  <c r="M48" i="15"/>
  <c r="L48" i="15"/>
  <c r="F48" i="15"/>
  <c r="N48" i="15" s="1"/>
  <c r="E48" i="15"/>
  <c r="G48" i="15" s="1"/>
  <c r="AF48" i="15" s="1"/>
  <c r="D48" i="15"/>
  <c r="C48" i="15"/>
  <c r="K48" i="15" s="1"/>
  <c r="K47" i="15"/>
  <c r="F47" i="15"/>
  <c r="N47" i="15" s="1"/>
  <c r="E47" i="15"/>
  <c r="D47" i="15"/>
  <c r="L47" i="15" s="1"/>
  <c r="C47" i="15"/>
  <c r="K46" i="15"/>
  <c r="F46" i="15"/>
  <c r="N46" i="15" s="1"/>
  <c r="E46" i="15"/>
  <c r="D46" i="15"/>
  <c r="L46" i="15" s="1"/>
  <c r="C46" i="15"/>
  <c r="F45" i="15"/>
  <c r="N45" i="15" s="1"/>
  <c r="E45" i="15"/>
  <c r="M45" i="15" s="1"/>
  <c r="D45" i="15"/>
  <c r="L45" i="15" s="1"/>
  <c r="C45" i="15"/>
  <c r="K45" i="15" s="1"/>
  <c r="G44" i="15"/>
  <c r="F44" i="15"/>
  <c r="N44" i="15" s="1"/>
  <c r="E44" i="15"/>
  <c r="M44" i="15" s="1"/>
  <c r="D44" i="15"/>
  <c r="L44" i="15" s="1"/>
  <c r="C44" i="15"/>
  <c r="K44" i="15" s="1"/>
  <c r="L43" i="15"/>
  <c r="F43" i="15"/>
  <c r="N43" i="15" s="1"/>
  <c r="E43" i="15"/>
  <c r="D43" i="15"/>
  <c r="C43" i="15"/>
  <c r="K43" i="15" s="1"/>
  <c r="N42" i="15"/>
  <c r="F42" i="15"/>
  <c r="E42" i="15"/>
  <c r="D42" i="15"/>
  <c r="L42" i="15" s="1"/>
  <c r="C42" i="15"/>
  <c r="K42" i="15" s="1"/>
  <c r="N41" i="15"/>
  <c r="M41" i="15"/>
  <c r="G41" i="15"/>
  <c r="AI41" i="15" s="1"/>
  <c r="F41" i="15"/>
  <c r="E41" i="15"/>
  <c r="D41" i="15"/>
  <c r="L41" i="15" s="1"/>
  <c r="C41" i="15"/>
  <c r="K41" i="15" s="1"/>
  <c r="M40" i="15"/>
  <c r="L40" i="15"/>
  <c r="F40" i="15"/>
  <c r="N40" i="15" s="1"/>
  <c r="E40" i="15"/>
  <c r="D40" i="15"/>
  <c r="C40" i="15"/>
  <c r="K40" i="15" s="1"/>
  <c r="K39" i="15"/>
  <c r="F39" i="15"/>
  <c r="N39" i="15" s="1"/>
  <c r="E39" i="15"/>
  <c r="D39" i="15"/>
  <c r="L39" i="15" s="1"/>
  <c r="C39" i="15"/>
  <c r="K38" i="15"/>
  <c r="F38" i="15"/>
  <c r="N38" i="15" s="1"/>
  <c r="E38" i="15"/>
  <c r="D38" i="15"/>
  <c r="L38" i="15" s="1"/>
  <c r="C38" i="15"/>
  <c r="F37" i="15"/>
  <c r="N37" i="15" s="1"/>
  <c r="E37" i="15"/>
  <c r="M37" i="15" s="1"/>
  <c r="D37" i="15"/>
  <c r="L37" i="15" s="1"/>
  <c r="C37" i="15"/>
  <c r="K37" i="15" s="1"/>
  <c r="L36" i="15"/>
  <c r="F36" i="15"/>
  <c r="N36" i="15" s="1"/>
  <c r="E36" i="15"/>
  <c r="M36" i="15" s="1"/>
  <c r="D36" i="15"/>
  <c r="C36" i="15"/>
  <c r="K36" i="15" s="1"/>
  <c r="F35" i="15"/>
  <c r="N35" i="15" s="1"/>
  <c r="E35" i="15"/>
  <c r="G35" i="15" s="1"/>
  <c r="D35" i="15"/>
  <c r="L35" i="15" s="1"/>
  <c r="C35" i="15"/>
  <c r="K35" i="15" s="1"/>
  <c r="L34" i="15"/>
  <c r="K34" i="15"/>
  <c r="I34" i="15"/>
  <c r="F34" i="15"/>
  <c r="N34" i="15" s="1"/>
  <c r="E34" i="15"/>
  <c r="M34" i="15" s="1"/>
  <c r="D34" i="15"/>
  <c r="C34" i="15"/>
  <c r="K33" i="15"/>
  <c r="F33" i="15"/>
  <c r="N33" i="15" s="1"/>
  <c r="E33" i="15"/>
  <c r="M33" i="15" s="1"/>
  <c r="D33" i="15"/>
  <c r="L33" i="15" s="1"/>
  <c r="C33" i="15"/>
  <c r="N32" i="15"/>
  <c r="F32" i="15"/>
  <c r="E32" i="15"/>
  <c r="M32" i="15" s="1"/>
  <c r="D32" i="15"/>
  <c r="L32" i="15" s="1"/>
  <c r="C32" i="15"/>
  <c r="K32" i="15" s="1"/>
  <c r="G31" i="15"/>
  <c r="AF31" i="15" s="1"/>
  <c r="F31" i="15"/>
  <c r="N31" i="15" s="1"/>
  <c r="E31" i="15"/>
  <c r="M31" i="15" s="1"/>
  <c r="D31" i="15"/>
  <c r="L31" i="15" s="1"/>
  <c r="C31" i="15"/>
  <c r="K31" i="15" s="1"/>
  <c r="L30" i="15"/>
  <c r="F30" i="15"/>
  <c r="N30" i="15" s="1"/>
  <c r="E30" i="15"/>
  <c r="M30" i="15" s="1"/>
  <c r="D30" i="15"/>
  <c r="C30" i="15"/>
  <c r="K30" i="15" s="1"/>
  <c r="N29" i="15"/>
  <c r="F29" i="15"/>
  <c r="E29" i="15"/>
  <c r="M29" i="15" s="1"/>
  <c r="D29" i="15"/>
  <c r="L29" i="15" s="1"/>
  <c r="C29" i="15"/>
  <c r="K29" i="15" s="1"/>
  <c r="F28" i="15"/>
  <c r="G28" i="15" s="1"/>
  <c r="E28" i="15"/>
  <c r="M28" i="15" s="1"/>
  <c r="D28" i="15"/>
  <c r="L28" i="15" s="1"/>
  <c r="C28" i="15"/>
  <c r="K28" i="15" s="1"/>
  <c r="L27" i="15"/>
  <c r="F27" i="15"/>
  <c r="N27" i="15" s="1"/>
  <c r="E27" i="15"/>
  <c r="M27" i="15" s="1"/>
  <c r="D27" i="15"/>
  <c r="C27" i="15"/>
  <c r="K27" i="15" s="1"/>
  <c r="F26" i="15"/>
  <c r="N26" i="15" s="1"/>
  <c r="E26" i="15"/>
  <c r="M26" i="15" s="1"/>
  <c r="D26" i="15"/>
  <c r="L26" i="15" s="1"/>
  <c r="C26" i="15"/>
  <c r="K26" i="15" s="1"/>
  <c r="N25" i="15"/>
  <c r="K25" i="15"/>
  <c r="F25" i="15"/>
  <c r="E25" i="15"/>
  <c r="M25" i="15" s="1"/>
  <c r="D25" i="15"/>
  <c r="L25" i="15" s="1"/>
  <c r="C25" i="15"/>
  <c r="M24" i="15"/>
  <c r="F24" i="15"/>
  <c r="E24" i="15"/>
  <c r="D24" i="15"/>
  <c r="L24" i="15" s="1"/>
  <c r="C24" i="15"/>
  <c r="K24" i="15" s="1"/>
  <c r="M23" i="15"/>
  <c r="F23" i="15"/>
  <c r="N23" i="15" s="1"/>
  <c r="E23" i="15"/>
  <c r="G23" i="15" s="1"/>
  <c r="AF23" i="15" s="1"/>
  <c r="D23" i="15"/>
  <c r="L23" i="15" s="1"/>
  <c r="C23" i="15"/>
  <c r="K23" i="15" s="1"/>
  <c r="K22" i="15"/>
  <c r="F22" i="15"/>
  <c r="N22" i="15" s="1"/>
  <c r="E22" i="15"/>
  <c r="M22" i="15" s="1"/>
  <c r="D22" i="15"/>
  <c r="L22" i="15" s="1"/>
  <c r="C22" i="15"/>
  <c r="N21" i="15"/>
  <c r="K21" i="15"/>
  <c r="F21" i="15"/>
  <c r="E21" i="15"/>
  <c r="M21" i="15" s="1"/>
  <c r="D21" i="15"/>
  <c r="L21" i="15" s="1"/>
  <c r="C21" i="15"/>
  <c r="N20" i="15"/>
  <c r="M20" i="15"/>
  <c r="F20" i="15"/>
  <c r="G20" i="15" s="1"/>
  <c r="E20" i="15"/>
  <c r="D20" i="15"/>
  <c r="L20" i="15" s="1"/>
  <c r="C20" i="15"/>
  <c r="K20" i="15" s="1"/>
  <c r="AE19" i="15"/>
  <c r="AD19" i="15"/>
  <c r="AC19" i="15"/>
  <c r="Z19" i="15"/>
  <c r="Y19" i="15"/>
  <c r="X19" i="15"/>
  <c r="U19" i="15"/>
  <c r="T19" i="15"/>
  <c r="AB18" i="15"/>
  <c r="AA18" i="15"/>
  <c r="W18" i="15"/>
  <c r="W106" i="15" s="1"/>
  <c r="W121" i="15" s="1"/>
  <c r="V18" i="15"/>
  <c r="AB17" i="15"/>
  <c r="AA17" i="15"/>
  <c r="W17" i="15"/>
  <c r="V17" i="15"/>
  <c r="AF16" i="15"/>
  <c r="AC16" i="15"/>
  <c r="Z16" i="15"/>
  <c r="Y16" i="15"/>
  <c r="X16" i="15"/>
  <c r="U16" i="15"/>
  <c r="U14" i="15" s="1"/>
  <c r="U17" i="15" s="1"/>
  <c r="T16" i="15"/>
  <c r="S16" i="15"/>
  <c r="M16" i="15"/>
  <c r="G16" i="15"/>
  <c r="AI16" i="15" s="1"/>
  <c r="E16" i="15"/>
  <c r="AC15" i="15"/>
  <c r="Z15" i="15"/>
  <c r="Y15" i="15"/>
  <c r="X15" i="15"/>
  <c r="U15" i="15"/>
  <c r="T15" i="15"/>
  <c r="T14" i="15" s="1"/>
  <c r="T17" i="15" s="1"/>
  <c r="S15" i="15"/>
  <c r="M15" i="15"/>
  <c r="G15" i="15"/>
  <c r="AI15" i="15" s="1"/>
  <c r="AE14" i="15"/>
  <c r="AD14" i="15"/>
  <c r="AD17" i="15" s="1"/>
  <c r="AC14" i="15"/>
  <c r="AC17" i="15" s="1"/>
  <c r="Y14" i="15"/>
  <c r="Y17" i="15" s="1"/>
  <c r="S14" i="15"/>
  <c r="G14" i="15"/>
  <c r="G17" i="15" s="1"/>
  <c r="AI17" i="15" s="1"/>
  <c r="J11" i="15"/>
  <c r="G6" i="15"/>
  <c r="AF6" i="15" s="1"/>
  <c r="C6" i="15"/>
  <c r="K6" i="15" s="1"/>
  <c r="H121" i="14"/>
  <c r="G121" i="14"/>
  <c r="F121" i="14"/>
  <c r="E121" i="14"/>
  <c r="D121" i="14"/>
  <c r="C121" i="14"/>
  <c r="R120" i="14"/>
  <c r="I119" i="14"/>
  <c r="H119" i="14"/>
  <c r="G119" i="14"/>
  <c r="F119" i="14"/>
  <c r="E119" i="14"/>
  <c r="D119" i="14"/>
  <c r="C119" i="14"/>
  <c r="N118" i="14"/>
  <c r="R118" i="14" s="1"/>
  <c r="I118" i="14"/>
  <c r="H118" i="14"/>
  <c r="G118" i="14"/>
  <c r="F118" i="14"/>
  <c r="E118" i="14"/>
  <c r="D118" i="14"/>
  <c r="C118" i="14"/>
  <c r="N117" i="14"/>
  <c r="R117" i="14" s="1"/>
  <c r="I117" i="14"/>
  <c r="H117" i="14"/>
  <c r="G117" i="14"/>
  <c r="F117" i="14"/>
  <c r="E117" i="14"/>
  <c r="D117" i="14"/>
  <c r="C117" i="14"/>
  <c r="J117" i="14" s="1"/>
  <c r="H116" i="14"/>
  <c r="G116" i="14"/>
  <c r="F116" i="14"/>
  <c r="E116" i="14"/>
  <c r="D116" i="14"/>
  <c r="C116" i="14"/>
  <c r="R115" i="14"/>
  <c r="Q114" i="14"/>
  <c r="O114" i="14"/>
  <c r="M114" i="14"/>
  <c r="N113" i="14"/>
  <c r="G113" i="14"/>
  <c r="D113" i="14"/>
  <c r="N112" i="14"/>
  <c r="I112" i="14" s="1"/>
  <c r="F112" i="14"/>
  <c r="F113" i="14" s="1"/>
  <c r="D112" i="14"/>
  <c r="Q111" i="14"/>
  <c r="P111" i="14"/>
  <c r="O111" i="14"/>
  <c r="M111" i="14"/>
  <c r="M108" i="14"/>
  <c r="S107" i="14"/>
  <c r="M107" i="14"/>
  <c r="N105" i="14"/>
  <c r="R105" i="14" s="1"/>
  <c r="Q104" i="14"/>
  <c r="P104" i="14"/>
  <c r="O104" i="14"/>
  <c r="Q103" i="14"/>
  <c r="P103" i="14"/>
  <c r="O103" i="14"/>
  <c r="Q102" i="14"/>
  <c r="P102" i="14"/>
  <c r="O102" i="14"/>
  <c r="N102" i="14" s="1"/>
  <c r="Q101" i="14"/>
  <c r="P101" i="14"/>
  <c r="O101" i="14"/>
  <c r="N101" i="14" s="1"/>
  <c r="G101" i="14"/>
  <c r="Q100" i="14"/>
  <c r="P100" i="14"/>
  <c r="O100" i="14"/>
  <c r="H100" i="14"/>
  <c r="G100" i="14"/>
  <c r="E100" i="14"/>
  <c r="Q99" i="14"/>
  <c r="P99" i="14"/>
  <c r="O99" i="14"/>
  <c r="N99" i="14"/>
  <c r="Q98" i="14"/>
  <c r="P98" i="14"/>
  <c r="I98" i="14" s="1"/>
  <c r="O98" i="14"/>
  <c r="Q97" i="14"/>
  <c r="P97" i="14"/>
  <c r="O97" i="14"/>
  <c r="N97" i="14" s="1"/>
  <c r="I97" i="14"/>
  <c r="Q96" i="14"/>
  <c r="P96" i="14"/>
  <c r="O96" i="14"/>
  <c r="Q95" i="14"/>
  <c r="Q108" i="14" s="1"/>
  <c r="P95" i="14"/>
  <c r="P108" i="14" s="1"/>
  <c r="O95" i="14"/>
  <c r="O108" i="14" s="1"/>
  <c r="Q94" i="14"/>
  <c r="Q107" i="14" s="1"/>
  <c r="P94" i="14"/>
  <c r="O94" i="14"/>
  <c r="O107" i="14" s="1"/>
  <c r="I94" i="14"/>
  <c r="I107" i="14" s="1"/>
  <c r="M93" i="14"/>
  <c r="M106" i="14" s="1"/>
  <c r="N91" i="14"/>
  <c r="I91" i="14"/>
  <c r="F91" i="14"/>
  <c r="D91" i="14"/>
  <c r="N90" i="14"/>
  <c r="F90" i="14"/>
  <c r="D90" i="14"/>
  <c r="P88" i="14"/>
  <c r="O88" i="14"/>
  <c r="N88" i="14"/>
  <c r="I88" i="14"/>
  <c r="Q88" i="14" s="1"/>
  <c r="R88" i="14" s="1"/>
  <c r="N87" i="14"/>
  <c r="P86" i="14"/>
  <c r="O86" i="14"/>
  <c r="N86" i="14" s="1"/>
  <c r="F86" i="14"/>
  <c r="I86" i="14" s="1"/>
  <c r="Q85" i="14"/>
  <c r="Q84" i="14"/>
  <c r="Q83" i="14"/>
  <c r="I83" i="14"/>
  <c r="Q82" i="14"/>
  <c r="P82" i="14"/>
  <c r="O82" i="14"/>
  <c r="N82" i="14" s="1"/>
  <c r="P81" i="14"/>
  <c r="O81" i="14"/>
  <c r="G81" i="14"/>
  <c r="C80" i="14" s="1"/>
  <c r="Q80" i="14"/>
  <c r="P80" i="14"/>
  <c r="O80" i="14"/>
  <c r="G80" i="14"/>
  <c r="E80" i="14"/>
  <c r="Q79" i="14"/>
  <c r="P79" i="14"/>
  <c r="O79" i="14"/>
  <c r="Q78" i="14"/>
  <c r="P78" i="14"/>
  <c r="O78" i="14"/>
  <c r="M77" i="14"/>
  <c r="F73" i="14"/>
  <c r="E73" i="14"/>
  <c r="D73" i="14"/>
  <c r="C73" i="14"/>
  <c r="B73" i="14"/>
  <c r="F72" i="14"/>
  <c r="E72" i="14"/>
  <c r="G72" i="14" s="1"/>
  <c r="D72" i="14"/>
  <c r="C72" i="14"/>
  <c r="B72" i="14"/>
  <c r="F71" i="14"/>
  <c r="E71" i="14"/>
  <c r="D71" i="14"/>
  <c r="C71" i="14"/>
  <c r="B71" i="14"/>
  <c r="F70" i="14"/>
  <c r="E70" i="14"/>
  <c r="G70" i="14" s="1"/>
  <c r="D70" i="14"/>
  <c r="C70" i="14"/>
  <c r="B70" i="14"/>
  <c r="F69" i="14"/>
  <c r="E69" i="14"/>
  <c r="D69" i="14"/>
  <c r="C69" i="14"/>
  <c r="B69" i="14"/>
  <c r="F68" i="14"/>
  <c r="E68" i="14"/>
  <c r="G68" i="14" s="1"/>
  <c r="D68" i="14"/>
  <c r="C68" i="14"/>
  <c r="B68" i="14"/>
  <c r="F67" i="14"/>
  <c r="E67" i="14"/>
  <c r="D67" i="14"/>
  <c r="C67" i="14"/>
  <c r="B67" i="14"/>
  <c r="G66" i="14"/>
  <c r="F66" i="14"/>
  <c r="E66" i="14"/>
  <c r="D66" i="14"/>
  <c r="C66" i="14"/>
  <c r="B66" i="14"/>
  <c r="F65" i="14"/>
  <c r="E65" i="14"/>
  <c r="D65" i="14"/>
  <c r="C65" i="14"/>
  <c r="B65" i="14"/>
  <c r="G64" i="14"/>
  <c r="F64" i="14"/>
  <c r="E64" i="14"/>
  <c r="D64" i="14"/>
  <c r="C64" i="14"/>
  <c r="B64" i="14"/>
  <c r="F63" i="14"/>
  <c r="E63" i="14"/>
  <c r="D63" i="14"/>
  <c r="C63" i="14"/>
  <c r="B63" i="14"/>
  <c r="F62" i="14"/>
  <c r="E62" i="14"/>
  <c r="G62" i="14" s="1"/>
  <c r="D62" i="14"/>
  <c r="C62" i="14"/>
  <c r="B62" i="14"/>
  <c r="F61" i="14"/>
  <c r="E61" i="14"/>
  <c r="D61" i="14"/>
  <c r="C61" i="14"/>
  <c r="B61" i="14"/>
  <c r="F60" i="14"/>
  <c r="E60" i="14"/>
  <c r="G60" i="14" s="1"/>
  <c r="D60" i="14"/>
  <c r="C60" i="14"/>
  <c r="B60" i="14"/>
  <c r="F59" i="14"/>
  <c r="E59" i="14"/>
  <c r="G59" i="14" s="1"/>
  <c r="D59" i="14"/>
  <c r="C59" i="14"/>
  <c r="B59" i="14"/>
  <c r="G58" i="14"/>
  <c r="F58" i="14"/>
  <c r="E58" i="14"/>
  <c r="D58" i="14"/>
  <c r="C58" i="14"/>
  <c r="B58" i="14"/>
  <c r="F57" i="14"/>
  <c r="E57" i="14"/>
  <c r="G57" i="14" s="1"/>
  <c r="D57" i="14"/>
  <c r="C57" i="14"/>
  <c r="B57" i="14"/>
  <c r="F56" i="14"/>
  <c r="E56" i="14"/>
  <c r="D56" i="14"/>
  <c r="C56" i="14"/>
  <c r="B56" i="14"/>
  <c r="Z55" i="14"/>
  <c r="Y55" i="14"/>
  <c r="X55" i="14"/>
  <c r="F55" i="14"/>
  <c r="E55" i="14"/>
  <c r="D55" i="14"/>
  <c r="C55" i="14"/>
  <c r="B55" i="14"/>
  <c r="Z54" i="14"/>
  <c r="Y54" i="14"/>
  <c r="X54" i="14"/>
  <c r="G54" i="14"/>
  <c r="F54" i="14"/>
  <c r="E54" i="14"/>
  <c r="D54" i="14"/>
  <c r="C54" i="14"/>
  <c r="B54" i="14"/>
  <c r="Z53" i="14"/>
  <c r="Y53" i="14"/>
  <c r="X53" i="14"/>
  <c r="F53" i="14"/>
  <c r="E53" i="14"/>
  <c r="G53" i="14" s="1"/>
  <c r="D53" i="14"/>
  <c r="C53" i="14"/>
  <c r="B53" i="14"/>
  <c r="F52" i="14"/>
  <c r="E52" i="14"/>
  <c r="G52" i="14" s="1"/>
  <c r="D52" i="14"/>
  <c r="C52" i="14"/>
  <c r="B52" i="14"/>
  <c r="G51" i="14"/>
  <c r="F51" i="14"/>
  <c r="E51" i="14"/>
  <c r="D51" i="14"/>
  <c r="C51" i="14"/>
  <c r="B51" i="14"/>
  <c r="F50" i="14"/>
  <c r="E50" i="14"/>
  <c r="D50" i="14"/>
  <c r="C50" i="14"/>
  <c r="B50" i="14"/>
  <c r="F49" i="14"/>
  <c r="E49" i="14"/>
  <c r="G49" i="14" s="1"/>
  <c r="D49" i="14"/>
  <c r="C49" i="14"/>
  <c r="B49" i="14"/>
  <c r="F48" i="14"/>
  <c r="E48" i="14"/>
  <c r="D48" i="14"/>
  <c r="C48" i="14"/>
  <c r="B48" i="14"/>
  <c r="F47" i="14"/>
  <c r="E47" i="14"/>
  <c r="G47" i="14" s="1"/>
  <c r="D47" i="14"/>
  <c r="C47" i="14"/>
  <c r="B47" i="14"/>
  <c r="F46" i="14"/>
  <c r="E46" i="14"/>
  <c r="D46" i="14"/>
  <c r="C46" i="14"/>
  <c r="B46" i="14"/>
  <c r="G45" i="14"/>
  <c r="F45" i="14"/>
  <c r="E45" i="14"/>
  <c r="D45" i="14"/>
  <c r="C45" i="14"/>
  <c r="B45" i="14"/>
  <c r="W44" i="14"/>
  <c r="G44" i="14"/>
  <c r="F44" i="14"/>
  <c r="E44" i="14"/>
  <c r="D44" i="14"/>
  <c r="C44" i="14"/>
  <c r="B44" i="14"/>
  <c r="F43" i="14"/>
  <c r="E43" i="14"/>
  <c r="G43" i="14" s="1"/>
  <c r="D43" i="14"/>
  <c r="C43" i="14"/>
  <c r="B43" i="14"/>
  <c r="W42" i="14"/>
  <c r="F42" i="14"/>
  <c r="E42" i="14"/>
  <c r="G42" i="14" s="1"/>
  <c r="D42" i="14"/>
  <c r="C42" i="14"/>
  <c r="B42" i="14"/>
  <c r="F41" i="14"/>
  <c r="G41" i="14" s="1"/>
  <c r="G40" i="14"/>
  <c r="F40" i="14"/>
  <c r="F39" i="14"/>
  <c r="G39" i="14" s="1"/>
  <c r="AG38" i="14"/>
  <c r="I34" i="14"/>
  <c r="P33" i="14"/>
  <c r="O33" i="14"/>
  <c r="N33" i="14" s="1"/>
  <c r="I33" i="14"/>
  <c r="AB23" i="14" s="1"/>
  <c r="F33" i="14"/>
  <c r="P32" i="14"/>
  <c r="O32" i="14"/>
  <c r="N32" i="14" s="1"/>
  <c r="I32" i="14"/>
  <c r="D32" i="14"/>
  <c r="P31" i="14"/>
  <c r="O31" i="14"/>
  <c r="P30" i="14"/>
  <c r="O30" i="14"/>
  <c r="I30" i="14"/>
  <c r="AB24" i="14" s="1"/>
  <c r="AE29" i="14"/>
  <c r="P29" i="14"/>
  <c r="P28" i="14" s="1"/>
  <c r="O29" i="14"/>
  <c r="C29" i="14"/>
  <c r="I29" i="14" s="1"/>
  <c r="AG28" i="14"/>
  <c r="AF28" i="14"/>
  <c r="AB28" i="14"/>
  <c r="M28" i="14"/>
  <c r="AF27" i="14"/>
  <c r="AF26" i="14" s="1"/>
  <c r="P27" i="14"/>
  <c r="N27" i="14" s="1"/>
  <c r="O27" i="14"/>
  <c r="I27" i="14"/>
  <c r="AA26" i="14"/>
  <c r="AA87" i="14" s="1"/>
  <c r="Z26" i="14"/>
  <c r="Z87" i="14" s="1"/>
  <c r="Y26" i="14"/>
  <c r="Y87" i="14" s="1"/>
  <c r="P26" i="14"/>
  <c r="O26" i="14"/>
  <c r="AF25" i="14"/>
  <c r="AB25" i="14"/>
  <c r="W25" i="14"/>
  <c r="P25" i="14"/>
  <c r="O25" i="14"/>
  <c r="N25" i="14"/>
  <c r="AF24" i="14"/>
  <c r="P24" i="14"/>
  <c r="O24" i="14"/>
  <c r="N24" i="14"/>
  <c r="AF23" i="14"/>
  <c r="P23" i="14"/>
  <c r="P22" i="14" s="1"/>
  <c r="O23" i="14"/>
  <c r="O22" i="14" s="1"/>
  <c r="N23" i="14"/>
  <c r="AF22" i="14"/>
  <c r="M22" i="14"/>
  <c r="AF21" i="14"/>
  <c r="AB21" i="14"/>
  <c r="N21" i="14"/>
  <c r="R21" i="14" s="1"/>
  <c r="AF20" i="14"/>
  <c r="N20" i="14"/>
  <c r="R20" i="14" s="1"/>
  <c r="AF19" i="14"/>
  <c r="AF18" i="14"/>
  <c r="W18" i="14"/>
  <c r="AF17" i="14"/>
  <c r="AF16" i="14"/>
  <c r="N16" i="14"/>
  <c r="M16" i="14"/>
  <c r="R16" i="14" s="1"/>
  <c r="I16" i="14"/>
  <c r="I15" i="14"/>
  <c r="I14" i="14"/>
  <c r="AF13" i="14"/>
  <c r="P13" i="14"/>
  <c r="O13" i="14"/>
  <c r="N13" i="14" s="1"/>
  <c r="R13" i="14" s="1"/>
  <c r="I13" i="14"/>
  <c r="AF12" i="14"/>
  <c r="AB12" i="14"/>
  <c r="P12" i="14"/>
  <c r="O12" i="14"/>
  <c r="AF11" i="14"/>
  <c r="AB11" i="14"/>
  <c r="P11" i="14"/>
  <c r="O11" i="14"/>
  <c r="N11" i="14" s="1"/>
  <c r="P10" i="14"/>
  <c r="P9" i="14" s="1"/>
  <c r="P3" i="14" s="1"/>
  <c r="O10" i="14"/>
  <c r="O9" i="14" s="1"/>
  <c r="AF9" i="14"/>
  <c r="Q9" i="14"/>
  <c r="AF8" i="14"/>
  <c r="AH8" i="14" s="1"/>
  <c r="T8" i="14"/>
  <c r="N7" i="14"/>
  <c r="R7" i="14" s="1"/>
  <c r="I7" i="14"/>
  <c r="AB8" i="14" s="1"/>
  <c r="AF6" i="14"/>
  <c r="AF7" i="14" s="1"/>
  <c r="P5" i="14"/>
  <c r="O5" i="14"/>
  <c r="N5" i="14"/>
  <c r="M5" i="14"/>
  <c r="P4" i="14"/>
  <c r="O4" i="14"/>
  <c r="N4" i="14"/>
  <c r="I4" i="14"/>
  <c r="W40" i="14" s="1"/>
  <c r="V215" i="13"/>
  <c r="U215" i="13"/>
  <c r="S215" i="13"/>
  <c r="K215" i="13"/>
  <c r="T215" i="13" s="1"/>
  <c r="H214" i="13"/>
  <c r="I214" i="13" s="1"/>
  <c r="H213" i="13"/>
  <c r="I213" i="13" s="1"/>
  <c r="H212" i="13"/>
  <c r="I212" i="13" s="1"/>
  <c r="H211" i="13"/>
  <c r="P210" i="13"/>
  <c r="G210" i="13"/>
  <c r="G216" i="13" s="1"/>
  <c r="F210" i="13"/>
  <c r="E210" i="13"/>
  <c r="K209" i="13"/>
  <c r="T209" i="13" s="1"/>
  <c r="H207" i="13"/>
  <c r="I207" i="13" s="1"/>
  <c r="H206" i="13"/>
  <c r="I206" i="13" s="1"/>
  <c r="H205" i="13"/>
  <c r="I205" i="13" s="1"/>
  <c r="H204" i="13"/>
  <c r="I204" i="13" s="1"/>
  <c r="H203" i="13"/>
  <c r="I203" i="13" s="1"/>
  <c r="H202" i="13"/>
  <c r="F201" i="13"/>
  <c r="E201" i="13"/>
  <c r="H200" i="13"/>
  <c r="I200" i="13" s="1"/>
  <c r="I199" i="13"/>
  <c r="H199" i="13"/>
  <c r="F199" i="13"/>
  <c r="E199" i="13"/>
  <c r="H198" i="13"/>
  <c r="I198" i="13" s="1"/>
  <c r="H197" i="13"/>
  <c r="I197" i="13" s="1"/>
  <c r="B197" i="13"/>
  <c r="H196" i="13"/>
  <c r="I196" i="13" s="1"/>
  <c r="F196" i="13"/>
  <c r="E196" i="13"/>
  <c r="H195" i="13"/>
  <c r="I195" i="13" s="1"/>
  <c r="F195" i="13"/>
  <c r="E195" i="13"/>
  <c r="I194" i="13"/>
  <c r="H194" i="13"/>
  <c r="H193" i="13"/>
  <c r="I193" i="13" s="1"/>
  <c r="F193" i="13"/>
  <c r="E193" i="13"/>
  <c r="H192" i="13"/>
  <c r="I192" i="13" s="1"/>
  <c r="F192" i="13"/>
  <c r="E192" i="13"/>
  <c r="H191" i="13"/>
  <c r="I191" i="13" s="1"/>
  <c r="H189" i="13"/>
  <c r="I189" i="13" s="1"/>
  <c r="F189" i="13"/>
  <c r="E189" i="13"/>
  <c r="H188" i="13"/>
  <c r="I188" i="13" s="1"/>
  <c r="H187" i="13"/>
  <c r="I187" i="13" s="1"/>
  <c r="X186" i="13"/>
  <c r="X187" i="13" s="1"/>
  <c r="X188" i="13" s="1"/>
  <c r="H186" i="13"/>
  <c r="I186" i="13" s="1"/>
  <c r="F186" i="13"/>
  <c r="E186" i="13"/>
  <c r="H185" i="13"/>
  <c r="I185" i="13" s="1"/>
  <c r="F185" i="13"/>
  <c r="E185" i="13"/>
  <c r="H184" i="13"/>
  <c r="I184" i="13" s="1"/>
  <c r="F184" i="13"/>
  <c r="E184" i="13"/>
  <c r="E216" i="13" s="1"/>
  <c r="E220" i="13" s="1"/>
  <c r="S182" i="13"/>
  <c r="O181" i="13"/>
  <c r="N181" i="13"/>
  <c r="E172" i="13"/>
  <c r="D172" i="13"/>
  <c r="F172" i="13" s="1"/>
  <c r="C172" i="13"/>
  <c r="B172" i="13"/>
  <c r="F171" i="13"/>
  <c r="E171" i="13"/>
  <c r="D171" i="13"/>
  <c r="C171" i="13"/>
  <c r="B171" i="13"/>
  <c r="E170" i="13"/>
  <c r="D170" i="13"/>
  <c r="C170" i="13"/>
  <c r="B170" i="13"/>
  <c r="E169" i="13"/>
  <c r="D169" i="13"/>
  <c r="F169" i="13" s="1"/>
  <c r="C169" i="13"/>
  <c r="B169" i="13"/>
  <c r="E168" i="13"/>
  <c r="D168" i="13"/>
  <c r="C168" i="13"/>
  <c r="B168" i="13"/>
  <c r="E167" i="13"/>
  <c r="D167" i="13"/>
  <c r="F167" i="13" s="1"/>
  <c r="C167" i="13"/>
  <c r="B167" i="13"/>
  <c r="E166" i="13"/>
  <c r="D166" i="13"/>
  <c r="F166" i="13" s="1"/>
  <c r="C166" i="13"/>
  <c r="B166" i="13"/>
  <c r="E165" i="13"/>
  <c r="D165" i="13"/>
  <c r="F165" i="13" s="1"/>
  <c r="C165" i="13"/>
  <c r="B165" i="13"/>
  <c r="E164" i="13"/>
  <c r="D164" i="13"/>
  <c r="C164" i="13"/>
  <c r="B164" i="13"/>
  <c r="E163" i="13"/>
  <c r="D163" i="13"/>
  <c r="F163" i="13" s="1"/>
  <c r="C163" i="13"/>
  <c r="B163" i="13"/>
  <c r="E162" i="13"/>
  <c r="D162" i="13"/>
  <c r="F162" i="13" s="1"/>
  <c r="C162" i="13"/>
  <c r="B162" i="13"/>
  <c r="E161" i="13"/>
  <c r="D161" i="13"/>
  <c r="C161" i="13"/>
  <c r="B161" i="13"/>
  <c r="E160" i="13"/>
  <c r="D160" i="13"/>
  <c r="C160" i="13"/>
  <c r="B160" i="13"/>
  <c r="E159" i="13"/>
  <c r="D159" i="13"/>
  <c r="F159" i="13" s="1"/>
  <c r="C159" i="13"/>
  <c r="B159" i="13"/>
  <c r="E156" i="13"/>
  <c r="C156" i="13"/>
  <c r="B156" i="13"/>
  <c r="E155" i="13"/>
  <c r="D155" i="13"/>
  <c r="C155" i="13"/>
  <c r="B155" i="13"/>
  <c r="E154" i="13"/>
  <c r="D154" i="13"/>
  <c r="F154" i="13" s="1"/>
  <c r="C154" i="13"/>
  <c r="B154" i="13"/>
  <c r="E153" i="13"/>
  <c r="D153" i="13"/>
  <c r="C153" i="13"/>
  <c r="B153" i="13"/>
  <c r="E152" i="13"/>
  <c r="D152" i="13"/>
  <c r="F152" i="13" s="1"/>
  <c r="C152" i="13"/>
  <c r="B152" i="13"/>
  <c r="B151" i="13"/>
  <c r="E148" i="13"/>
  <c r="D148" i="13"/>
  <c r="C148" i="13"/>
  <c r="B148" i="13"/>
  <c r="E147" i="13"/>
  <c r="D147" i="13"/>
  <c r="F147" i="13" s="1"/>
  <c r="C147" i="13"/>
  <c r="B147" i="13"/>
  <c r="F146" i="13"/>
  <c r="E146" i="13"/>
  <c r="D146" i="13"/>
  <c r="C146" i="13"/>
  <c r="B146" i="13"/>
  <c r="G143" i="13"/>
  <c r="E142" i="13"/>
  <c r="D142" i="13"/>
  <c r="F142" i="13" s="1"/>
  <c r="C142" i="13"/>
  <c r="B142" i="13"/>
  <c r="E141" i="13"/>
  <c r="D141" i="13"/>
  <c r="F141" i="13" s="1"/>
  <c r="C141" i="13"/>
  <c r="B141" i="13"/>
  <c r="E140" i="13"/>
  <c r="D140" i="13"/>
  <c r="C140" i="13"/>
  <c r="B140" i="13"/>
  <c r="E139" i="13"/>
  <c r="D139" i="13"/>
  <c r="F139" i="13" s="1"/>
  <c r="C139" i="13"/>
  <c r="B139" i="13"/>
  <c r="F138" i="13"/>
  <c r="E138" i="13"/>
  <c r="D138" i="13"/>
  <c r="C138" i="13"/>
  <c r="B138" i="13"/>
  <c r="E137" i="13"/>
  <c r="D137" i="13"/>
  <c r="F137" i="13" s="1"/>
  <c r="C137" i="13"/>
  <c r="B137" i="13"/>
  <c r="E136" i="13"/>
  <c r="D136" i="13"/>
  <c r="F136" i="13" s="1"/>
  <c r="C136" i="13"/>
  <c r="B136" i="13"/>
  <c r="E135" i="13"/>
  <c r="D135" i="13"/>
  <c r="C135" i="13"/>
  <c r="B135" i="13"/>
  <c r="E134" i="13"/>
  <c r="D134" i="13"/>
  <c r="F134" i="13" s="1"/>
  <c r="C134" i="13"/>
  <c r="B134" i="13"/>
  <c r="F133" i="13"/>
  <c r="E133" i="13"/>
  <c r="D133" i="13"/>
  <c r="C133" i="13"/>
  <c r="B133" i="13"/>
  <c r="E132" i="13"/>
  <c r="D132" i="13"/>
  <c r="F132" i="13" s="1"/>
  <c r="C132" i="13"/>
  <c r="B132" i="13"/>
  <c r="E131" i="13"/>
  <c r="D131" i="13"/>
  <c r="F131" i="13" s="1"/>
  <c r="C131" i="13"/>
  <c r="B131" i="13"/>
  <c r="E130" i="13"/>
  <c r="D130" i="13"/>
  <c r="F130" i="13" s="1"/>
  <c r="C130" i="13"/>
  <c r="B130" i="13"/>
  <c r="F129" i="13"/>
  <c r="E129" i="13"/>
  <c r="D129" i="13"/>
  <c r="C129" i="13"/>
  <c r="B129" i="13"/>
  <c r="E128" i="13"/>
  <c r="D128" i="13"/>
  <c r="C128" i="13"/>
  <c r="B128" i="13"/>
  <c r="E127" i="13"/>
  <c r="D127" i="13"/>
  <c r="C127" i="13"/>
  <c r="B127" i="13"/>
  <c r="F126" i="13"/>
  <c r="E126" i="13"/>
  <c r="D126" i="13"/>
  <c r="C126" i="13"/>
  <c r="B126" i="13"/>
  <c r="E125" i="13"/>
  <c r="D125" i="13"/>
  <c r="F125" i="13" s="1"/>
  <c r="C125" i="13"/>
  <c r="B125" i="13"/>
  <c r="E124" i="13"/>
  <c r="D124" i="13"/>
  <c r="F124" i="13" s="1"/>
  <c r="C124" i="13"/>
  <c r="B124" i="13"/>
  <c r="E123" i="13"/>
  <c r="D123" i="13"/>
  <c r="F123" i="13" s="1"/>
  <c r="C123" i="13"/>
  <c r="B123" i="13"/>
  <c r="E122" i="13"/>
  <c r="F122" i="13" s="1"/>
  <c r="D122" i="13"/>
  <c r="C122" i="13"/>
  <c r="B122" i="13"/>
  <c r="E121" i="13"/>
  <c r="D121" i="13"/>
  <c r="F121" i="13" s="1"/>
  <c r="C121" i="13"/>
  <c r="B121" i="13"/>
  <c r="E120" i="13"/>
  <c r="D120" i="13"/>
  <c r="F120" i="13" s="1"/>
  <c r="C120" i="13"/>
  <c r="B120" i="13"/>
  <c r="E119" i="13"/>
  <c r="D119" i="13"/>
  <c r="C119" i="13"/>
  <c r="B119" i="13"/>
  <c r="E118" i="13"/>
  <c r="D118" i="13"/>
  <c r="F118" i="13" s="1"/>
  <c r="C118" i="13"/>
  <c r="B118" i="13"/>
  <c r="F117" i="13"/>
  <c r="E117" i="13"/>
  <c r="D117" i="13"/>
  <c r="C117" i="13"/>
  <c r="B117" i="13"/>
  <c r="E116" i="13"/>
  <c r="D116" i="13"/>
  <c r="F116" i="13" s="1"/>
  <c r="C116" i="13"/>
  <c r="B116" i="13"/>
  <c r="E115" i="13"/>
  <c r="D115" i="13"/>
  <c r="F115" i="13" s="1"/>
  <c r="C115" i="13"/>
  <c r="B115" i="13"/>
  <c r="E114" i="13"/>
  <c r="D114" i="13"/>
  <c r="F114" i="13" s="1"/>
  <c r="C114" i="13"/>
  <c r="B114" i="13"/>
  <c r="F113" i="13"/>
  <c r="E113" i="13"/>
  <c r="D113" i="13"/>
  <c r="C113" i="13"/>
  <c r="B113" i="13"/>
  <c r="E112" i="13"/>
  <c r="D112" i="13"/>
  <c r="F112" i="13" s="1"/>
  <c r="C112" i="13"/>
  <c r="B112" i="13"/>
  <c r="E111" i="13"/>
  <c r="D111" i="13"/>
  <c r="C111" i="13"/>
  <c r="B111" i="13"/>
  <c r="E110" i="13"/>
  <c r="F110" i="13" s="1"/>
  <c r="D110" i="13"/>
  <c r="C110" i="13"/>
  <c r="B110" i="13"/>
  <c r="E109" i="13"/>
  <c r="D109" i="13"/>
  <c r="F109" i="13" s="1"/>
  <c r="C109" i="13"/>
  <c r="B109" i="13"/>
  <c r="E108" i="13"/>
  <c r="D108" i="13"/>
  <c r="F108" i="13" s="1"/>
  <c r="C108" i="13"/>
  <c r="B108" i="13"/>
  <c r="E107" i="13"/>
  <c r="D107" i="13"/>
  <c r="F107" i="13" s="1"/>
  <c r="C107" i="13"/>
  <c r="B107" i="13"/>
  <c r="E106" i="13"/>
  <c r="F106" i="13" s="1"/>
  <c r="D106" i="13"/>
  <c r="C106" i="13"/>
  <c r="B106" i="13"/>
  <c r="E105" i="13"/>
  <c r="D105" i="13"/>
  <c r="F105" i="13" s="1"/>
  <c r="C105" i="13"/>
  <c r="B105" i="13"/>
  <c r="E104" i="13"/>
  <c r="D104" i="13"/>
  <c r="F104" i="13" s="1"/>
  <c r="C104" i="13"/>
  <c r="B104" i="13"/>
  <c r="E103" i="13"/>
  <c r="D103" i="13"/>
  <c r="C103" i="13"/>
  <c r="B103" i="13"/>
  <c r="E102" i="13"/>
  <c r="D102" i="13"/>
  <c r="F102" i="13" s="1"/>
  <c r="C102" i="13"/>
  <c r="B102" i="13"/>
  <c r="E101" i="13"/>
  <c r="D101" i="13"/>
  <c r="F101" i="13" s="1"/>
  <c r="C101" i="13"/>
  <c r="B101" i="13"/>
  <c r="E100" i="13"/>
  <c r="D100" i="13"/>
  <c r="F100" i="13" s="1"/>
  <c r="C100" i="13"/>
  <c r="B100" i="13"/>
  <c r="E99" i="13"/>
  <c r="D99" i="13"/>
  <c r="F99" i="13" s="1"/>
  <c r="C99" i="13"/>
  <c r="B99" i="13"/>
  <c r="E98" i="13"/>
  <c r="D98" i="13"/>
  <c r="F98" i="13" s="1"/>
  <c r="C98" i="13"/>
  <c r="B98" i="13"/>
  <c r="F97" i="13"/>
  <c r="E97" i="13"/>
  <c r="D97" i="13"/>
  <c r="C97" i="13"/>
  <c r="B97" i="13"/>
  <c r="E96" i="13"/>
  <c r="D96" i="13"/>
  <c r="F96" i="13" s="1"/>
  <c r="C96" i="13"/>
  <c r="B96" i="13"/>
  <c r="E95" i="13"/>
  <c r="D95" i="13"/>
  <c r="C95" i="13"/>
  <c r="B95" i="13"/>
  <c r="E94" i="13"/>
  <c r="F94" i="13" s="1"/>
  <c r="D94" i="13"/>
  <c r="C94" i="13"/>
  <c r="B94" i="13"/>
  <c r="E93" i="13"/>
  <c r="D93" i="13"/>
  <c r="F93" i="13" s="1"/>
  <c r="C93" i="13"/>
  <c r="B93" i="13"/>
  <c r="E92" i="13"/>
  <c r="D92" i="13"/>
  <c r="F92" i="13" s="1"/>
  <c r="C92" i="13"/>
  <c r="B92" i="13"/>
  <c r="E91" i="13"/>
  <c r="D91" i="13"/>
  <c r="F91" i="13" s="1"/>
  <c r="C91" i="13"/>
  <c r="B91" i="13"/>
  <c r="E90" i="13"/>
  <c r="F90" i="13" s="1"/>
  <c r="D90" i="13"/>
  <c r="C90" i="13"/>
  <c r="B90" i="13"/>
  <c r="E89" i="13"/>
  <c r="D89" i="13"/>
  <c r="F89" i="13" s="1"/>
  <c r="C89" i="13"/>
  <c r="B89" i="13"/>
  <c r="E88" i="13"/>
  <c r="D88" i="13"/>
  <c r="F88" i="13" s="1"/>
  <c r="C88" i="13"/>
  <c r="B88" i="13"/>
  <c r="E87" i="13"/>
  <c r="D87" i="13"/>
  <c r="C87" i="13"/>
  <c r="B87" i="13"/>
  <c r="E86" i="13"/>
  <c r="D86" i="13"/>
  <c r="F86" i="13" s="1"/>
  <c r="C86" i="13"/>
  <c r="B86" i="13"/>
  <c r="E85" i="13"/>
  <c r="D85" i="13"/>
  <c r="F85" i="13" s="1"/>
  <c r="C85" i="13"/>
  <c r="B85" i="13"/>
  <c r="E84" i="13"/>
  <c r="D84" i="13"/>
  <c r="F84" i="13" s="1"/>
  <c r="C84" i="13"/>
  <c r="B84" i="13"/>
  <c r="E83" i="13"/>
  <c r="D83" i="13"/>
  <c r="F83" i="13" s="1"/>
  <c r="C83" i="13"/>
  <c r="B83" i="13"/>
  <c r="E82" i="13"/>
  <c r="D82" i="13"/>
  <c r="F82" i="13" s="1"/>
  <c r="C82" i="13"/>
  <c r="B82" i="13"/>
  <c r="F81" i="13"/>
  <c r="E81" i="13"/>
  <c r="D81" i="13"/>
  <c r="C81" i="13"/>
  <c r="B81" i="13"/>
  <c r="E80" i="13"/>
  <c r="D80" i="13"/>
  <c r="F80" i="13" s="1"/>
  <c r="C80" i="13"/>
  <c r="B80" i="13"/>
  <c r="E79" i="13"/>
  <c r="D79" i="13"/>
  <c r="C79" i="13"/>
  <c r="B79" i="13"/>
  <c r="E78" i="13"/>
  <c r="D78" i="13"/>
  <c r="F78" i="13" s="1"/>
  <c r="C78" i="13"/>
  <c r="B78" i="13"/>
  <c r="E77" i="13"/>
  <c r="D77" i="13"/>
  <c r="F77" i="13" s="1"/>
  <c r="C77" i="13"/>
  <c r="B77" i="13"/>
  <c r="E76" i="13"/>
  <c r="D76" i="13"/>
  <c r="F76" i="13" s="1"/>
  <c r="C76" i="13"/>
  <c r="B76" i="13"/>
  <c r="K49" i="13"/>
  <c r="L49" i="13" s="1"/>
  <c r="P49" i="13" s="1"/>
  <c r="K45" i="13"/>
  <c r="L45" i="13" s="1"/>
  <c r="M44" i="13"/>
  <c r="M42" i="13"/>
  <c r="G40" i="13"/>
  <c r="E40" i="13"/>
  <c r="I39" i="13"/>
  <c r="K39" i="13" s="1"/>
  <c r="I38" i="13"/>
  <c r="G36" i="13"/>
  <c r="T35" i="13"/>
  <c r="S35" i="13"/>
  <c r="R35" i="13"/>
  <c r="G35" i="13"/>
  <c r="T34" i="13"/>
  <c r="E36" i="13" s="1"/>
  <c r="S34" i="13"/>
  <c r="E37" i="13" s="1"/>
  <c r="K37" i="13" s="1"/>
  <c r="R34" i="13"/>
  <c r="E38" i="13" s="1"/>
  <c r="M34" i="13"/>
  <c r="T33" i="13"/>
  <c r="S33" i="13"/>
  <c r="R33" i="13"/>
  <c r="P33" i="13"/>
  <c r="M32" i="13"/>
  <c r="E31" i="13"/>
  <c r="C31" i="13"/>
  <c r="E30" i="13"/>
  <c r="G30" i="13" s="1"/>
  <c r="C30" i="13"/>
  <c r="E29" i="13"/>
  <c r="G29" i="13" s="1"/>
  <c r="C29" i="13"/>
  <c r="E28" i="13"/>
  <c r="C28" i="13"/>
  <c r="G28" i="13" s="1"/>
  <c r="R27" i="13"/>
  <c r="E27" i="13"/>
  <c r="C27" i="13"/>
  <c r="G27" i="13" s="1"/>
  <c r="M25" i="13"/>
  <c r="N24" i="13"/>
  <c r="M22" i="13"/>
  <c r="L22" i="13"/>
  <c r="K22" i="13"/>
  <c r="J200" i="13" s="1"/>
  <c r="M21" i="13"/>
  <c r="K21" i="13"/>
  <c r="J199" i="13" s="1"/>
  <c r="L20" i="13"/>
  <c r="K20" i="13"/>
  <c r="J198" i="13" s="1"/>
  <c r="M19" i="13"/>
  <c r="K19" i="13"/>
  <c r="J194" i="13" s="1"/>
  <c r="P18" i="13"/>
  <c r="M17" i="13"/>
  <c r="K17" i="13"/>
  <c r="L17" i="13" s="1"/>
  <c r="M16" i="13"/>
  <c r="G16" i="13"/>
  <c r="K16" i="13" s="1"/>
  <c r="L16" i="13" s="1"/>
  <c r="M15" i="13"/>
  <c r="L15" i="13"/>
  <c r="P15" i="13" s="1"/>
  <c r="K15" i="13"/>
  <c r="M14" i="13"/>
  <c r="G14" i="13"/>
  <c r="K14" i="13" s="1"/>
  <c r="M13" i="13"/>
  <c r="G13" i="13"/>
  <c r="K13" i="13" s="1"/>
  <c r="L12" i="13"/>
  <c r="K12" i="13"/>
  <c r="J188" i="13" s="1"/>
  <c r="G11" i="13"/>
  <c r="K11" i="13" s="1"/>
  <c r="AC10" i="13"/>
  <c r="G10" i="13"/>
  <c r="K10" i="13" s="1"/>
  <c r="M10" i="13" s="1"/>
  <c r="P10" i="13" s="1"/>
  <c r="P9" i="13"/>
  <c r="P8" i="13"/>
  <c r="G8" i="13"/>
  <c r="G7" i="13"/>
  <c r="K7" i="13" s="1"/>
  <c r="N6" i="13"/>
  <c r="K5" i="13"/>
  <c r="J187" i="13" s="1"/>
  <c r="K3" i="13"/>
  <c r="J184" i="13" s="1"/>
  <c r="K241" i="12"/>
  <c r="J241" i="12"/>
  <c r="I241" i="12"/>
  <c r="F240" i="12"/>
  <c r="E240" i="12"/>
  <c r="D240" i="12"/>
  <c r="Q238" i="12"/>
  <c r="P238" i="12"/>
  <c r="N238" i="12"/>
  <c r="M238" i="12"/>
  <c r="G237" i="12"/>
  <c r="H237" i="12" s="1"/>
  <c r="H236" i="12" s="1"/>
  <c r="E237" i="12"/>
  <c r="E236" i="12" s="1"/>
  <c r="D237" i="12"/>
  <c r="D236" i="12" s="1"/>
  <c r="L236" i="12"/>
  <c r="G236" i="12"/>
  <c r="F236" i="12"/>
  <c r="B235" i="12"/>
  <c r="B234" i="12"/>
  <c r="H232" i="12"/>
  <c r="G232" i="12"/>
  <c r="E232" i="12"/>
  <c r="D232" i="12"/>
  <c r="G231" i="12"/>
  <c r="H231" i="12" s="1"/>
  <c r="G230" i="12"/>
  <c r="H230" i="12" s="1"/>
  <c r="G229" i="12"/>
  <c r="H229" i="12" s="1"/>
  <c r="E229" i="12"/>
  <c r="D229" i="12"/>
  <c r="E227" i="12"/>
  <c r="D227" i="12"/>
  <c r="F227" i="12" s="1"/>
  <c r="G226" i="12"/>
  <c r="H226" i="12" s="1"/>
  <c r="E226" i="12"/>
  <c r="D226" i="12"/>
  <c r="G225" i="12"/>
  <c r="H225" i="12" s="1"/>
  <c r="E225" i="12"/>
  <c r="D225" i="12"/>
  <c r="G224" i="12"/>
  <c r="H224" i="12" s="1"/>
  <c r="E224" i="12"/>
  <c r="D224" i="12"/>
  <c r="G223" i="12"/>
  <c r="H223" i="12" s="1"/>
  <c r="E223" i="12"/>
  <c r="D223" i="12"/>
  <c r="G222" i="12"/>
  <c r="H222" i="12" s="1"/>
  <c r="E222" i="12"/>
  <c r="D222" i="12"/>
  <c r="G221" i="12"/>
  <c r="H221" i="12" s="1"/>
  <c r="G220" i="12"/>
  <c r="H220" i="12" s="1"/>
  <c r="G219" i="12"/>
  <c r="H219" i="12" s="1"/>
  <c r="G218" i="12"/>
  <c r="H218" i="12" s="1"/>
  <c r="G217" i="12"/>
  <c r="H217" i="12" s="1"/>
  <c r="G216" i="12"/>
  <c r="H216" i="12" s="1"/>
  <c r="F215" i="12"/>
  <c r="E215" i="12"/>
  <c r="D215" i="12"/>
  <c r="G214" i="12"/>
  <c r="H214" i="12" s="1"/>
  <c r="G213" i="12"/>
  <c r="H213" i="12" s="1"/>
  <c r="G212" i="12"/>
  <c r="H212" i="12" s="1"/>
  <c r="E212" i="12"/>
  <c r="D212" i="12"/>
  <c r="G211" i="12"/>
  <c r="H211" i="12" s="1"/>
  <c r="E211" i="12"/>
  <c r="D211" i="12"/>
  <c r="G204" i="12"/>
  <c r="D204" i="12"/>
  <c r="F202" i="12"/>
  <c r="F201" i="12"/>
  <c r="F200" i="12"/>
  <c r="F199" i="12"/>
  <c r="G196" i="12"/>
  <c r="D196" i="12"/>
  <c r="F194" i="12"/>
  <c r="F193" i="12"/>
  <c r="F192" i="12"/>
  <c r="F196" i="12" s="1"/>
  <c r="I23" i="12" s="1"/>
  <c r="F191" i="12"/>
  <c r="E191" i="12"/>
  <c r="G188" i="12"/>
  <c r="E187" i="12"/>
  <c r="D187" i="12"/>
  <c r="F187" i="12" s="1"/>
  <c r="C187" i="12"/>
  <c r="B187" i="12"/>
  <c r="E186" i="12"/>
  <c r="D186" i="12"/>
  <c r="C186" i="12"/>
  <c r="B186" i="12"/>
  <c r="E185" i="12"/>
  <c r="D185" i="12"/>
  <c r="F185" i="12" s="1"/>
  <c r="C185" i="12"/>
  <c r="B185" i="12"/>
  <c r="F184" i="12"/>
  <c r="E184" i="12"/>
  <c r="D184" i="12"/>
  <c r="C184" i="12"/>
  <c r="B184" i="12"/>
  <c r="E183" i="12"/>
  <c r="F183" i="12" s="1"/>
  <c r="D183" i="12"/>
  <c r="C183" i="12"/>
  <c r="B183" i="12"/>
  <c r="E182" i="12"/>
  <c r="D182" i="12"/>
  <c r="F182" i="12" s="1"/>
  <c r="C182" i="12"/>
  <c r="B182" i="12"/>
  <c r="E181" i="12"/>
  <c r="D181" i="12"/>
  <c r="C181" i="12"/>
  <c r="B181" i="12"/>
  <c r="E180" i="12"/>
  <c r="D180" i="12"/>
  <c r="F180" i="12" s="1"/>
  <c r="C180" i="12"/>
  <c r="B180" i="12"/>
  <c r="E179" i="12"/>
  <c r="D179" i="12"/>
  <c r="F179" i="12" s="1"/>
  <c r="C179" i="12"/>
  <c r="B179" i="12"/>
  <c r="E178" i="12"/>
  <c r="D178" i="12"/>
  <c r="F178" i="12" s="1"/>
  <c r="C178" i="12"/>
  <c r="B178" i="12"/>
  <c r="E177" i="12"/>
  <c r="D177" i="12"/>
  <c r="C177" i="12"/>
  <c r="B177" i="12"/>
  <c r="E176" i="12"/>
  <c r="D176" i="12"/>
  <c r="F176" i="12" s="1"/>
  <c r="C176" i="12"/>
  <c r="B176" i="12"/>
  <c r="E175" i="12"/>
  <c r="D175" i="12"/>
  <c r="F175" i="12" s="1"/>
  <c r="C175" i="12"/>
  <c r="B175" i="12"/>
  <c r="E174" i="12"/>
  <c r="D174" i="12"/>
  <c r="C174" i="12"/>
  <c r="B174" i="12"/>
  <c r="E173" i="12"/>
  <c r="D173" i="12"/>
  <c r="C173" i="12"/>
  <c r="B173" i="12"/>
  <c r="E172" i="12"/>
  <c r="D172" i="12"/>
  <c r="F172" i="12" s="1"/>
  <c r="C172" i="12"/>
  <c r="B172" i="12"/>
  <c r="E171" i="12"/>
  <c r="D171" i="12"/>
  <c r="F171" i="12" s="1"/>
  <c r="C171" i="12"/>
  <c r="B171" i="12"/>
  <c r="E170" i="12"/>
  <c r="D170" i="12"/>
  <c r="C170" i="12"/>
  <c r="B170" i="12"/>
  <c r="E169" i="12"/>
  <c r="D169" i="12"/>
  <c r="C169" i="12"/>
  <c r="B169" i="12"/>
  <c r="F168" i="12"/>
  <c r="E168" i="12"/>
  <c r="D168" i="12"/>
  <c r="C168" i="12"/>
  <c r="B168" i="12"/>
  <c r="F167" i="12"/>
  <c r="E167" i="12"/>
  <c r="D167" i="12"/>
  <c r="C167" i="12"/>
  <c r="B167" i="12"/>
  <c r="E166" i="12"/>
  <c r="D166" i="12"/>
  <c r="F166" i="12" s="1"/>
  <c r="C166" i="12"/>
  <c r="B166" i="12"/>
  <c r="G163" i="12"/>
  <c r="E161" i="12"/>
  <c r="F161" i="12" s="1"/>
  <c r="D161" i="12"/>
  <c r="C161" i="12"/>
  <c r="B161" i="12"/>
  <c r="E160" i="12"/>
  <c r="D160" i="12"/>
  <c r="F160" i="12" s="1"/>
  <c r="C160" i="12"/>
  <c r="B160" i="12"/>
  <c r="E159" i="12"/>
  <c r="D159" i="12"/>
  <c r="C159" i="12"/>
  <c r="B159" i="12"/>
  <c r="E158" i="12"/>
  <c r="D158" i="12"/>
  <c r="F158" i="12" s="1"/>
  <c r="C158" i="12"/>
  <c r="B158" i="12"/>
  <c r="E157" i="12"/>
  <c r="D157" i="12"/>
  <c r="F157" i="12" s="1"/>
  <c r="C157" i="12"/>
  <c r="B157" i="12"/>
  <c r="E156" i="12"/>
  <c r="D156" i="12"/>
  <c r="F156" i="12" s="1"/>
  <c r="C156" i="12"/>
  <c r="B156" i="12"/>
  <c r="E155" i="12"/>
  <c r="D155" i="12"/>
  <c r="F155" i="12" s="1"/>
  <c r="C155" i="12"/>
  <c r="B155" i="12"/>
  <c r="E154" i="12"/>
  <c r="D154" i="12"/>
  <c r="F154" i="12" s="1"/>
  <c r="C154" i="12"/>
  <c r="B154" i="12"/>
  <c r="F153" i="12"/>
  <c r="E153" i="12"/>
  <c r="D153" i="12"/>
  <c r="C153" i="12"/>
  <c r="B153" i="12"/>
  <c r="E152" i="12"/>
  <c r="D152" i="12"/>
  <c r="C152" i="12"/>
  <c r="B152" i="12"/>
  <c r="E151" i="12"/>
  <c r="D151" i="12"/>
  <c r="F151" i="12" s="1"/>
  <c r="C151" i="12"/>
  <c r="B151" i="12"/>
  <c r="F150" i="12"/>
  <c r="E150" i="12"/>
  <c r="D150" i="12"/>
  <c r="C150" i="12"/>
  <c r="B150" i="12"/>
  <c r="F149" i="12"/>
  <c r="E149" i="12"/>
  <c r="D149" i="12"/>
  <c r="C149" i="12"/>
  <c r="B149" i="12"/>
  <c r="G146" i="12"/>
  <c r="F145" i="12"/>
  <c r="E145" i="12"/>
  <c r="D145" i="12"/>
  <c r="C145" i="12"/>
  <c r="B145" i="12"/>
  <c r="F144" i="12"/>
  <c r="E144" i="12"/>
  <c r="D144" i="12"/>
  <c r="C144" i="12"/>
  <c r="B144" i="12"/>
  <c r="E143" i="12"/>
  <c r="D143" i="12"/>
  <c r="C143" i="12"/>
  <c r="B143" i="12"/>
  <c r="E142" i="12"/>
  <c r="D142" i="12"/>
  <c r="C142" i="12"/>
  <c r="B142" i="12"/>
  <c r="E141" i="12"/>
  <c r="D141" i="12"/>
  <c r="F141" i="12" s="1"/>
  <c r="C141" i="12"/>
  <c r="B141" i="12"/>
  <c r="E140" i="12"/>
  <c r="D140" i="12"/>
  <c r="F140" i="12" s="1"/>
  <c r="C140" i="12"/>
  <c r="B140" i="12"/>
  <c r="E139" i="12"/>
  <c r="D139" i="12"/>
  <c r="F139" i="12" s="1"/>
  <c r="C139" i="12"/>
  <c r="B139" i="12"/>
  <c r="E138" i="12"/>
  <c r="D138" i="12"/>
  <c r="C138" i="12"/>
  <c r="B138" i="12"/>
  <c r="E137" i="12"/>
  <c r="D137" i="12"/>
  <c r="F137" i="12" s="1"/>
  <c r="C137" i="12"/>
  <c r="B137" i="12"/>
  <c r="E136" i="12"/>
  <c r="D136" i="12"/>
  <c r="F136" i="12" s="1"/>
  <c r="C136" i="12"/>
  <c r="B136" i="12"/>
  <c r="E135" i="12"/>
  <c r="D135" i="12"/>
  <c r="C135" i="12"/>
  <c r="B135" i="12"/>
  <c r="E134" i="12"/>
  <c r="D134" i="12"/>
  <c r="C134" i="12"/>
  <c r="B134" i="12"/>
  <c r="E133" i="12"/>
  <c r="D133" i="12"/>
  <c r="F133" i="12" s="1"/>
  <c r="C133" i="12"/>
  <c r="B133" i="12"/>
  <c r="E132" i="12"/>
  <c r="D132" i="12"/>
  <c r="F132" i="12" s="1"/>
  <c r="C132" i="12"/>
  <c r="B132" i="12"/>
  <c r="E131" i="12"/>
  <c r="D131" i="12"/>
  <c r="F131" i="12" s="1"/>
  <c r="C131" i="12"/>
  <c r="B131" i="12"/>
  <c r="E130" i="12"/>
  <c r="D130" i="12"/>
  <c r="C130" i="12"/>
  <c r="B130" i="12"/>
  <c r="E129" i="12"/>
  <c r="D129" i="12"/>
  <c r="F129" i="12" s="1"/>
  <c r="C129" i="12"/>
  <c r="B129" i="12"/>
  <c r="F128" i="12"/>
  <c r="E128" i="12"/>
  <c r="D128" i="12"/>
  <c r="C128" i="12"/>
  <c r="B128" i="12"/>
  <c r="E127" i="12"/>
  <c r="D127" i="12"/>
  <c r="C127" i="12"/>
  <c r="B127" i="12"/>
  <c r="E126" i="12"/>
  <c r="D126" i="12"/>
  <c r="C126" i="12"/>
  <c r="B126" i="12"/>
  <c r="E125" i="12"/>
  <c r="D125" i="12"/>
  <c r="F125" i="12" s="1"/>
  <c r="C125" i="12"/>
  <c r="B125" i="12"/>
  <c r="E124" i="12"/>
  <c r="D124" i="12"/>
  <c r="F124" i="12" s="1"/>
  <c r="C124" i="12"/>
  <c r="B124" i="12"/>
  <c r="E123" i="12"/>
  <c r="D123" i="12"/>
  <c r="F123" i="12" s="1"/>
  <c r="C123" i="12"/>
  <c r="B123" i="12"/>
  <c r="E122" i="12"/>
  <c r="D122" i="12"/>
  <c r="C122" i="12"/>
  <c r="B122" i="12"/>
  <c r="E121" i="12"/>
  <c r="F121" i="12" s="1"/>
  <c r="D121" i="12"/>
  <c r="C121" i="12"/>
  <c r="B121" i="12"/>
  <c r="E120" i="12"/>
  <c r="D120" i="12"/>
  <c r="F120" i="12" s="1"/>
  <c r="C120" i="12"/>
  <c r="B120" i="12"/>
  <c r="E119" i="12"/>
  <c r="D119" i="12"/>
  <c r="F119" i="12" s="1"/>
  <c r="C119" i="12"/>
  <c r="B119" i="12"/>
  <c r="E118" i="12"/>
  <c r="D118" i="12"/>
  <c r="C118" i="12"/>
  <c r="B118" i="12"/>
  <c r="E117" i="12"/>
  <c r="D117" i="12"/>
  <c r="F117" i="12" s="1"/>
  <c r="C117" i="12"/>
  <c r="B117" i="12"/>
  <c r="E116" i="12"/>
  <c r="D116" i="12"/>
  <c r="F116" i="12" s="1"/>
  <c r="C116" i="12"/>
  <c r="B116" i="12"/>
  <c r="E115" i="12"/>
  <c r="D115" i="12"/>
  <c r="F115" i="12" s="1"/>
  <c r="C115" i="12"/>
  <c r="B115" i="12"/>
  <c r="E114" i="12"/>
  <c r="D114" i="12"/>
  <c r="C114" i="12"/>
  <c r="B114" i="12"/>
  <c r="E113" i="12"/>
  <c r="D113" i="12"/>
  <c r="F113" i="12" s="1"/>
  <c r="C113" i="12"/>
  <c r="B113" i="12"/>
  <c r="F112" i="12"/>
  <c r="E112" i="12"/>
  <c r="D112" i="12"/>
  <c r="C112" i="12"/>
  <c r="B112" i="12"/>
  <c r="E111" i="12"/>
  <c r="D111" i="12"/>
  <c r="F111" i="12" s="1"/>
  <c r="C111" i="12"/>
  <c r="B111" i="12"/>
  <c r="E110" i="12"/>
  <c r="D110" i="12"/>
  <c r="C110" i="12"/>
  <c r="B110" i="12"/>
  <c r="E109" i="12"/>
  <c r="D109" i="12"/>
  <c r="F109" i="12" s="1"/>
  <c r="C109" i="12"/>
  <c r="B109" i="12"/>
  <c r="E108" i="12"/>
  <c r="D108" i="12"/>
  <c r="F108" i="12" s="1"/>
  <c r="C108" i="12"/>
  <c r="B108" i="12"/>
  <c r="E107" i="12"/>
  <c r="D107" i="12"/>
  <c r="F107" i="12" s="1"/>
  <c r="C107" i="12"/>
  <c r="B107" i="12"/>
  <c r="E106" i="12"/>
  <c r="D106" i="12"/>
  <c r="C106" i="12"/>
  <c r="B106" i="12"/>
  <c r="E105" i="12"/>
  <c r="F105" i="12" s="1"/>
  <c r="D105" i="12"/>
  <c r="C105" i="12"/>
  <c r="B105" i="12"/>
  <c r="E104" i="12"/>
  <c r="D104" i="12"/>
  <c r="F104" i="12" s="1"/>
  <c r="C104" i="12"/>
  <c r="B104" i="12"/>
  <c r="E103" i="12"/>
  <c r="D103" i="12"/>
  <c r="F103" i="12" s="1"/>
  <c r="C103" i="12"/>
  <c r="B103" i="12"/>
  <c r="E102" i="12"/>
  <c r="D102" i="12"/>
  <c r="C102" i="12"/>
  <c r="B102" i="12"/>
  <c r="E101" i="12"/>
  <c r="D101" i="12"/>
  <c r="F101" i="12" s="1"/>
  <c r="C101" i="12"/>
  <c r="B101" i="12"/>
  <c r="E100" i="12"/>
  <c r="D100" i="12"/>
  <c r="F100" i="12" s="1"/>
  <c r="C100" i="12"/>
  <c r="B100" i="12"/>
  <c r="E99" i="12"/>
  <c r="D99" i="12"/>
  <c r="F99" i="12" s="1"/>
  <c r="C99" i="12"/>
  <c r="B99" i="12"/>
  <c r="E98" i="12"/>
  <c r="D98" i="12"/>
  <c r="C98" i="12"/>
  <c r="B98" i="12"/>
  <c r="E97" i="12"/>
  <c r="D97" i="12"/>
  <c r="F97" i="12" s="1"/>
  <c r="C97" i="12"/>
  <c r="B97" i="12"/>
  <c r="F96" i="12"/>
  <c r="E96" i="12"/>
  <c r="D96" i="12"/>
  <c r="C96" i="12"/>
  <c r="B96" i="12"/>
  <c r="E95" i="12"/>
  <c r="D95" i="12"/>
  <c r="F95" i="12" s="1"/>
  <c r="C95" i="12"/>
  <c r="B95" i="12"/>
  <c r="E94" i="12"/>
  <c r="D94" i="12"/>
  <c r="C94" i="12"/>
  <c r="B94" i="12"/>
  <c r="E93" i="12"/>
  <c r="D93" i="12"/>
  <c r="F93" i="12" s="1"/>
  <c r="C93" i="12"/>
  <c r="B93" i="12"/>
  <c r="E92" i="12"/>
  <c r="D92" i="12"/>
  <c r="F92" i="12" s="1"/>
  <c r="C92" i="12"/>
  <c r="B92" i="12"/>
  <c r="E91" i="12"/>
  <c r="D91" i="12"/>
  <c r="F91" i="12" s="1"/>
  <c r="C91" i="12"/>
  <c r="B91" i="12"/>
  <c r="E90" i="12"/>
  <c r="D90" i="12"/>
  <c r="C90" i="12"/>
  <c r="B90" i="12"/>
  <c r="E89" i="12"/>
  <c r="D89" i="12"/>
  <c r="F89" i="12" s="1"/>
  <c r="C89" i="12"/>
  <c r="B89" i="12"/>
  <c r="E88" i="12"/>
  <c r="D88" i="12"/>
  <c r="C88" i="12"/>
  <c r="B88" i="12"/>
  <c r="E87" i="12"/>
  <c r="F87" i="12" s="1"/>
  <c r="D87" i="12"/>
  <c r="C87" i="12"/>
  <c r="B87" i="12"/>
  <c r="E86" i="12"/>
  <c r="F86" i="12" s="1"/>
  <c r="D86" i="12"/>
  <c r="C86" i="12"/>
  <c r="B86" i="12"/>
  <c r="E85" i="12"/>
  <c r="D85" i="12"/>
  <c r="C85" i="12"/>
  <c r="B85" i="12"/>
  <c r="E84" i="12"/>
  <c r="D84" i="12"/>
  <c r="C84" i="12"/>
  <c r="B84" i="12"/>
  <c r="F83" i="12"/>
  <c r="E83" i="12"/>
  <c r="D83" i="12"/>
  <c r="C83" i="12"/>
  <c r="B83" i="12"/>
  <c r="E82" i="12"/>
  <c r="D82" i="12"/>
  <c r="C82" i="12"/>
  <c r="B82" i="12"/>
  <c r="G77" i="12"/>
  <c r="E75" i="12"/>
  <c r="F75" i="12" s="1"/>
  <c r="D75" i="12"/>
  <c r="C75" i="12"/>
  <c r="B75" i="12"/>
  <c r="E74" i="12"/>
  <c r="F74" i="12" s="1"/>
  <c r="D74" i="12"/>
  <c r="C74" i="12"/>
  <c r="B74" i="12"/>
  <c r="E73" i="12"/>
  <c r="D73" i="12"/>
  <c r="C73" i="12"/>
  <c r="B73" i="12"/>
  <c r="E72" i="12"/>
  <c r="F72" i="12" s="1"/>
  <c r="D72" i="12"/>
  <c r="C72" i="12"/>
  <c r="B72" i="12"/>
  <c r="E71" i="12"/>
  <c r="D71" i="12"/>
  <c r="F71" i="12" s="1"/>
  <c r="C71" i="12"/>
  <c r="B71" i="12"/>
  <c r="E70" i="12"/>
  <c r="F70" i="12" s="1"/>
  <c r="D70" i="12"/>
  <c r="C70" i="12"/>
  <c r="B70" i="12"/>
  <c r="E69" i="12"/>
  <c r="D69" i="12"/>
  <c r="F69" i="12" s="1"/>
  <c r="C69" i="12"/>
  <c r="B69" i="12"/>
  <c r="E68" i="12"/>
  <c r="D68" i="12"/>
  <c r="C68" i="12"/>
  <c r="B68" i="12"/>
  <c r="E67" i="12"/>
  <c r="F67" i="12" s="1"/>
  <c r="D67" i="12"/>
  <c r="C67" i="12"/>
  <c r="B67" i="12"/>
  <c r="F66" i="12"/>
  <c r="E66" i="12"/>
  <c r="D66" i="12"/>
  <c r="C66" i="12"/>
  <c r="B66" i="12"/>
  <c r="E65" i="12"/>
  <c r="D65" i="12"/>
  <c r="C65" i="12"/>
  <c r="B65" i="12"/>
  <c r="E64" i="12"/>
  <c r="F64" i="12" s="1"/>
  <c r="D64" i="12"/>
  <c r="C64" i="12"/>
  <c r="B64" i="12"/>
  <c r="F63" i="12"/>
  <c r="E63" i="12"/>
  <c r="D63" i="12"/>
  <c r="C63" i="12"/>
  <c r="B63" i="12"/>
  <c r="E62" i="12"/>
  <c r="F62" i="12" s="1"/>
  <c r="D62" i="12"/>
  <c r="C62" i="12"/>
  <c r="B62" i="12"/>
  <c r="E61" i="12"/>
  <c r="D61" i="12"/>
  <c r="F61" i="12" s="1"/>
  <c r="C61" i="12"/>
  <c r="B61" i="12"/>
  <c r="J60" i="12"/>
  <c r="D49" i="12"/>
  <c r="S40" i="12"/>
  <c r="C32" i="12" s="1"/>
  <c r="I32" i="12" s="1"/>
  <c r="R40" i="12"/>
  <c r="Q40" i="12"/>
  <c r="C34" i="12" s="1"/>
  <c r="K40" i="12"/>
  <c r="S39" i="12"/>
  <c r="R39" i="12"/>
  <c r="Q39" i="12"/>
  <c r="S38" i="12"/>
  <c r="R38" i="12"/>
  <c r="Q38" i="12"/>
  <c r="N37" i="12"/>
  <c r="E37" i="12"/>
  <c r="E36" i="12"/>
  <c r="C36" i="12"/>
  <c r="I35" i="12"/>
  <c r="I220" i="12" s="1"/>
  <c r="G34" i="12"/>
  <c r="C33" i="12"/>
  <c r="I33" i="12" s="1"/>
  <c r="E31" i="12"/>
  <c r="I25" i="12"/>
  <c r="I230" i="12" s="1"/>
  <c r="I24" i="12"/>
  <c r="I231" i="12" s="1"/>
  <c r="I22" i="12"/>
  <c r="I235" i="12" s="1"/>
  <c r="I21" i="12"/>
  <c r="J21" i="12" s="1"/>
  <c r="L21" i="12" s="1"/>
  <c r="I20" i="12"/>
  <c r="J19" i="12"/>
  <c r="I19" i="12"/>
  <c r="B18" i="12"/>
  <c r="B228" i="12" s="1"/>
  <c r="I17" i="12"/>
  <c r="I227" i="12" s="1"/>
  <c r="E17" i="12"/>
  <c r="J16" i="12"/>
  <c r="L16" i="12" s="1"/>
  <c r="E15" i="12"/>
  <c r="I15" i="12" s="1"/>
  <c r="O14" i="12"/>
  <c r="E14" i="12"/>
  <c r="I14" i="12" s="1"/>
  <c r="E13" i="12"/>
  <c r="I13" i="12" s="1"/>
  <c r="N12" i="12"/>
  <c r="I11" i="12"/>
  <c r="I222" i="12" s="1"/>
  <c r="N10" i="12"/>
  <c r="D10" i="12"/>
  <c r="L9" i="12"/>
  <c r="L214" i="12" s="1"/>
  <c r="J9" i="12"/>
  <c r="I9" i="12"/>
  <c r="I214" i="12" s="1"/>
  <c r="I7" i="12"/>
  <c r="I213" i="12" s="1"/>
  <c r="I5" i="12"/>
  <c r="I211" i="12" s="1"/>
  <c r="I49" i="7"/>
  <c r="T45" i="7"/>
  <c r="E44" i="7"/>
  <c r="C44" i="7"/>
  <c r="D44" i="7" s="1"/>
  <c r="B44" i="7"/>
  <c r="V43" i="7"/>
  <c r="U43" i="7"/>
  <c r="P43" i="7"/>
  <c r="N43" i="7"/>
  <c r="O43" i="7" s="1"/>
  <c r="R43" i="7" s="1"/>
  <c r="K43" i="7"/>
  <c r="G43" i="7"/>
  <c r="E43" i="7"/>
  <c r="D43" i="7"/>
  <c r="C43" i="7"/>
  <c r="B43" i="7"/>
  <c r="V42" i="7"/>
  <c r="U42" i="7"/>
  <c r="R32" i="7" s="1"/>
  <c r="P42" i="7"/>
  <c r="N42" i="7"/>
  <c r="O42" i="7" s="1"/>
  <c r="R42" i="7" s="1"/>
  <c r="K42" i="7"/>
  <c r="O28" i="7" s="1"/>
  <c r="G42" i="7"/>
  <c r="V41" i="7"/>
  <c r="U41" i="7"/>
  <c r="P41" i="7"/>
  <c r="N41" i="7"/>
  <c r="C41" i="7"/>
  <c r="B41" i="7"/>
  <c r="B39" i="7"/>
  <c r="B37" i="7"/>
  <c r="B36" i="7" s="1"/>
  <c r="T36" i="7"/>
  <c r="S36" i="7"/>
  <c r="R36" i="7"/>
  <c r="O36" i="7"/>
  <c r="N36" i="7"/>
  <c r="M36" i="7"/>
  <c r="J36" i="7"/>
  <c r="I36" i="7"/>
  <c r="H36" i="7"/>
  <c r="F36" i="7"/>
  <c r="E36" i="7"/>
  <c r="D36" i="7"/>
  <c r="Y35" i="7"/>
  <c r="U33" i="7"/>
  <c r="P33" i="7"/>
  <c r="H33" i="7"/>
  <c r="K33" i="7" s="1"/>
  <c r="F33" i="7"/>
  <c r="E33" i="7"/>
  <c r="D33" i="7"/>
  <c r="S32" i="7"/>
  <c r="J32" i="7"/>
  <c r="F32" i="7"/>
  <c r="B32" i="7"/>
  <c r="B31" i="7"/>
  <c r="U30" i="7"/>
  <c r="P30" i="7"/>
  <c r="K30" i="7"/>
  <c r="G30" i="7"/>
  <c r="U29" i="7"/>
  <c r="P29" i="7"/>
  <c r="K29" i="7"/>
  <c r="G29" i="7"/>
  <c r="B29" i="7"/>
  <c r="S28" i="7"/>
  <c r="R28" i="7"/>
  <c r="N28" i="7"/>
  <c r="M28" i="7"/>
  <c r="J28" i="7"/>
  <c r="H28" i="7"/>
  <c r="F28" i="7"/>
  <c r="E28" i="7"/>
  <c r="B28" i="7"/>
  <c r="T27" i="7"/>
  <c r="S27" i="7"/>
  <c r="R27" i="7"/>
  <c r="O27" i="7"/>
  <c r="N27" i="7"/>
  <c r="M27" i="7"/>
  <c r="J27" i="7"/>
  <c r="I27" i="7"/>
  <c r="H27" i="7"/>
  <c r="F27" i="7"/>
  <c r="E27" i="7"/>
  <c r="D27" i="7"/>
  <c r="B27" i="7"/>
  <c r="U26" i="7"/>
  <c r="P26" i="7"/>
  <c r="B26" i="7"/>
  <c r="B25" i="7"/>
  <c r="Q24" i="7"/>
  <c r="L24" i="7"/>
  <c r="B24" i="7"/>
  <c r="L21" i="7"/>
  <c r="Q21" i="7" s="1"/>
  <c r="B19" i="7"/>
  <c r="B18" i="7"/>
  <c r="B17" i="7"/>
  <c r="B16" i="7"/>
  <c r="L15" i="7"/>
  <c r="Q15" i="7" s="1"/>
  <c r="L13" i="7"/>
  <c r="Q13" i="7" s="1"/>
  <c r="M12" i="7"/>
  <c r="L12" i="7"/>
  <c r="Q12" i="7" s="1"/>
  <c r="J12" i="7"/>
  <c r="I12" i="7"/>
  <c r="L11" i="7"/>
  <c r="Q11" i="7" s="1"/>
  <c r="B9" i="7"/>
  <c r="B10" i="7" s="1"/>
  <c r="B8" i="7"/>
  <c r="B5" i="7" s="1"/>
  <c r="B7" i="7"/>
  <c r="L6" i="7"/>
  <c r="Q6" i="7" s="1"/>
  <c r="X58" i="6"/>
  <c r="T58" i="6"/>
  <c r="S58" i="6"/>
  <c r="R58" i="6"/>
  <c r="U58" i="6" s="1"/>
  <c r="O58" i="6"/>
  <c r="N58" i="6"/>
  <c r="M58" i="6"/>
  <c r="P58" i="6" s="1"/>
  <c r="J58" i="6"/>
  <c r="I58" i="6"/>
  <c r="H58" i="6"/>
  <c r="F58" i="6"/>
  <c r="E58" i="6"/>
  <c r="D58" i="6"/>
  <c r="X56" i="6"/>
  <c r="T56" i="6"/>
  <c r="S56" i="6"/>
  <c r="R56" i="6"/>
  <c r="O56" i="6"/>
  <c r="N56" i="6"/>
  <c r="M56" i="6"/>
  <c r="P56" i="6" s="1"/>
  <c r="J56" i="6"/>
  <c r="I56" i="6"/>
  <c r="H56" i="6"/>
  <c r="F56" i="6"/>
  <c r="E56" i="6"/>
  <c r="D56" i="6"/>
  <c r="AB55" i="6"/>
  <c r="X55" i="6"/>
  <c r="T55" i="6"/>
  <c r="S55" i="6"/>
  <c r="R55" i="6"/>
  <c r="O55" i="6"/>
  <c r="N55" i="6"/>
  <c r="M55" i="6"/>
  <c r="P55" i="6" s="1"/>
  <c r="J55" i="6"/>
  <c r="I55" i="6"/>
  <c r="H55" i="6"/>
  <c r="F55" i="6"/>
  <c r="E55" i="6"/>
  <c r="D55" i="6"/>
  <c r="X49" i="6"/>
  <c r="C50" i="6" s="1"/>
  <c r="U49" i="6"/>
  <c r="P49" i="6"/>
  <c r="K49" i="6"/>
  <c r="G49" i="6"/>
  <c r="L49" i="6" s="1"/>
  <c r="Q49" i="6" s="1"/>
  <c r="B49" i="6"/>
  <c r="U48" i="6"/>
  <c r="L48" i="6"/>
  <c r="Q48" i="6" s="1"/>
  <c r="V47" i="6"/>
  <c r="U47" i="6"/>
  <c r="P47" i="6"/>
  <c r="L47" i="6"/>
  <c r="Q47" i="6" s="1"/>
  <c r="K47" i="6"/>
  <c r="G47" i="6"/>
  <c r="W47" i="6" s="1"/>
  <c r="C47" i="6" s="1"/>
  <c r="U46" i="6"/>
  <c r="P46" i="6"/>
  <c r="L46" i="6"/>
  <c r="K46" i="6"/>
  <c r="G46" i="6"/>
  <c r="U45" i="6"/>
  <c r="P45" i="6"/>
  <c r="K45" i="6"/>
  <c r="G45" i="6"/>
  <c r="U44" i="6"/>
  <c r="P44" i="6"/>
  <c r="V44" i="6" s="1"/>
  <c r="K44" i="6"/>
  <c r="G44" i="6"/>
  <c r="U43" i="6"/>
  <c r="P43" i="6"/>
  <c r="V43" i="6" s="1"/>
  <c r="K43" i="6"/>
  <c r="G43" i="6"/>
  <c r="W43" i="6" s="1"/>
  <c r="C43" i="6" s="1"/>
  <c r="U42" i="6"/>
  <c r="P42" i="6"/>
  <c r="V42" i="6" s="1"/>
  <c r="K42" i="6"/>
  <c r="L42" i="6" s="1"/>
  <c r="Q42" i="6" s="1"/>
  <c r="G42" i="6"/>
  <c r="W42" i="6" s="1"/>
  <c r="C42" i="6" s="1"/>
  <c r="U41" i="6"/>
  <c r="P41" i="6"/>
  <c r="V41" i="6" s="1"/>
  <c r="K41" i="6"/>
  <c r="G41" i="6"/>
  <c r="T40" i="6"/>
  <c r="S40" i="6"/>
  <c r="R40" i="6"/>
  <c r="U40" i="6" s="1"/>
  <c r="O40" i="6"/>
  <c r="N40" i="6"/>
  <c r="M40" i="6"/>
  <c r="J40" i="6"/>
  <c r="I40" i="6"/>
  <c r="H40" i="6"/>
  <c r="F40" i="6"/>
  <c r="E40" i="6"/>
  <c r="D40" i="6"/>
  <c r="T39" i="6"/>
  <c r="S39" i="6"/>
  <c r="R39" i="6"/>
  <c r="O39" i="6"/>
  <c r="N39" i="6"/>
  <c r="M39" i="6"/>
  <c r="P39" i="6" s="1"/>
  <c r="J39" i="6"/>
  <c r="I39" i="6"/>
  <c r="H39" i="6"/>
  <c r="K39" i="6" s="1"/>
  <c r="F39" i="6"/>
  <c r="E39" i="6"/>
  <c r="D39" i="6"/>
  <c r="G39" i="6" s="1"/>
  <c r="T38" i="6"/>
  <c r="T37" i="6" s="1"/>
  <c r="S38" i="6"/>
  <c r="R38" i="6"/>
  <c r="U38" i="6" s="1"/>
  <c r="O38" i="6"/>
  <c r="O37" i="6" s="1"/>
  <c r="N38" i="6"/>
  <c r="M38" i="6"/>
  <c r="J38" i="6"/>
  <c r="I38" i="6"/>
  <c r="H38" i="6"/>
  <c r="K38" i="6" s="1"/>
  <c r="F38" i="6"/>
  <c r="F37" i="6" s="1"/>
  <c r="E38" i="6"/>
  <c r="E37" i="6" s="1"/>
  <c r="D38" i="6"/>
  <c r="R37" i="6"/>
  <c r="N37" i="6"/>
  <c r="J37" i="6"/>
  <c r="X34" i="6"/>
  <c r="U34" i="6"/>
  <c r="T34" i="6"/>
  <c r="S34" i="6"/>
  <c r="R34" i="6"/>
  <c r="O34" i="6"/>
  <c r="N34" i="6"/>
  <c r="M34" i="6"/>
  <c r="J34" i="6"/>
  <c r="I34" i="6"/>
  <c r="H34" i="6"/>
  <c r="F34" i="6"/>
  <c r="E34" i="6"/>
  <c r="D34" i="6"/>
  <c r="X33" i="6"/>
  <c r="T33" i="6"/>
  <c r="S33" i="6"/>
  <c r="S29" i="6" s="1"/>
  <c r="R33" i="6"/>
  <c r="O33" i="6"/>
  <c r="N33" i="6"/>
  <c r="M33" i="6"/>
  <c r="P33" i="6" s="1"/>
  <c r="J33" i="6"/>
  <c r="I33" i="6"/>
  <c r="H33" i="6"/>
  <c r="K33" i="6" s="1"/>
  <c r="F33" i="6"/>
  <c r="E33" i="6"/>
  <c r="D33" i="6"/>
  <c r="G33" i="6" s="1"/>
  <c r="X32" i="6"/>
  <c r="T32" i="6"/>
  <c r="S32" i="6"/>
  <c r="R32" i="6"/>
  <c r="U32" i="6" s="1"/>
  <c r="O32" i="6"/>
  <c r="N32" i="6"/>
  <c r="M32" i="6"/>
  <c r="J32" i="6"/>
  <c r="I32" i="6"/>
  <c r="H32" i="6"/>
  <c r="F32" i="6"/>
  <c r="E32" i="6"/>
  <c r="E30" i="6" s="1"/>
  <c r="D32" i="6"/>
  <c r="X31" i="6"/>
  <c r="T31" i="6"/>
  <c r="S31" i="6"/>
  <c r="S30" i="6" s="1"/>
  <c r="R31" i="6"/>
  <c r="O31" i="6"/>
  <c r="N31" i="6"/>
  <c r="M31" i="6"/>
  <c r="P31" i="6" s="1"/>
  <c r="J31" i="6"/>
  <c r="I31" i="6"/>
  <c r="K31" i="6" s="1"/>
  <c r="H31" i="6"/>
  <c r="F31" i="6"/>
  <c r="E31" i="6"/>
  <c r="D31" i="6"/>
  <c r="G31" i="6" s="1"/>
  <c r="L31" i="6" s="1"/>
  <c r="B31" i="6"/>
  <c r="X30" i="6"/>
  <c r="R30" i="6"/>
  <c r="O30" i="6"/>
  <c r="N30" i="6"/>
  <c r="J30" i="6"/>
  <c r="F30" i="6"/>
  <c r="X29" i="6"/>
  <c r="R29" i="6"/>
  <c r="O29" i="6"/>
  <c r="N29" i="6"/>
  <c r="J29" i="6"/>
  <c r="F29" i="6"/>
  <c r="B29" i="6"/>
  <c r="B30" i="6" s="1"/>
  <c r="X28" i="6"/>
  <c r="T28" i="6"/>
  <c r="S28" i="6"/>
  <c r="R28" i="6"/>
  <c r="O28" i="6"/>
  <c r="N28" i="6"/>
  <c r="M28" i="6"/>
  <c r="J28" i="6"/>
  <c r="I28" i="6"/>
  <c r="K28" i="6" s="1"/>
  <c r="H28" i="6"/>
  <c r="F28" i="6"/>
  <c r="E28" i="6"/>
  <c r="D28" i="6"/>
  <c r="G28" i="6" s="1"/>
  <c r="B28" i="6"/>
  <c r="X27" i="6"/>
  <c r="T27" i="6"/>
  <c r="S27" i="6"/>
  <c r="R27" i="6"/>
  <c r="O27" i="6"/>
  <c r="N27" i="6"/>
  <c r="M27" i="6"/>
  <c r="P27" i="6" s="1"/>
  <c r="K27" i="6"/>
  <c r="J27" i="6"/>
  <c r="I27" i="6"/>
  <c r="H27" i="6"/>
  <c r="F27" i="6"/>
  <c r="E27" i="6"/>
  <c r="D27" i="6"/>
  <c r="G27" i="6" s="1"/>
  <c r="L27" i="6" s="1"/>
  <c r="X26" i="6"/>
  <c r="X25" i="6"/>
  <c r="U25" i="6"/>
  <c r="T25" i="6"/>
  <c r="S25" i="6"/>
  <c r="R25" i="6"/>
  <c r="O25" i="6"/>
  <c r="N25" i="6"/>
  <c r="M25" i="6"/>
  <c r="P25" i="6" s="1"/>
  <c r="V25" i="6" s="1"/>
  <c r="J25" i="6"/>
  <c r="I25" i="6"/>
  <c r="H25" i="6"/>
  <c r="F25" i="6"/>
  <c r="E25" i="6"/>
  <c r="D25" i="6"/>
  <c r="X24" i="6"/>
  <c r="B24" i="6"/>
  <c r="Y23" i="6"/>
  <c r="U21" i="6"/>
  <c r="P21" i="6"/>
  <c r="K21" i="6"/>
  <c r="G21" i="6"/>
  <c r="L21" i="6" s="1"/>
  <c r="Q21" i="6" s="1"/>
  <c r="Y20" i="6"/>
  <c r="X20" i="6"/>
  <c r="T20" i="6"/>
  <c r="S20" i="6"/>
  <c r="R20" i="6"/>
  <c r="O20" i="6"/>
  <c r="N20" i="6"/>
  <c r="M20" i="6"/>
  <c r="J20" i="6"/>
  <c r="I20" i="6"/>
  <c r="H20" i="6"/>
  <c r="F20" i="6"/>
  <c r="E20" i="6"/>
  <c r="D20" i="6"/>
  <c r="U19" i="6"/>
  <c r="N19" i="6"/>
  <c r="K19" i="6"/>
  <c r="G19" i="6"/>
  <c r="X18" i="6"/>
  <c r="T18" i="6"/>
  <c r="S18" i="6"/>
  <c r="R18" i="6"/>
  <c r="O18" i="6"/>
  <c r="P18" i="6" s="1"/>
  <c r="N18" i="6"/>
  <c r="M18" i="6"/>
  <c r="K18" i="6"/>
  <c r="J18" i="6"/>
  <c r="I18" i="6"/>
  <c r="H18" i="6"/>
  <c r="F18" i="6"/>
  <c r="E18" i="6"/>
  <c r="D18" i="6"/>
  <c r="G18" i="6" s="1"/>
  <c r="X17" i="6"/>
  <c r="T17" i="6"/>
  <c r="S17" i="6"/>
  <c r="R17" i="6"/>
  <c r="U17" i="6" s="1"/>
  <c r="O17" i="6"/>
  <c r="N17" i="6"/>
  <c r="M17" i="6"/>
  <c r="J17" i="6"/>
  <c r="I17" i="6"/>
  <c r="H17" i="6"/>
  <c r="F17" i="6"/>
  <c r="E17" i="6"/>
  <c r="D17" i="6"/>
  <c r="G17" i="6" s="1"/>
  <c r="B17" i="6"/>
  <c r="B18" i="6" s="1"/>
  <c r="X16" i="6"/>
  <c r="T16" i="6"/>
  <c r="S16" i="6"/>
  <c r="R16" i="6"/>
  <c r="O16" i="6"/>
  <c r="N16" i="6"/>
  <c r="P16" i="6" s="1"/>
  <c r="M16" i="6"/>
  <c r="J16" i="6"/>
  <c r="I16" i="6"/>
  <c r="K16" i="6" s="1"/>
  <c r="H16" i="6"/>
  <c r="F16" i="6"/>
  <c r="E16" i="6"/>
  <c r="D16" i="6"/>
  <c r="G16" i="6" s="1"/>
  <c r="B16" i="6"/>
  <c r="X15" i="6"/>
  <c r="T15" i="6"/>
  <c r="T12" i="6" s="1"/>
  <c r="S15" i="6"/>
  <c r="R15" i="6"/>
  <c r="O15" i="6"/>
  <c r="N15" i="6"/>
  <c r="M15" i="6"/>
  <c r="J15" i="6"/>
  <c r="I15" i="6"/>
  <c r="K15" i="6" s="1"/>
  <c r="H15" i="6"/>
  <c r="F15" i="6"/>
  <c r="E15" i="6"/>
  <c r="D15" i="6"/>
  <c r="G15" i="6" s="1"/>
  <c r="X14" i="6"/>
  <c r="T14" i="6"/>
  <c r="T26" i="6" s="1"/>
  <c r="S14" i="6"/>
  <c r="R14" i="6"/>
  <c r="O14" i="6"/>
  <c r="O26" i="6" s="1"/>
  <c r="O24" i="6" s="1"/>
  <c r="N14" i="6"/>
  <c r="M14" i="6"/>
  <c r="J14" i="6"/>
  <c r="I14" i="6"/>
  <c r="H14" i="6"/>
  <c r="H26" i="6" s="1"/>
  <c r="F14" i="6"/>
  <c r="F12" i="6" s="1"/>
  <c r="E14" i="6"/>
  <c r="D14" i="6"/>
  <c r="D26" i="6" s="1"/>
  <c r="D24" i="6" s="1"/>
  <c r="X13" i="6"/>
  <c r="T13" i="6"/>
  <c r="S13" i="6"/>
  <c r="R13" i="6"/>
  <c r="U13" i="6" s="1"/>
  <c r="O13" i="6"/>
  <c r="M13" i="6"/>
  <c r="J13" i="6"/>
  <c r="I13" i="6"/>
  <c r="H13" i="6"/>
  <c r="F13" i="6"/>
  <c r="E13" i="6"/>
  <c r="D13" i="6"/>
  <c r="G13" i="6" s="1"/>
  <c r="X12" i="6"/>
  <c r="X10" i="6" s="1"/>
  <c r="R12" i="6"/>
  <c r="M12" i="6"/>
  <c r="J12" i="6"/>
  <c r="B12" i="6"/>
  <c r="B10" i="6" s="1"/>
  <c r="T10" i="6"/>
  <c r="Z9" i="6"/>
  <c r="B9" i="6"/>
  <c r="Z8" i="6"/>
  <c r="X8" i="6" s="1"/>
  <c r="B8" i="6"/>
  <c r="Z7" i="6"/>
  <c r="Z10" i="6" s="1"/>
  <c r="AA10" i="6" s="1"/>
  <c r="U7" i="6"/>
  <c r="P7" i="6"/>
  <c r="V7" i="6" s="1"/>
  <c r="K7" i="6"/>
  <c r="L7" i="6" s="1"/>
  <c r="Q7" i="6" s="1"/>
  <c r="G7" i="6"/>
  <c r="B7" i="6"/>
  <c r="B11" i="6" s="1"/>
  <c r="Z6" i="6"/>
  <c r="X6" i="6" s="1"/>
  <c r="T6" i="6"/>
  <c r="S6" i="6"/>
  <c r="R6" i="6"/>
  <c r="O6" i="6"/>
  <c r="N6" i="6"/>
  <c r="M6" i="6"/>
  <c r="J6" i="6"/>
  <c r="I6" i="6"/>
  <c r="H6" i="6"/>
  <c r="K6" i="6" s="1"/>
  <c r="F6" i="6"/>
  <c r="E6" i="6"/>
  <c r="D6" i="6"/>
  <c r="B6" i="6"/>
  <c r="L39" i="6" l="1"/>
  <c r="P28" i="7"/>
  <c r="N4" i="2"/>
  <c r="I3" i="2"/>
  <c r="L28" i="6"/>
  <c r="S88" i="15"/>
  <c r="AI88" i="15"/>
  <c r="R8" i="6"/>
  <c r="O8" i="6"/>
  <c r="S8" i="6"/>
  <c r="L26" i="13"/>
  <c r="J186" i="13"/>
  <c r="M7" i="13"/>
  <c r="O3" i="14"/>
  <c r="L33" i="6"/>
  <c r="P20" i="6"/>
  <c r="E29" i="6"/>
  <c r="F204" i="12"/>
  <c r="I18" i="12" s="1"/>
  <c r="I228" i="12" s="1"/>
  <c r="F128" i="13"/>
  <c r="M9" i="14"/>
  <c r="M3" i="14" s="1"/>
  <c r="N30" i="14"/>
  <c r="Q93" i="14"/>
  <c r="Q106" i="14" s="1"/>
  <c r="N100" i="14"/>
  <c r="R100" i="14" s="1"/>
  <c r="G24" i="15"/>
  <c r="G40" i="15"/>
  <c r="AF40" i="15" s="1"/>
  <c r="H41" i="15"/>
  <c r="H49" i="15"/>
  <c r="G80" i="15"/>
  <c r="S80" i="15" s="1"/>
  <c r="Y92" i="15"/>
  <c r="AT661" i="5"/>
  <c r="AU738" i="5"/>
  <c r="Z5" i="6"/>
  <c r="G38" i="6"/>
  <c r="K55" i="6"/>
  <c r="H32" i="7"/>
  <c r="T32" i="7"/>
  <c r="U32" i="7" s="1"/>
  <c r="N9" i="12"/>
  <c r="F68" i="12"/>
  <c r="F135" i="12"/>
  <c r="G215" i="12"/>
  <c r="F155" i="13"/>
  <c r="F161" i="13"/>
  <c r="F170" i="13"/>
  <c r="G46" i="14"/>
  <c r="G55" i="14"/>
  <c r="G56" i="14"/>
  <c r="G69" i="14"/>
  <c r="AC18" i="15"/>
  <c r="K93" i="3"/>
  <c r="K63" i="3"/>
  <c r="AG654" i="5"/>
  <c r="AY333" i="5"/>
  <c r="I12" i="6"/>
  <c r="O12" i="6"/>
  <c r="H24" i="6"/>
  <c r="T29" i="6"/>
  <c r="P40" i="6"/>
  <c r="V40" i="6" s="1"/>
  <c r="G58" i="6"/>
  <c r="U27" i="7"/>
  <c r="I28" i="7"/>
  <c r="T28" i="7"/>
  <c r="I32" i="7"/>
  <c r="G33" i="7"/>
  <c r="L19" i="12"/>
  <c r="F65" i="12"/>
  <c r="F85" i="12"/>
  <c r="F152" i="12"/>
  <c r="F159" i="12"/>
  <c r="F170" i="12"/>
  <c r="F186" i="12"/>
  <c r="M20" i="13"/>
  <c r="P20" i="13" s="1"/>
  <c r="Q27" i="14"/>
  <c r="R27" i="14" s="1"/>
  <c r="P77" i="14"/>
  <c r="N103" i="14"/>
  <c r="R103" i="14" s="1"/>
  <c r="AH16" i="15"/>
  <c r="N24" i="15"/>
  <c r="G32" i="15"/>
  <c r="Z92" i="15"/>
  <c r="K80" i="4"/>
  <c r="K72" i="4"/>
  <c r="AZ738" i="5"/>
  <c r="AZ767" i="5" s="1"/>
  <c r="C441" i="5"/>
  <c r="AT444" i="5" s="1"/>
  <c r="AG333" i="5"/>
  <c r="G6" i="6"/>
  <c r="L6" i="6" s="1"/>
  <c r="I29" i="6"/>
  <c r="F163" i="12"/>
  <c r="I28" i="12" s="1"/>
  <c r="G31" i="13"/>
  <c r="K26" i="13" s="1"/>
  <c r="M26" i="13" s="1"/>
  <c r="M24" i="13" s="1"/>
  <c r="I121" i="14"/>
  <c r="Z14" i="15"/>
  <c r="Z17" i="15" s="1"/>
  <c r="G27" i="15"/>
  <c r="AF27" i="15" s="1"/>
  <c r="N28" i="15"/>
  <c r="G36" i="15"/>
  <c r="G37" i="15"/>
  <c r="G45" i="15"/>
  <c r="G56" i="15"/>
  <c r="N64" i="15"/>
  <c r="AD18" i="15"/>
  <c r="AJ67" i="15"/>
  <c r="AF97" i="15"/>
  <c r="G103" i="15"/>
  <c r="AF108" i="15"/>
  <c r="K105" i="4"/>
  <c r="R744" i="5"/>
  <c r="M32" i="7"/>
  <c r="L20" i="12"/>
  <c r="F174" i="12"/>
  <c r="N12" i="14"/>
  <c r="N26" i="14"/>
  <c r="I80" i="14"/>
  <c r="G60" i="15"/>
  <c r="G76" i="15"/>
  <c r="G87" i="15"/>
  <c r="AH103" i="15"/>
  <c r="AF118" i="15"/>
  <c r="K80" i="2"/>
  <c r="K55" i="4"/>
  <c r="H30" i="6"/>
  <c r="T30" i="6"/>
  <c r="I37" i="6"/>
  <c r="L43" i="6"/>
  <c r="Q43" i="6" s="1"/>
  <c r="K58" i="6"/>
  <c r="B34" i="7"/>
  <c r="N32" i="7"/>
  <c r="J11" i="12"/>
  <c r="J20" i="12"/>
  <c r="F127" i="12"/>
  <c r="F143" i="12"/>
  <c r="L19" i="13"/>
  <c r="P19" i="13" s="1"/>
  <c r="L21" i="13"/>
  <c r="P21" i="13" s="1"/>
  <c r="K36" i="13"/>
  <c r="K40" i="13"/>
  <c r="N10" i="14"/>
  <c r="G61" i="14"/>
  <c r="N79" i="14"/>
  <c r="I79" i="14" s="1"/>
  <c r="R112" i="14"/>
  <c r="AF15" i="15"/>
  <c r="X14" i="15"/>
  <c r="X17" i="15" s="1"/>
  <c r="G66" i="15"/>
  <c r="AI66" i="15" s="1"/>
  <c r="G85" i="15"/>
  <c r="M109" i="15"/>
  <c r="K55" i="3"/>
  <c r="C738" i="5"/>
  <c r="C769" i="5" s="1"/>
  <c r="AT772" i="5" s="1"/>
  <c r="P17" i="6"/>
  <c r="V17" i="6" s="1"/>
  <c r="G55" i="6"/>
  <c r="L55" i="6" s="1"/>
  <c r="Q55" i="6" s="1"/>
  <c r="U56" i="6"/>
  <c r="D28" i="7"/>
  <c r="D32" i="7"/>
  <c r="O32" i="7"/>
  <c r="F73" i="12"/>
  <c r="F82" i="12"/>
  <c r="F84" i="12"/>
  <c r="F140" i="13"/>
  <c r="G67" i="14"/>
  <c r="G73" i="14"/>
  <c r="Q77" i="14"/>
  <c r="N98" i="14"/>
  <c r="R98" i="14" s="1"/>
  <c r="AH15" i="15"/>
  <c r="AI13" i="15" s="1"/>
  <c r="T92" i="15"/>
  <c r="K55" i="2"/>
  <c r="V45" i="6"/>
  <c r="B14" i="7"/>
  <c r="E32" i="7"/>
  <c r="F88" i="12"/>
  <c r="E239" i="12"/>
  <c r="I229" i="12"/>
  <c r="R102" i="14"/>
  <c r="X63" i="15"/>
  <c r="X18" i="15" s="1"/>
  <c r="G65" i="15"/>
  <c r="AI65" i="15" s="1"/>
  <c r="U92" i="15"/>
  <c r="AJ97" i="15"/>
  <c r="AH100" i="15"/>
  <c r="AW651" i="5"/>
  <c r="AW546" i="5"/>
  <c r="R683" i="5"/>
  <c r="F68" i="8"/>
  <c r="F70" i="8" s="1"/>
  <c r="K13" i="8"/>
  <c r="E68" i="8"/>
  <c r="G13" i="8"/>
  <c r="G68" i="8" s="1"/>
  <c r="G70" i="8" s="1"/>
  <c r="H17" i="8"/>
  <c r="H14" i="8" s="1"/>
  <c r="T12" i="8" s="1"/>
  <c r="R16" i="8"/>
  <c r="S16" i="8"/>
  <c r="M70" i="8"/>
  <c r="M71" i="8"/>
  <c r="L70" i="8"/>
  <c r="L71" i="8"/>
  <c r="J71" i="8"/>
  <c r="J70" i="8"/>
  <c r="S31" i="8"/>
  <c r="C13" i="8"/>
  <c r="I14" i="8"/>
  <c r="O14" i="8" s="1"/>
  <c r="O13" i="8" s="1"/>
  <c r="O31" i="8"/>
  <c r="K27" i="7"/>
  <c r="I34" i="12"/>
  <c r="I219" i="12" s="1"/>
  <c r="T6" i="14"/>
  <c r="S573" i="5"/>
  <c r="G36" i="7"/>
  <c r="AW573" i="5"/>
  <c r="R761" i="5"/>
  <c r="R763" i="5"/>
  <c r="P16" i="13"/>
  <c r="X57" i="14"/>
  <c r="R762" i="5"/>
  <c r="AD720" i="5"/>
  <c r="R713" i="5"/>
  <c r="R686" i="5"/>
  <c r="X649" i="5"/>
  <c r="AQ649" i="5" s="1"/>
  <c r="AT649" i="5"/>
  <c r="AQ648" i="5"/>
  <c r="BC648" i="5" s="1"/>
  <c r="AO739" i="5"/>
  <c r="Z654" i="5"/>
  <c r="AF654" i="5"/>
  <c r="M566" i="5"/>
  <c r="T566" i="5" s="1"/>
  <c r="T572" i="5"/>
  <c r="M567" i="5"/>
  <c r="T567" i="5" s="1"/>
  <c r="M570" i="5"/>
  <c r="T570" i="5" s="1"/>
  <c r="M568" i="5"/>
  <c r="T568" i="5" s="1"/>
  <c r="AW600" i="5"/>
  <c r="U600" i="5"/>
  <c r="S600" i="5"/>
  <c r="AM600" i="5"/>
  <c r="AM569" i="5"/>
  <c r="S569" i="5"/>
  <c r="AW569" i="5"/>
  <c r="U569" i="5"/>
  <c r="AM578" i="5"/>
  <c r="S578" i="5"/>
  <c r="U578" i="5"/>
  <c r="AW578" i="5"/>
  <c r="AW612" i="5"/>
  <c r="U612" i="5"/>
  <c r="AM612" i="5"/>
  <c r="S612" i="5"/>
  <c r="U637" i="5"/>
  <c r="AW637" i="5"/>
  <c r="AM637" i="5"/>
  <c r="S637" i="5"/>
  <c r="AW620" i="5"/>
  <c r="AM620" i="5"/>
  <c r="S620" i="5"/>
  <c r="U620" i="5"/>
  <c r="AM610" i="5"/>
  <c r="S610" i="5"/>
  <c r="U610" i="5"/>
  <c r="AW610" i="5"/>
  <c r="X544" i="5"/>
  <c r="AQ544" i="5" s="1"/>
  <c r="AT544" i="5"/>
  <c r="AQ543" i="5"/>
  <c r="M416" i="5"/>
  <c r="T416" i="5" s="1"/>
  <c r="M407" i="5"/>
  <c r="T407" i="5" s="1"/>
  <c r="M400" i="5"/>
  <c r="T400" i="5" s="1"/>
  <c r="M396" i="5"/>
  <c r="T396" i="5" s="1"/>
  <c r="M427" i="5"/>
  <c r="T427" i="5" s="1"/>
  <c r="M417" i="5"/>
  <c r="T417" i="5" s="1"/>
  <c r="M414" i="5"/>
  <c r="T414" i="5" s="1"/>
  <c r="M397" i="5"/>
  <c r="T397" i="5" s="1"/>
  <c r="M426" i="5"/>
  <c r="T426" i="5" s="1"/>
  <c r="M425" i="5"/>
  <c r="T425" i="5" s="1"/>
  <c r="M404" i="5"/>
  <c r="T404" i="5" s="1"/>
  <c r="M399" i="5"/>
  <c r="T399" i="5" s="1"/>
  <c r="M388" i="5"/>
  <c r="T388" i="5" s="1"/>
  <c r="M367" i="5"/>
  <c r="T367" i="5" s="1"/>
  <c r="M365" i="5"/>
  <c r="T365" i="5" s="1"/>
  <c r="M363" i="5"/>
  <c r="T363" i="5" s="1"/>
  <c r="M361" i="5"/>
  <c r="T361" i="5" s="1"/>
  <c r="M358" i="5"/>
  <c r="T358" i="5" s="1"/>
  <c r="T356" i="5"/>
  <c r="M398" i="5"/>
  <c r="T398" i="5" s="1"/>
  <c r="M418" i="5"/>
  <c r="T418" i="5" s="1"/>
  <c r="M395" i="5"/>
  <c r="T395" i="5" s="1"/>
  <c r="M389" i="5"/>
  <c r="T389" i="5" s="1"/>
  <c r="M387" i="5"/>
  <c r="T387" i="5" s="1"/>
  <c r="M366" i="5"/>
  <c r="T366" i="5" s="1"/>
  <c r="M364" i="5"/>
  <c r="T364" i="5" s="1"/>
  <c r="M362" i="5"/>
  <c r="T362" i="5" s="1"/>
  <c r="M405" i="5"/>
  <c r="T405" i="5" s="1"/>
  <c r="M374" i="5"/>
  <c r="T374" i="5" s="1"/>
  <c r="M406" i="5"/>
  <c r="T406" i="5" s="1"/>
  <c r="M424" i="5"/>
  <c r="T424" i="5" s="1"/>
  <c r="M415" i="5"/>
  <c r="T415" i="5" s="1"/>
  <c r="M360" i="5"/>
  <c r="T360" i="5" s="1"/>
  <c r="R715" i="5"/>
  <c r="T40" i="5"/>
  <c r="R714" i="5"/>
  <c r="R754" i="5"/>
  <c r="R755" i="5"/>
  <c r="AM103" i="5"/>
  <c r="R727" i="5"/>
  <c r="R694" i="5"/>
  <c r="R690" i="5"/>
  <c r="T32" i="5"/>
  <c r="R705" i="5"/>
  <c r="R693" i="5"/>
  <c r="R695" i="5"/>
  <c r="R685" i="5"/>
  <c r="R745" i="5"/>
  <c r="C86" i="5"/>
  <c r="R688" i="5"/>
  <c r="R681" i="5"/>
  <c r="U651" i="5"/>
  <c r="X647" i="5"/>
  <c r="AT647" i="5"/>
  <c r="AG739" i="5"/>
  <c r="AL739" i="5"/>
  <c r="AD654" i="5"/>
  <c r="AD769" i="5" s="1"/>
  <c r="AD771" i="5" s="1"/>
  <c r="AZ654" i="5"/>
  <c r="AZ769" i="5" s="1"/>
  <c r="AS545" i="5"/>
  <c r="BA545" i="5"/>
  <c r="AI654" i="5"/>
  <c r="U575" i="5"/>
  <c r="AW575" i="5"/>
  <c r="AM575" i="5"/>
  <c r="S575" i="5"/>
  <c r="U602" i="5"/>
  <c r="AW602" i="5"/>
  <c r="AM602" i="5"/>
  <c r="S602" i="5"/>
  <c r="AM571" i="5"/>
  <c r="S571" i="5"/>
  <c r="U571" i="5"/>
  <c r="AW571" i="5"/>
  <c r="AW580" i="5"/>
  <c r="AM580" i="5"/>
  <c r="S580" i="5"/>
  <c r="U580" i="5"/>
  <c r="AW618" i="5"/>
  <c r="U618" i="5"/>
  <c r="AM618" i="5"/>
  <c r="S618" i="5"/>
  <c r="AW608" i="5"/>
  <c r="AM608" i="5"/>
  <c r="S608" i="5"/>
  <c r="U608" i="5"/>
  <c r="AW629" i="5"/>
  <c r="AM629" i="5"/>
  <c r="S629" i="5"/>
  <c r="U629" i="5"/>
  <c r="S628" i="5"/>
  <c r="AW628" i="5"/>
  <c r="U628" i="5"/>
  <c r="AM628" i="5"/>
  <c r="AO654" i="5"/>
  <c r="X573" i="5"/>
  <c r="AQ573" i="5" s="1"/>
  <c r="AT573" i="5"/>
  <c r="X542" i="5"/>
  <c r="AT542" i="5"/>
  <c r="U546" i="5"/>
  <c r="T546" i="5" s="1"/>
  <c r="AJ739" i="5"/>
  <c r="M535" i="5"/>
  <c r="T535" i="5" s="1"/>
  <c r="M526" i="5"/>
  <c r="T526" i="5" s="1"/>
  <c r="M534" i="5"/>
  <c r="T534" i="5" s="1"/>
  <c r="M533" i="5"/>
  <c r="T533" i="5" s="1"/>
  <c r="M523" i="5"/>
  <c r="T523" i="5" s="1"/>
  <c r="M505" i="5"/>
  <c r="T505" i="5" s="1"/>
  <c r="M497" i="5"/>
  <c r="T497" i="5" s="1"/>
  <c r="M532" i="5"/>
  <c r="T532" i="5" s="1"/>
  <c r="M524" i="5"/>
  <c r="T524" i="5" s="1"/>
  <c r="M515" i="5"/>
  <c r="T515" i="5" s="1"/>
  <c r="M512" i="5"/>
  <c r="T512" i="5" s="1"/>
  <c r="M506" i="5"/>
  <c r="T506" i="5" s="1"/>
  <c r="M503" i="5"/>
  <c r="T503" i="5" s="1"/>
  <c r="M496" i="5"/>
  <c r="T496" i="5" s="1"/>
  <c r="M513" i="5"/>
  <c r="T513" i="5" s="1"/>
  <c r="M508" i="5"/>
  <c r="T508" i="5" s="1"/>
  <c r="M474" i="5"/>
  <c r="T474" i="5" s="1"/>
  <c r="M472" i="5"/>
  <c r="T472" i="5" s="1"/>
  <c r="M470" i="5"/>
  <c r="T470" i="5" s="1"/>
  <c r="M514" i="5"/>
  <c r="T514" i="5" s="1"/>
  <c r="M504" i="5"/>
  <c r="T504" i="5" s="1"/>
  <c r="M482" i="5"/>
  <c r="T482" i="5" s="1"/>
  <c r="M468" i="5"/>
  <c r="T468" i="5" s="1"/>
  <c r="M466" i="5"/>
  <c r="T466" i="5" s="1"/>
  <c r="M475" i="5"/>
  <c r="T475" i="5" s="1"/>
  <c r="M473" i="5"/>
  <c r="T473" i="5" s="1"/>
  <c r="M471" i="5"/>
  <c r="T471" i="5" s="1"/>
  <c r="M469" i="5"/>
  <c r="T469" i="5" s="1"/>
  <c r="M464" i="5"/>
  <c r="T464" i="5" s="1"/>
  <c r="M507" i="5"/>
  <c r="T507" i="5" s="1"/>
  <c r="M467" i="5"/>
  <c r="M525" i="5"/>
  <c r="T525" i="5" s="1"/>
  <c r="M522" i="5"/>
  <c r="T522" i="5" s="1"/>
  <c r="M495" i="5"/>
  <c r="T495" i="5" s="1"/>
  <c r="R742" i="5"/>
  <c r="R728" i="5"/>
  <c r="T38" i="5"/>
  <c r="R743" i="5"/>
  <c r="R733" i="5"/>
  <c r="M140" i="5"/>
  <c r="T140" i="5" s="1"/>
  <c r="M143" i="5"/>
  <c r="M136" i="5"/>
  <c r="C238" i="5"/>
  <c r="R717" i="5"/>
  <c r="R706" i="5"/>
  <c r="T36" i="5"/>
  <c r="R682" i="5"/>
  <c r="R725" i="5"/>
  <c r="R703" i="5"/>
  <c r="R691" i="5"/>
  <c r="T31" i="5"/>
  <c r="R724" i="5"/>
  <c r="T39" i="5"/>
  <c r="M591" i="5"/>
  <c r="T591" i="5" s="1"/>
  <c r="M598" i="5"/>
  <c r="T598" i="5" s="1"/>
  <c r="M597" i="5"/>
  <c r="T597" i="5" s="1"/>
  <c r="M590" i="5"/>
  <c r="T590" i="5" s="1"/>
  <c r="M588" i="5"/>
  <c r="T588" i="5" s="1"/>
  <c r="M599" i="5"/>
  <c r="T599" i="5" s="1"/>
  <c r="M595" i="5"/>
  <c r="T595" i="5" s="1"/>
  <c r="M592" i="5"/>
  <c r="T592" i="5" s="1"/>
  <c r="M494" i="5"/>
  <c r="T494" i="5" s="1"/>
  <c r="M490" i="5"/>
  <c r="T490" i="5" s="1"/>
  <c r="M596" i="5"/>
  <c r="T596" i="5" s="1"/>
  <c r="M491" i="5"/>
  <c r="T491" i="5" s="1"/>
  <c r="M486" i="5"/>
  <c r="T486" i="5" s="1"/>
  <c r="M484" i="5"/>
  <c r="T484" i="5" s="1"/>
  <c r="M485" i="5"/>
  <c r="T485" i="5" s="1"/>
  <c r="M385" i="5"/>
  <c r="T385" i="5" s="1"/>
  <c r="M384" i="5"/>
  <c r="T384" i="5" s="1"/>
  <c r="M379" i="5"/>
  <c r="T379" i="5" s="1"/>
  <c r="M377" i="5"/>
  <c r="T377" i="5" s="1"/>
  <c r="M375" i="5"/>
  <c r="T375" i="5" s="1"/>
  <c r="M316" i="5"/>
  <c r="T316" i="5" s="1"/>
  <c r="M493" i="5"/>
  <c r="T493" i="5" s="1"/>
  <c r="M386" i="5"/>
  <c r="T386" i="5" s="1"/>
  <c r="M382" i="5"/>
  <c r="T382" i="5" s="1"/>
  <c r="M492" i="5"/>
  <c r="T492" i="5" s="1"/>
  <c r="M383" i="5"/>
  <c r="T383" i="5" s="1"/>
  <c r="M376" i="5"/>
  <c r="T376" i="5" s="1"/>
  <c r="M319" i="5"/>
  <c r="T319" i="5" s="1"/>
  <c r="M318" i="5"/>
  <c r="T318" i="5" s="1"/>
  <c r="M317" i="5"/>
  <c r="T317" i="5" s="1"/>
  <c r="M277" i="5"/>
  <c r="T277" i="5" s="1"/>
  <c r="M276" i="5"/>
  <c r="T276" i="5" s="1"/>
  <c r="M208" i="5"/>
  <c r="T208" i="5" s="1"/>
  <c r="M166" i="5"/>
  <c r="T166" i="5" s="1"/>
  <c r="M100" i="5"/>
  <c r="M91" i="5"/>
  <c r="M76" i="5"/>
  <c r="M278" i="5"/>
  <c r="T278" i="5" s="1"/>
  <c r="M274" i="5"/>
  <c r="T274" i="5" s="1"/>
  <c r="M270" i="5"/>
  <c r="T270" i="5" s="1"/>
  <c r="M268" i="5"/>
  <c r="T268" i="5" s="1"/>
  <c r="M167" i="5"/>
  <c r="T167" i="5" s="1"/>
  <c r="M163" i="5"/>
  <c r="T163" i="5" s="1"/>
  <c r="M161" i="5"/>
  <c r="T161" i="5" s="1"/>
  <c r="M159" i="5"/>
  <c r="T159" i="5" s="1"/>
  <c r="M92" i="5"/>
  <c r="M487" i="5"/>
  <c r="T487" i="5" s="1"/>
  <c r="M483" i="5"/>
  <c r="T483" i="5" s="1"/>
  <c r="M275" i="5"/>
  <c r="T275" i="5" s="1"/>
  <c r="M211" i="5"/>
  <c r="T211" i="5" s="1"/>
  <c r="M169" i="5"/>
  <c r="T169" i="5" s="1"/>
  <c r="M103" i="5"/>
  <c r="M589" i="5"/>
  <c r="T589" i="5" s="1"/>
  <c r="M378" i="5"/>
  <c r="T378" i="5" s="1"/>
  <c r="M271" i="5"/>
  <c r="T271" i="5" s="1"/>
  <c r="M267" i="5"/>
  <c r="T267" i="5" s="1"/>
  <c r="M170" i="5"/>
  <c r="T170" i="5" s="1"/>
  <c r="M160" i="5"/>
  <c r="T160" i="5" s="1"/>
  <c r="M75" i="5"/>
  <c r="M65" i="5"/>
  <c r="M64" i="5"/>
  <c r="M61" i="5"/>
  <c r="M60" i="5"/>
  <c r="M54" i="5"/>
  <c r="M52" i="5"/>
  <c r="M50" i="5"/>
  <c r="M34" i="5"/>
  <c r="M269" i="5"/>
  <c r="T269" i="5" s="1"/>
  <c r="M162" i="5"/>
  <c r="T162" i="5" s="1"/>
  <c r="M74" i="5"/>
  <c r="M210" i="5"/>
  <c r="T210" i="5" s="1"/>
  <c r="M209" i="5"/>
  <c r="T209" i="5" s="1"/>
  <c r="M102" i="5"/>
  <c r="M101" i="5"/>
  <c r="M93" i="5"/>
  <c r="M82" i="5"/>
  <c r="M80" i="5"/>
  <c r="M72" i="5"/>
  <c r="M58" i="5"/>
  <c r="T35" i="5"/>
  <c r="M168" i="5"/>
  <c r="T168" i="5" s="1"/>
  <c r="M90" i="5"/>
  <c r="M71" i="5"/>
  <c r="M94" i="5"/>
  <c r="M83" i="5"/>
  <c r="M81" i="5"/>
  <c r="M73" i="5"/>
  <c r="M63" i="5"/>
  <c r="M62" i="5"/>
  <c r="M59" i="5"/>
  <c r="M55" i="5"/>
  <c r="M53" i="5"/>
  <c r="M51" i="5"/>
  <c r="M43" i="5"/>
  <c r="T43" i="5" s="1"/>
  <c r="AT774" i="5"/>
  <c r="AG769" i="5"/>
  <c r="AG771" i="5" s="1"/>
  <c r="AT668" i="5"/>
  <c r="AW609" i="5"/>
  <c r="U609" i="5"/>
  <c r="S609" i="5"/>
  <c r="AM609" i="5"/>
  <c r="AS543" i="5"/>
  <c r="BA543" i="5"/>
  <c r="BC543" i="5" s="1"/>
  <c r="U577" i="5"/>
  <c r="AW577" i="5"/>
  <c r="AM577" i="5"/>
  <c r="S577" i="5"/>
  <c r="AM613" i="5"/>
  <c r="S613" i="5"/>
  <c r="U613" i="5"/>
  <c r="AW613" i="5"/>
  <c r="AM574" i="5"/>
  <c r="S574" i="5"/>
  <c r="U574" i="5"/>
  <c r="AW574" i="5"/>
  <c r="AM601" i="5"/>
  <c r="S601" i="5"/>
  <c r="AW601" i="5"/>
  <c r="U601" i="5"/>
  <c r="U627" i="5"/>
  <c r="AW627" i="5"/>
  <c r="AM627" i="5"/>
  <c r="S627" i="5"/>
  <c r="AW611" i="5"/>
  <c r="AM611" i="5"/>
  <c r="S611" i="5"/>
  <c r="U611" i="5"/>
  <c r="U638" i="5"/>
  <c r="AW638" i="5"/>
  <c r="AM638" i="5"/>
  <c r="S638" i="5"/>
  <c r="AW640" i="5"/>
  <c r="AM640" i="5"/>
  <c r="S640" i="5"/>
  <c r="U640" i="5"/>
  <c r="X587" i="5"/>
  <c r="AT587" i="5"/>
  <c r="AT449" i="5"/>
  <c r="AT450" i="5"/>
  <c r="AT234" i="5"/>
  <c r="AT233" i="5"/>
  <c r="R735" i="5"/>
  <c r="R752" i="5"/>
  <c r="R734" i="5"/>
  <c r="R704" i="5"/>
  <c r="T29" i="5"/>
  <c r="R711" i="5"/>
  <c r="R689" i="5"/>
  <c r="R760" i="5"/>
  <c r="R716" i="5"/>
  <c r="T33" i="5"/>
  <c r="AT341" i="5"/>
  <c r="AT342" i="5"/>
  <c r="BD747" i="5"/>
  <c r="BL747" i="5"/>
  <c r="BB747" i="5"/>
  <c r="AT776" i="5"/>
  <c r="AU767" i="5"/>
  <c r="AS650" i="5"/>
  <c r="BA650" i="5"/>
  <c r="BC650" i="5" s="1"/>
  <c r="AU654" i="5"/>
  <c r="AU769" i="5" s="1"/>
  <c r="AU771" i="5" s="1"/>
  <c r="AJ769" i="5"/>
  <c r="AJ771" i="5" s="1"/>
  <c r="U579" i="5"/>
  <c r="AW579" i="5"/>
  <c r="AM579" i="5"/>
  <c r="S579" i="5"/>
  <c r="U619" i="5"/>
  <c r="AW619" i="5"/>
  <c r="AM619" i="5"/>
  <c r="S619" i="5"/>
  <c r="AM576" i="5"/>
  <c r="S576" i="5"/>
  <c r="U576" i="5"/>
  <c r="AW576" i="5"/>
  <c r="AW631" i="5"/>
  <c r="U631" i="5"/>
  <c r="AM631" i="5"/>
  <c r="S631" i="5"/>
  <c r="AW630" i="5"/>
  <c r="U630" i="5"/>
  <c r="AM630" i="5"/>
  <c r="S630" i="5"/>
  <c r="AM617" i="5"/>
  <c r="S617" i="5"/>
  <c r="U617" i="5"/>
  <c r="AW617" i="5"/>
  <c r="U639" i="5"/>
  <c r="AW639" i="5"/>
  <c r="AM639" i="5"/>
  <c r="S639" i="5"/>
  <c r="AQ545" i="5"/>
  <c r="AP546" i="5"/>
  <c r="AT663" i="5"/>
  <c r="AT662" i="5"/>
  <c r="AU739" i="5"/>
  <c r="AD739" i="5"/>
  <c r="C549" i="5"/>
  <c r="AT552" i="5" s="1"/>
  <c r="AT554" i="5"/>
  <c r="M353" i="5"/>
  <c r="T353" i="5" s="1"/>
  <c r="T359" i="5"/>
  <c r="M354" i="5"/>
  <c r="T354" i="5" s="1"/>
  <c r="M357" i="5"/>
  <c r="T357" i="5" s="1"/>
  <c r="M355" i="5"/>
  <c r="T355" i="5" s="1"/>
  <c r="C757" i="5"/>
  <c r="C767" i="5" s="1"/>
  <c r="R723" i="5"/>
  <c r="T30" i="5"/>
  <c r="R753" i="5"/>
  <c r="R746" i="5"/>
  <c r="R712" i="5"/>
  <c r="R702" i="5"/>
  <c r="R692" i="5"/>
  <c r="T28" i="5"/>
  <c r="R707" i="5"/>
  <c r="AT122" i="5"/>
  <c r="AT666" i="5" s="1"/>
  <c r="C117" i="5"/>
  <c r="R732" i="5"/>
  <c r="R710" i="5"/>
  <c r="T41" i="5"/>
  <c r="T37" i="5"/>
  <c r="R684" i="5"/>
  <c r="R687" i="5"/>
  <c r="AM42" i="5"/>
  <c r="S42" i="5"/>
  <c r="AW42" i="5"/>
  <c r="U42" i="5"/>
  <c r="K106" i="4"/>
  <c r="I106" i="4" s="1"/>
  <c r="K107" i="4"/>
  <c r="K99" i="4"/>
  <c r="K63" i="4"/>
  <c r="K87" i="4" s="1"/>
  <c r="N4" i="4"/>
  <c r="I3" i="4"/>
  <c r="K72" i="3"/>
  <c r="K107" i="3" s="1"/>
  <c r="K105" i="3"/>
  <c r="N4" i="3"/>
  <c r="I3" i="3"/>
  <c r="K72" i="2"/>
  <c r="K107" i="2" s="1"/>
  <c r="K105" i="2"/>
  <c r="K63" i="2"/>
  <c r="P45" i="13"/>
  <c r="K36" i="7"/>
  <c r="L36" i="7" s="1"/>
  <c r="V5" i="13"/>
  <c r="P27" i="7"/>
  <c r="G28" i="7"/>
  <c r="V30" i="7"/>
  <c r="C30" i="7" s="1"/>
  <c r="J190" i="13"/>
  <c r="L14" i="13"/>
  <c r="P14" i="13" s="1"/>
  <c r="G32" i="7"/>
  <c r="N40" i="7"/>
  <c r="O41" i="7"/>
  <c r="Q42" i="12"/>
  <c r="K38" i="13"/>
  <c r="J205" i="13" s="1"/>
  <c r="K28" i="7"/>
  <c r="P32" i="7"/>
  <c r="J7" i="12"/>
  <c r="L7" i="12" s="1"/>
  <c r="I36" i="12"/>
  <c r="J36" i="12" s="1"/>
  <c r="L36" i="12" s="1"/>
  <c r="P17" i="13"/>
  <c r="F239" i="12"/>
  <c r="H20" i="15"/>
  <c r="AF20" i="15"/>
  <c r="AI20" i="15"/>
  <c r="S20" i="15"/>
  <c r="AJ16" i="15"/>
  <c r="AF24" i="15"/>
  <c r="S24" i="15"/>
  <c r="AH24" i="15" s="1"/>
  <c r="AI24" i="15"/>
  <c r="AJ24" i="15" s="1"/>
  <c r="H24" i="15"/>
  <c r="AI35" i="15"/>
  <c r="H35" i="15"/>
  <c r="AF35" i="15"/>
  <c r="S35" i="15"/>
  <c r="AH35" i="15" s="1"/>
  <c r="AI28" i="15"/>
  <c r="H28" i="15"/>
  <c r="AF28" i="15"/>
  <c r="S28" i="15"/>
  <c r="AH28" i="15" s="1"/>
  <c r="AH14" i="15"/>
  <c r="AJ15" i="15"/>
  <c r="AI32" i="15"/>
  <c r="AF32" i="15"/>
  <c r="S32" i="15"/>
  <c r="AH32" i="15" s="1"/>
  <c r="H32" i="15"/>
  <c r="S17" i="15"/>
  <c r="AH17" i="15" s="1"/>
  <c r="AJ17" i="15" s="1"/>
  <c r="G22" i="15"/>
  <c r="H23" i="15"/>
  <c r="AI23" i="15"/>
  <c r="G26" i="15"/>
  <c r="H27" i="15"/>
  <c r="AI27" i="15"/>
  <c r="G30" i="15"/>
  <c r="H31" i="15"/>
  <c r="AI31" i="15"/>
  <c r="G34" i="15"/>
  <c r="M35" i="15"/>
  <c r="AF37" i="15"/>
  <c r="S37" i="15"/>
  <c r="AH37" i="15" s="1"/>
  <c r="M38" i="15"/>
  <c r="G38" i="15"/>
  <c r="M43" i="15"/>
  <c r="G43" i="15"/>
  <c r="AF45" i="15"/>
  <c r="S45" i="15"/>
  <c r="AH45" i="15" s="1"/>
  <c r="M46" i="15"/>
  <c r="G46" i="15"/>
  <c r="M51" i="15"/>
  <c r="G51" i="15"/>
  <c r="G52" i="15"/>
  <c r="M52" i="15"/>
  <c r="AH66" i="15"/>
  <c r="AJ66" i="15" s="1"/>
  <c r="AF66" i="15"/>
  <c r="AA106" i="15"/>
  <c r="AA121" i="15" s="1"/>
  <c r="AI94" i="15"/>
  <c r="G93" i="15"/>
  <c r="S94" i="15"/>
  <c r="V106" i="15"/>
  <c r="V121" i="15" s="1"/>
  <c r="G21" i="15"/>
  <c r="S23" i="15"/>
  <c r="AH23" i="15" s="1"/>
  <c r="G25" i="15"/>
  <c r="S27" i="15"/>
  <c r="AH27" i="15" s="1"/>
  <c r="G29" i="15"/>
  <c r="S31" i="15"/>
  <c r="AH31" i="15" s="1"/>
  <c r="G33" i="15"/>
  <c r="S36" i="15"/>
  <c r="AH36" i="15" s="1"/>
  <c r="AI36" i="15"/>
  <c r="S40" i="15"/>
  <c r="AH40" i="15" s="1"/>
  <c r="AI40" i="15"/>
  <c r="H40" i="15"/>
  <c r="S48" i="15"/>
  <c r="AH48" i="15" s="1"/>
  <c r="AI48" i="15"/>
  <c r="H48" i="15"/>
  <c r="M58" i="15"/>
  <c r="G58" i="15"/>
  <c r="AF60" i="15"/>
  <c r="S60" i="15"/>
  <c r="AH60" i="15" s="1"/>
  <c r="M61" i="15"/>
  <c r="G61" i="15"/>
  <c r="AI64" i="15"/>
  <c r="G63" i="15"/>
  <c r="AI63" i="15" s="1"/>
  <c r="S75" i="15"/>
  <c r="AI75" i="15"/>
  <c r="S79" i="15"/>
  <c r="AI79" i="15"/>
  <c r="G91" i="15"/>
  <c r="G73" i="15" s="1"/>
  <c r="AI73" i="15" s="1"/>
  <c r="M91" i="15"/>
  <c r="AF114" i="15"/>
  <c r="AI114" i="15"/>
  <c r="N114" i="15"/>
  <c r="Y114" i="15" s="1"/>
  <c r="AH114" i="15" s="1"/>
  <c r="S44" i="15"/>
  <c r="AH44" i="15" s="1"/>
  <c r="AI44" i="15"/>
  <c r="H44" i="15"/>
  <c r="S77" i="15"/>
  <c r="AI77" i="15"/>
  <c r="H14" i="15"/>
  <c r="AI14" i="15"/>
  <c r="AJ14" i="15" s="1"/>
  <c r="H36" i="15"/>
  <c r="AF36" i="15"/>
  <c r="M39" i="15"/>
  <c r="G39" i="15"/>
  <c r="AF41" i="15"/>
  <c r="S41" i="15"/>
  <c r="AH41" i="15" s="1"/>
  <c r="AJ41" i="15" s="1"/>
  <c r="M42" i="15"/>
  <c r="G42" i="15"/>
  <c r="AF44" i="15"/>
  <c r="M47" i="15"/>
  <c r="G47" i="15"/>
  <c r="AF49" i="15"/>
  <c r="S49" i="15"/>
  <c r="AH49" i="15" s="1"/>
  <c r="AJ49" i="15" s="1"/>
  <c r="M50" i="15"/>
  <c r="G50" i="15"/>
  <c r="G55" i="15"/>
  <c r="AI60" i="15"/>
  <c r="AJ60" i="15" s="1"/>
  <c r="AH65" i="15"/>
  <c r="AJ65" i="15" s="1"/>
  <c r="AF65" i="15"/>
  <c r="Y110" i="15"/>
  <c r="Y109" i="15"/>
  <c r="T109" i="15"/>
  <c r="M53" i="15"/>
  <c r="G53" i="15"/>
  <c r="M54" i="15"/>
  <c r="G54" i="15"/>
  <c r="AF56" i="15"/>
  <c r="S56" i="15"/>
  <c r="AH56" i="15" s="1"/>
  <c r="M57" i="15"/>
  <c r="G57" i="15"/>
  <c r="M62" i="15"/>
  <c r="G62" i="15"/>
  <c r="AH64" i="15"/>
  <c r="AF64" i="15"/>
  <c r="S63" i="15"/>
  <c r="Y63" i="15"/>
  <c r="Y18" i="15" s="1"/>
  <c r="Y106" i="15" s="1"/>
  <c r="AE63" i="15"/>
  <c r="AE18" i="15" s="1"/>
  <c r="G70" i="15"/>
  <c r="M70" i="15"/>
  <c r="G71" i="15"/>
  <c r="M71" i="15"/>
  <c r="S74" i="15"/>
  <c r="AI74" i="15"/>
  <c r="S76" i="15"/>
  <c r="AI76" i="15"/>
  <c r="S78" i="15"/>
  <c r="AI78" i="15"/>
  <c r="AH80" i="15"/>
  <c r="AF80" i="15"/>
  <c r="S82" i="15"/>
  <c r="AI82" i="15"/>
  <c r="AH84" i="15"/>
  <c r="AF84" i="15"/>
  <c r="AI84" i="15"/>
  <c r="AC106" i="15"/>
  <c r="AC121" i="15" s="1"/>
  <c r="AF101" i="15"/>
  <c r="H56" i="15"/>
  <c r="AI56" i="15"/>
  <c r="AJ56" i="15" s="1"/>
  <c r="G59" i="15"/>
  <c r="T63" i="15"/>
  <c r="T18" i="15" s="1"/>
  <c r="T106" i="15" s="1"/>
  <c r="T121" i="15" s="1"/>
  <c r="Z63" i="15"/>
  <c r="Z18" i="15" s="1"/>
  <c r="Z106" i="15" s="1"/>
  <c r="Z121" i="15" s="1"/>
  <c r="G69" i="15"/>
  <c r="M69" i="15"/>
  <c r="AI80" i="15"/>
  <c r="AJ80" i="15" s="1"/>
  <c r="AD106" i="15"/>
  <c r="P121" i="15"/>
  <c r="AE106" i="15"/>
  <c r="AE121" i="15" s="1"/>
  <c r="AF95" i="15"/>
  <c r="AH95" i="15"/>
  <c r="AI103" i="15"/>
  <c r="AJ103" i="15" s="1"/>
  <c r="G102" i="15"/>
  <c r="AI102" i="15" s="1"/>
  <c r="AI109" i="15"/>
  <c r="AF109" i="15"/>
  <c r="AF81" i="15"/>
  <c r="AH86" i="15"/>
  <c r="AJ86" i="15" s="1"/>
  <c r="AF86" i="15"/>
  <c r="AH88" i="15"/>
  <c r="AJ88" i="15" s="1"/>
  <c r="AF88" i="15"/>
  <c r="X106" i="15"/>
  <c r="T110" i="15"/>
  <c r="AH108" i="15"/>
  <c r="H117" i="15"/>
  <c r="G72" i="15"/>
  <c r="AI81" i="15"/>
  <c r="AJ81" i="15" s="1"/>
  <c r="S83" i="15"/>
  <c r="AI83" i="15"/>
  <c r="AH90" i="15"/>
  <c r="AJ90" i="15" s="1"/>
  <c r="AF90" i="15"/>
  <c r="G101" i="15"/>
  <c r="AI101" i="15" s="1"/>
  <c r="M101" i="15"/>
  <c r="S105" i="15"/>
  <c r="AI105" i="15"/>
  <c r="G128" i="15"/>
  <c r="P110" i="15"/>
  <c r="N115" i="15"/>
  <c r="Y115" i="15" s="1"/>
  <c r="AH115" i="15" s="1"/>
  <c r="S85" i="15"/>
  <c r="AI85" i="15"/>
  <c r="S87" i="15"/>
  <c r="AI87" i="15"/>
  <c r="S89" i="15"/>
  <c r="AI89" i="15"/>
  <c r="AB106" i="15"/>
  <c r="AB121" i="15" s="1"/>
  <c r="AH101" i="15"/>
  <c r="AH102" i="15"/>
  <c r="G104" i="15"/>
  <c r="AI115" i="15"/>
  <c r="AJ115" i="15" s="1"/>
  <c r="AI95" i="15"/>
  <c r="AJ95" i="15" s="1"/>
  <c r="G100" i="15"/>
  <c r="F108" i="15"/>
  <c r="N108" i="15" s="1"/>
  <c r="N110" i="15" s="1"/>
  <c r="AI108" i="15"/>
  <c r="N113" i="15"/>
  <c r="Z113" i="15" s="1"/>
  <c r="AH113" i="15" s="1"/>
  <c r="AI113" i="15"/>
  <c r="AJ113" i="15" s="1"/>
  <c r="AF116" i="15"/>
  <c r="AF117" i="15"/>
  <c r="N119" i="15"/>
  <c r="Y119" i="15" s="1"/>
  <c r="AH119" i="15" s="1"/>
  <c r="AI119" i="15"/>
  <c r="AF102" i="15"/>
  <c r="O110" i="15"/>
  <c r="N112" i="15"/>
  <c r="Y112" i="15" s="1"/>
  <c r="AH112" i="15" s="1"/>
  <c r="AJ112" i="15" s="1"/>
  <c r="N118" i="15"/>
  <c r="Y118" i="15" s="1"/>
  <c r="AH118" i="15" s="1"/>
  <c r="AJ118" i="15" s="1"/>
  <c r="N111" i="15"/>
  <c r="X111" i="15" s="1"/>
  <c r="AH111" i="15" s="1"/>
  <c r="AI111" i="15"/>
  <c r="N116" i="15"/>
  <c r="Y116" i="15" s="1"/>
  <c r="AH116" i="15" s="1"/>
  <c r="AJ116" i="15" s="1"/>
  <c r="N117" i="15"/>
  <c r="Y117" i="15" s="1"/>
  <c r="AH117" i="15" s="1"/>
  <c r="AJ117" i="15" s="1"/>
  <c r="N9" i="14"/>
  <c r="R9" i="14" s="1"/>
  <c r="R10" i="14"/>
  <c r="I10" i="14"/>
  <c r="R12" i="14"/>
  <c r="I12" i="14"/>
  <c r="R11" i="14"/>
  <c r="I11" i="14"/>
  <c r="Z42" i="14"/>
  <c r="N96" i="14"/>
  <c r="R99" i="14"/>
  <c r="R101" i="14"/>
  <c r="P116" i="14"/>
  <c r="I5" i="14"/>
  <c r="AF87" i="14"/>
  <c r="I28" i="14"/>
  <c r="AB22" i="14"/>
  <c r="Q30" i="14"/>
  <c r="Q32" i="14"/>
  <c r="R32" i="14" s="1"/>
  <c r="G50" i="14"/>
  <c r="G65" i="14"/>
  <c r="N78" i="14"/>
  <c r="O77" i="14"/>
  <c r="Q87" i="14"/>
  <c r="R87" i="14" s="1"/>
  <c r="N94" i="14"/>
  <c r="R94" i="14" s="1"/>
  <c r="P107" i="14"/>
  <c r="P93" i="14"/>
  <c r="P106" i="14" s="1"/>
  <c r="I113" i="14"/>
  <c r="I111" i="14" s="1"/>
  <c r="N111" i="14"/>
  <c r="R111" i="14" s="1"/>
  <c r="R113" i="14"/>
  <c r="R30" i="14"/>
  <c r="AB18" i="14"/>
  <c r="Q34" i="14"/>
  <c r="R82" i="14"/>
  <c r="K82" i="14"/>
  <c r="I90" i="14"/>
  <c r="R90" i="14"/>
  <c r="N104" i="14"/>
  <c r="R104" i="14" s="1"/>
  <c r="O93" i="14"/>
  <c r="O106" i="14" s="1"/>
  <c r="Q4" i="14"/>
  <c r="R4" i="14" s="1"/>
  <c r="M19" i="14"/>
  <c r="M122" i="14" s="1"/>
  <c r="N22" i="14"/>
  <c r="N29" i="14"/>
  <c r="Q33" i="14"/>
  <c r="R33" i="14" s="1"/>
  <c r="G48" i="14"/>
  <c r="G63" i="14"/>
  <c r="G71" i="14"/>
  <c r="R79" i="14"/>
  <c r="N80" i="14"/>
  <c r="R80" i="14" s="1"/>
  <c r="I82" i="14"/>
  <c r="AB16" i="14"/>
  <c r="Q86" i="14"/>
  <c r="R86" i="14" s="1"/>
  <c r="N107" i="14"/>
  <c r="R107" i="14" s="1"/>
  <c r="R97" i="14"/>
  <c r="O28" i="14"/>
  <c r="O19" i="14" s="1"/>
  <c r="O122" i="14" s="1"/>
  <c r="J203" i="13"/>
  <c r="L36" i="13"/>
  <c r="P36" i="13" s="1"/>
  <c r="J189" i="13"/>
  <c r="M11" i="13"/>
  <c r="P11" i="13" s="1"/>
  <c r="J191" i="13"/>
  <c r="L13" i="13"/>
  <c r="P13" i="13" s="1"/>
  <c r="S13" i="13"/>
  <c r="L37" i="13"/>
  <c r="J204" i="13"/>
  <c r="J193" i="13"/>
  <c r="K6" i="13"/>
  <c r="P7" i="13"/>
  <c r="R28" i="13"/>
  <c r="R37" i="13"/>
  <c r="J207" i="13"/>
  <c r="L40" i="13"/>
  <c r="P40" i="13" s="1"/>
  <c r="F148" i="13"/>
  <c r="F149" i="13" s="1"/>
  <c r="F164" i="13"/>
  <c r="K4" i="13"/>
  <c r="F79" i="13"/>
  <c r="F87" i="13"/>
  <c r="F95" i="13"/>
  <c r="F103" i="13"/>
  <c r="F111" i="13"/>
  <c r="F119" i="13"/>
  <c r="F127" i="13"/>
  <c r="F135" i="13"/>
  <c r="J206" i="13"/>
  <c r="L39" i="13"/>
  <c r="P39" i="13" s="1"/>
  <c r="W186" i="13"/>
  <c r="J192" i="13"/>
  <c r="P22" i="13"/>
  <c r="L38" i="13"/>
  <c r="P38" i="13" s="1"/>
  <c r="F153" i="13"/>
  <c r="F156" i="13" s="1"/>
  <c r="F160" i="13"/>
  <c r="F168" i="13"/>
  <c r="N209" i="13"/>
  <c r="O209" i="13"/>
  <c r="H210" i="13"/>
  <c r="I211" i="13"/>
  <c r="I210" i="13" s="1"/>
  <c r="H201" i="13"/>
  <c r="I202" i="13"/>
  <c r="I201" i="13" s="1"/>
  <c r="O215" i="13"/>
  <c r="N215" i="13"/>
  <c r="F216" i="13"/>
  <c r="L229" i="12"/>
  <c r="N19" i="12"/>
  <c r="L232" i="12"/>
  <c r="N21" i="12"/>
  <c r="I218" i="12"/>
  <c r="J33" i="12"/>
  <c r="L33" i="12" s="1"/>
  <c r="L218" i="12" s="1"/>
  <c r="J28" i="12"/>
  <c r="I233" i="12"/>
  <c r="J23" i="12"/>
  <c r="L23" i="12" s="1"/>
  <c r="L233" i="12" s="1"/>
  <c r="I223" i="12"/>
  <c r="J13" i="12"/>
  <c r="L13" i="12" s="1"/>
  <c r="I8" i="12"/>
  <c r="F77" i="12"/>
  <c r="I221" i="12"/>
  <c r="L227" i="12"/>
  <c r="N16" i="12"/>
  <c r="I217" i="12"/>
  <c r="J32" i="12"/>
  <c r="L32" i="12" s="1"/>
  <c r="I6" i="12"/>
  <c r="L11" i="12"/>
  <c r="J15" i="12"/>
  <c r="L15" i="12" s="1"/>
  <c r="N15" i="12" s="1"/>
  <c r="J17" i="12"/>
  <c r="J18" i="12"/>
  <c r="L18" i="12" s="1"/>
  <c r="F90" i="12"/>
  <c r="F98" i="12"/>
  <c r="F106" i="12"/>
  <c r="F114" i="12"/>
  <c r="F122" i="12"/>
  <c r="F130" i="12"/>
  <c r="F138" i="12"/>
  <c r="F169" i="12"/>
  <c r="F188" i="12" s="1"/>
  <c r="F177" i="12"/>
  <c r="N209" i="12"/>
  <c r="H215" i="12"/>
  <c r="I232" i="12"/>
  <c r="I226" i="12"/>
  <c r="L17" i="12"/>
  <c r="L228" i="12" s="1"/>
  <c r="D239" i="12"/>
  <c r="J14" i="12"/>
  <c r="L14" i="12" s="1"/>
  <c r="J22" i="12"/>
  <c r="L22" i="12" s="1"/>
  <c r="N22" i="12" s="1"/>
  <c r="J24" i="12"/>
  <c r="L24" i="12" s="1"/>
  <c r="J25" i="12"/>
  <c r="L25" i="12" s="1"/>
  <c r="J35" i="12"/>
  <c r="L35" i="12" s="1"/>
  <c r="N35" i="12" s="1"/>
  <c r="F94" i="12"/>
  <c r="F102" i="12"/>
  <c r="F110" i="12"/>
  <c r="F118" i="12"/>
  <c r="F126" i="12"/>
  <c r="F134" i="12"/>
  <c r="F142" i="12"/>
  <c r="F173" i="12"/>
  <c r="F181" i="12"/>
  <c r="G227" i="12"/>
  <c r="H227" i="12" s="1"/>
  <c r="V33" i="7"/>
  <c r="C33" i="7" s="1"/>
  <c r="L33" i="7"/>
  <c r="Q33" i="7" s="1"/>
  <c r="U28" i="7"/>
  <c r="K32" i="7"/>
  <c r="U36" i="7"/>
  <c r="P36" i="7"/>
  <c r="C42" i="7"/>
  <c r="B38" i="7"/>
  <c r="B54" i="7" s="1"/>
  <c r="B23" i="7"/>
  <c r="G27" i="7"/>
  <c r="V29" i="7"/>
  <c r="C29" i="7" s="1"/>
  <c r="D41" i="7"/>
  <c r="E26" i="7"/>
  <c r="H26" i="7"/>
  <c r="K26" i="7" s="1"/>
  <c r="D26" i="7"/>
  <c r="R41" i="7"/>
  <c r="R45" i="7" s="1"/>
  <c r="L29" i="7"/>
  <c r="Q29" i="7" s="1"/>
  <c r="L30" i="7"/>
  <c r="Q30" i="7" s="1"/>
  <c r="P6" i="6"/>
  <c r="U6" i="6"/>
  <c r="W6" i="6" s="1"/>
  <c r="C6" i="6" s="1"/>
  <c r="Q6" i="6"/>
  <c r="W7" i="6"/>
  <c r="C7" i="6" s="1"/>
  <c r="J26" i="6"/>
  <c r="J10" i="6"/>
  <c r="R26" i="6"/>
  <c r="U14" i="6"/>
  <c r="R10" i="6"/>
  <c r="E26" i="6"/>
  <c r="V39" i="6"/>
  <c r="W41" i="6"/>
  <c r="C41" i="6" s="1"/>
  <c r="L41" i="6"/>
  <c r="Q41" i="6" s="1"/>
  <c r="X7" i="6"/>
  <c r="D8" i="6"/>
  <c r="H8" i="6"/>
  <c r="T8" i="6"/>
  <c r="X9" i="6"/>
  <c r="X5" i="6" s="1"/>
  <c r="O10" i="6"/>
  <c r="E12" i="6"/>
  <c r="E10" i="6" s="1"/>
  <c r="K13" i="6"/>
  <c r="L13" i="6" s="1"/>
  <c r="F10" i="6"/>
  <c r="P14" i="6"/>
  <c r="M10" i="6"/>
  <c r="S26" i="6"/>
  <c r="S24" i="6" s="1"/>
  <c r="S12" i="6"/>
  <c r="S10" i="6" s="1"/>
  <c r="U18" i="6"/>
  <c r="V18" i="6" s="1"/>
  <c r="K20" i="6"/>
  <c r="W21" i="6"/>
  <c r="B22" i="6"/>
  <c r="T24" i="6"/>
  <c r="T22" i="6" s="1"/>
  <c r="F26" i="6"/>
  <c r="P28" i="6"/>
  <c r="G32" i="6"/>
  <c r="K32" i="6"/>
  <c r="I30" i="6"/>
  <c r="K30" i="6" s="1"/>
  <c r="S37" i="6"/>
  <c r="U37" i="6" s="1"/>
  <c r="V46" i="6"/>
  <c r="W46" i="6"/>
  <c r="C46" i="6" s="1"/>
  <c r="V49" i="6"/>
  <c r="W49" i="6"/>
  <c r="C49" i="6" s="1"/>
  <c r="E8" i="6"/>
  <c r="I8" i="6"/>
  <c r="M8" i="6"/>
  <c r="W16" i="6"/>
  <c r="C16" i="6" s="1"/>
  <c r="AB16" i="6" s="1"/>
  <c r="L16" i="6"/>
  <c r="Q16" i="6" s="1"/>
  <c r="G20" i="6"/>
  <c r="K25" i="6"/>
  <c r="M24" i="6"/>
  <c r="M26" i="6"/>
  <c r="W27" i="6"/>
  <c r="U29" i="6"/>
  <c r="L58" i="6"/>
  <c r="Q58" i="6" s="1"/>
  <c r="W58" i="6"/>
  <c r="F8" i="6"/>
  <c r="J8" i="6"/>
  <c r="N8" i="6"/>
  <c r="I26" i="6"/>
  <c r="I10" i="6"/>
  <c r="D12" i="6"/>
  <c r="H12" i="6"/>
  <c r="L15" i="6"/>
  <c r="P15" i="6"/>
  <c r="L18" i="6"/>
  <c r="Q18" i="6" s="1"/>
  <c r="P19" i="6"/>
  <c r="V19" i="6" s="1"/>
  <c r="N13" i="6"/>
  <c r="U20" i="6"/>
  <c r="N26" i="6"/>
  <c r="Q27" i="6"/>
  <c r="U27" i="6"/>
  <c r="V27" i="6" s="1"/>
  <c r="G34" i="6"/>
  <c r="L38" i="6"/>
  <c r="Q38" i="6" s="1"/>
  <c r="W38" i="6"/>
  <c r="V56" i="6"/>
  <c r="G14" i="6"/>
  <c r="K14" i="6"/>
  <c r="U15" i="6"/>
  <c r="G25" i="6"/>
  <c r="X22" i="6"/>
  <c r="U30" i="6"/>
  <c r="P32" i="6"/>
  <c r="V32" i="6" s="1"/>
  <c r="M30" i="6"/>
  <c r="P30" i="6" s="1"/>
  <c r="P34" i="6"/>
  <c r="V34" i="6" s="1"/>
  <c r="M29" i="6"/>
  <c r="P29" i="6" s="1"/>
  <c r="V29" i="6" s="1"/>
  <c r="K40" i="6"/>
  <c r="W44" i="6"/>
  <c r="C44" i="6" s="1"/>
  <c r="U55" i="6"/>
  <c r="W55" i="6" s="1"/>
  <c r="K56" i="6"/>
  <c r="U16" i="6"/>
  <c r="V16" i="6" s="1"/>
  <c r="K17" i="6"/>
  <c r="W17" i="6" s="1"/>
  <c r="L19" i="6"/>
  <c r="O22" i="6"/>
  <c r="U28" i="6"/>
  <c r="Q31" i="6"/>
  <c r="U31" i="6"/>
  <c r="V31" i="6" s="1"/>
  <c r="Q33" i="6"/>
  <c r="U33" i="6"/>
  <c r="W33" i="6" s="1"/>
  <c r="Y33" i="6" s="1"/>
  <c r="K34" i="6"/>
  <c r="P38" i="6"/>
  <c r="V38" i="6" s="1"/>
  <c r="M37" i="6"/>
  <c r="P37" i="6" s="1"/>
  <c r="Q39" i="6"/>
  <c r="U39" i="6"/>
  <c r="W39" i="6" s="1"/>
  <c r="C39" i="6" s="1"/>
  <c r="G40" i="6"/>
  <c r="L44" i="6"/>
  <c r="Q44" i="6" s="1"/>
  <c r="W45" i="6"/>
  <c r="C45" i="6" s="1"/>
  <c r="L45" i="6"/>
  <c r="Q45" i="6" s="1"/>
  <c r="Q46" i="6"/>
  <c r="W48" i="6"/>
  <c r="V48" i="6"/>
  <c r="G56" i="6"/>
  <c r="V58" i="6"/>
  <c r="D29" i="6"/>
  <c r="G29" i="6" s="1"/>
  <c r="H29" i="6"/>
  <c r="H22" i="6" s="1"/>
  <c r="D30" i="6"/>
  <c r="G30" i="6" s="1"/>
  <c r="D37" i="6"/>
  <c r="G37" i="6" s="1"/>
  <c r="H37" i="6"/>
  <c r="K37" i="6" s="1"/>
  <c r="K26" i="6" l="1"/>
  <c r="AJ119" i="15"/>
  <c r="AJ36" i="15"/>
  <c r="AJ35" i="15"/>
  <c r="K106" i="3"/>
  <c r="AI37" i="15"/>
  <c r="AJ37" i="15" s="1"/>
  <c r="H37" i="15"/>
  <c r="F174" i="13"/>
  <c r="G75" i="14"/>
  <c r="I75" i="14" s="1"/>
  <c r="P75" i="14" s="1"/>
  <c r="AW622" i="5"/>
  <c r="V30" i="6"/>
  <c r="F143" i="13"/>
  <c r="K32" i="13" s="1"/>
  <c r="AJ111" i="15"/>
  <c r="AZ771" i="5"/>
  <c r="V28" i="6"/>
  <c r="G26" i="6"/>
  <c r="I106" i="3"/>
  <c r="Y121" i="15"/>
  <c r="V6" i="6"/>
  <c r="K25" i="13"/>
  <c r="AH63" i="15"/>
  <c r="K87" i="2"/>
  <c r="K108" i="2" s="1"/>
  <c r="AF14" i="15"/>
  <c r="AF17" i="15" s="1"/>
  <c r="AH13" i="15"/>
  <c r="W15" i="6"/>
  <c r="V14" i="6"/>
  <c r="F146" i="12"/>
  <c r="I27" i="12" s="1"/>
  <c r="AJ108" i="15"/>
  <c r="AD109" i="15"/>
  <c r="AD110" i="15" s="1"/>
  <c r="AF63" i="15"/>
  <c r="AJ45" i="15"/>
  <c r="AJ23" i="15"/>
  <c r="AJ32" i="15"/>
  <c r="AI45" i="15"/>
  <c r="H45" i="15"/>
  <c r="O71" i="8"/>
  <c r="R13" i="8"/>
  <c r="R3" i="8"/>
  <c r="E70" i="8"/>
  <c r="E71" i="8"/>
  <c r="C68" i="8"/>
  <c r="D75" i="8"/>
  <c r="I13" i="8"/>
  <c r="H13" i="8" s="1"/>
  <c r="H68" i="8" s="1"/>
  <c r="L32" i="7"/>
  <c r="Q32" i="7" s="1"/>
  <c r="J34" i="12"/>
  <c r="L34" i="12" s="1"/>
  <c r="L220" i="12" s="1"/>
  <c r="R209" i="13"/>
  <c r="BB648" i="5"/>
  <c r="BD648" i="5"/>
  <c r="AT670" i="5"/>
  <c r="AT669" i="5"/>
  <c r="AW30" i="5"/>
  <c r="AM30" i="5"/>
  <c r="S30" i="5"/>
  <c r="U30" i="5"/>
  <c r="U355" i="5"/>
  <c r="AW355" i="5"/>
  <c r="AM355" i="5"/>
  <c r="S355" i="5"/>
  <c r="U353" i="5"/>
  <c r="AW353" i="5"/>
  <c r="AM353" i="5"/>
  <c r="S353" i="5"/>
  <c r="AT630" i="5"/>
  <c r="X630" i="5"/>
  <c r="AQ630" i="5" s="1"/>
  <c r="X631" i="5"/>
  <c r="AQ631" i="5" s="1"/>
  <c r="AT631" i="5"/>
  <c r="AT777" i="5"/>
  <c r="U29" i="5"/>
  <c r="AW29" i="5"/>
  <c r="AM29" i="5"/>
  <c r="S29" i="5"/>
  <c r="X638" i="5"/>
  <c r="AQ638" i="5" s="1"/>
  <c r="AT638" i="5"/>
  <c r="U634" i="5"/>
  <c r="AT627" i="5"/>
  <c r="X627" i="5"/>
  <c r="AT577" i="5"/>
  <c r="X577" i="5"/>
  <c r="AQ577" i="5" s="1"/>
  <c r="U43" i="5"/>
  <c r="AM43" i="5"/>
  <c r="S43" i="5"/>
  <c r="AW43" i="5"/>
  <c r="M711" i="5"/>
  <c r="T711" i="5" s="1"/>
  <c r="S711" i="5" s="1"/>
  <c r="T59" i="5"/>
  <c r="T81" i="5"/>
  <c r="T90" i="5"/>
  <c r="T72" i="5"/>
  <c r="M753" i="5"/>
  <c r="T753" i="5" s="1"/>
  <c r="S753" i="5" s="1"/>
  <c r="T101" i="5"/>
  <c r="T74" i="5"/>
  <c r="T50" i="5"/>
  <c r="M713" i="5"/>
  <c r="T713" i="5" s="1"/>
  <c r="S713" i="5" s="1"/>
  <c r="T61" i="5"/>
  <c r="U160" i="5"/>
  <c r="AW160" i="5"/>
  <c r="AM160" i="5"/>
  <c r="S160" i="5"/>
  <c r="U378" i="5"/>
  <c r="AW378" i="5"/>
  <c r="S378" i="5"/>
  <c r="AM378" i="5"/>
  <c r="U211" i="5"/>
  <c r="AW211" i="5"/>
  <c r="S211" i="5"/>
  <c r="AM211" i="5"/>
  <c r="T92" i="5"/>
  <c r="AW167" i="5"/>
  <c r="AM167" i="5"/>
  <c r="S167" i="5"/>
  <c r="U167" i="5"/>
  <c r="S278" i="5"/>
  <c r="AW278" i="5"/>
  <c r="U278" i="5"/>
  <c r="AM278" i="5"/>
  <c r="S166" i="5"/>
  <c r="AW166" i="5"/>
  <c r="U166" i="5"/>
  <c r="AM166" i="5"/>
  <c r="AW317" i="5"/>
  <c r="AM317" i="5"/>
  <c r="S317" i="5"/>
  <c r="U317" i="5"/>
  <c r="U383" i="5"/>
  <c r="AW383" i="5"/>
  <c r="AM383" i="5"/>
  <c r="S383" i="5"/>
  <c r="AW493" i="5"/>
  <c r="U493" i="5"/>
  <c r="AM493" i="5"/>
  <c r="S493" i="5"/>
  <c r="AW379" i="5"/>
  <c r="AM379" i="5"/>
  <c r="S379" i="5"/>
  <c r="U379" i="5"/>
  <c r="AW484" i="5"/>
  <c r="AM484" i="5"/>
  <c r="S484" i="5"/>
  <c r="U484" i="5"/>
  <c r="S490" i="5"/>
  <c r="AW490" i="5"/>
  <c r="U490" i="5"/>
  <c r="AM490" i="5"/>
  <c r="AM599" i="5"/>
  <c r="U599" i="5"/>
  <c r="S599" i="5"/>
  <c r="AW599" i="5"/>
  <c r="AM598" i="5"/>
  <c r="S598" i="5"/>
  <c r="U598" i="5"/>
  <c r="AW598" i="5"/>
  <c r="AW36" i="5"/>
  <c r="U36" i="5"/>
  <c r="AM36" i="5"/>
  <c r="S36" i="5"/>
  <c r="M251" i="5"/>
  <c r="M248" i="5"/>
  <c r="AW525" i="5"/>
  <c r="U525" i="5"/>
  <c r="AM525" i="5"/>
  <c r="S525" i="5"/>
  <c r="U469" i="5"/>
  <c r="AW469" i="5"/>
  <c r="AM469" i="5"/>
  <c r="S469" i="5"/>
  <c r="AW466" i="5"/>
  <c r="AM466" i="5"/>
  <c r="S466" i="5"/>
  <c r="U466" i="5"/>
  <c r="U514" i="5"/>
  <c r="S514" i="5"/>
  <c r="AW514" i="5"/>
  <c r="AM514" i="5"/>
  <c r="AM508" i="5"/>
  <c r="S508" i="5"/>
  <c r="U508" i="5"/>
  <c r="AW508" i="5"/>
  <c r="AW506" i="5"/>
  <c r="AM506" i="5"/>
  <c r="S506" i="5"/>
  <c r="U506" i="5"/>
  <c r="U532" i="5"/>
  <c r="AW532" i="5"/>
  <c r="AM532" i="5"/>
  <c r="S532" i="5"/>
  <c r="U533" i="5"/>
  <c r="AW533" i="5"/>
  <c r="AM533" i="5"/>
  <c r="S533" i="5"/>
  <c r="AQ542" i="5"/>
  <c r="AQ546" i="5" s="1"/>
  <c r="X546" i="5"/>
  <c r="AT629" i="5"/>
  <c r="X629" i="5"/>
  <c r="AQ629" i="5" s="1"/>
  <c r="AT608" i="5"/>
  <c r="X608" i="5"/>
  <c r="U615" i="5"/>
  <c r="AT580" i="5"/>
  <c r="X580" i="5"/>
  <c r="AQ580" i="5" s="1"/>
  <c r="AQ647" i="5"/>
  <c r="AQ651" i="5" s="1"/>
  <c r="X651" i="5"/>
  <c r="M684" i="5"/>
  <c r="T684" i="5" s="1"/>
  <c r="S684" i="5" s="1"/>
  <c r="AM40" i="5"/>
  <c r="S40" i="5"/>
  <c r="AW40" i="5"/>
  <c r="U40" i="5"/>
  <c r="AW415" i="5"/>
  <c r="U415" i="5"/>
  <c r="S415" i="5"/>
  <c r="AM415" i="5"/>
  <c r="AW405" i="5"/>
  <c r="U405" i="5"/>
  <c r="AM405" i="5"/>
  <c r="S405" i="5"/>
  <c r="AW387" i="5"/>
  <c r="U387" i="5"/>
  <c r="AM387" i="5"/>
  <c r="S387" i="5"/>
  <c r="U398" i="5"/>
  <c r="AW398" i="5"/>
  <c r="S398" i="5"/>
  <c r="AM398" i="5"/>
  <c r="AM363" i="5"/>
  <c r="S363" i="5"/>
  <c r="U363" i="5"/>
  <c r="AW363" i="5"/>
  <c r="AW399" i="5"/>
  <c r="U399" i="5"/>
  <c r="S399" i="5"/>
  <c r="AM399" i="5"/>
  <c r="AW397" i="5"/>
  <c r="AM397" i="5"/>
  <c r="S397" i="5"/>
  <c r="U397" i="5"/>
  <c r="S396" i="5"/>
  <c r="AW396" i="5"/>
  <c r="AM396" i="5"/>
  <c r="U396" i="5"/>
  <c r="AT610" i="5"/>
  <c r="X610" i="5"/>
  <c r="AQ610" i="5" s="1"/>
  <c r="AM642" i="5"/>
  <c r="AT578" i="5"/>
  <c r="X578" i="5"/>
  <c r="AQ578" i="5" s="1"/>
  <c r="U570" i="5"/>
  <c r="AW570" i="5"/>
  <c r="AM570" i="5"/>
  <c r="S570" i="5"/>
  <c r="BA649" i="5"/>
  <c r="BC649" i="5" s="1"/>
  <c r="AS649" i="5"/>
  <c r="AT42" i="5"/>
  <c r="X42" i="5"/>
  <c r="AQ42" i="5" s="1"/>
  <c r="U41" i="5"/>
  <c r="AW41" i="5"/>
  <c r="AM41" i="5"/>
  <c r="S41" i="5"/>
  <c r="U28" i="5"/>
  <c r="AT28" i="5"/>
  <c r="AW28" i="5"/>
  <c r="AM28" i="5"/>
  <c r="S28" i="5"/>
  <c r="AT558" i="5"/>
  <c r="AT557" i="5"/>
  <c r="AT639" i="5"/>
  <c r="AA639" i="5"/>
  <c r="AA642" i="5" s="1"/>
  <c r="AA644" i="5" s="1"/>
  <c r="X639" i="5"/>
  <c r="AM622" i="5"/>
  <c r="X619" i="5"/>
  <c r="AQ619" i="5" s="1"/>
  <c r="AT619" i="5"/>
  <c r="AT579" i="5"/>
  <c r="X579" i="5"/>
  <c r="AQ579" i="5" s="1"/>
  <c r="BB650" i="5"/>
  <c r="BD650" i="5"/>
  <c r="AP640" i="5"/>
  <c r="AP642" i="5" s="1"/>
  <c r="AP644" i="5" s="1"/>
  <c r="AT640" i="5"/>
  <c r="X640" i="5"/>
  <c r="AT611" i="5"/>
  <c r="X611" i="5"/>
  <c r="AQ611" i="5" s="1"/>
  <c r="AT601" i="5"/>
  <c r="AP601" i="5"/>
  <c r="X601" i="5"/>
  <c r="BB543" i="5"/>
  <c r="BJ543" i="5"/>
  <c r="BD543" i="5"/>
  <c r="X609" i="5"/>
  <c r="AT609" i="5"/>
  <c r="AA609" i="5"/>
  <c r="M703" i="5"/>
  <c r="T703" i="5" s="1"/>
  <c r="S703" i="5" s="1"/>
  <c r="T51" i="5"/>
  <c r="M714" i="5"/>
  <c r="T714" i="5" s="1"/>
  <c r="S714" i="5" s="1"/>
  <c r="T62" i="5"/>
  <c r="T83" i="5"/>
  <c r="AM168" i="5"/>
  <c r="U168" i="5"/>
  <c r="S168" i="5"/>
  <c r="AW168" i="5"/>
  <c r="T80" i="5"/>
  <c r="M754" i="5"/>
  <c r="T754" i="5" s="1"/>
  <c r="S754" i="5" s="1"/>
  <c r="T102" i="5"/>
  <c r="U162" i="5"/>
  <c r="AW162" i="5"/>
  <c r="S162" i="5"/>
  <c r="AM162" i="5"/>
  <c r="M704" i="5"/>
  <c r="T704" i="5" s="1"/>
  <c r="S704" i="5" s="1"/>
  <c r="T52" i="5"/>
  <c r="T64" i="5"/>
  <c r="AW170" i="5"/>
  <c r="AM170" i="5"/>
  <c r="U170" i="5"/>
  <c r="S170" i="5"/>
  <c r="U589" i="5"/>
  <c r="AW589" i="5"/>
  <c r="S589" i="5"/>
  <c r="AM589" i="5"/>
  <c r="U275" i="5"/>
  <c r="AW275" i="5"/>
  <c r="AM275" i="5"/>
  <c r="S275" i="5"/>
  <c r="AW159" i="5"/>
  <c r="AM159" i="5"/>
  <c r="S159" i="5"/>
  <c r="U159" i="5"/>
  <c r="AW268" i="5"/>
  <c r="AM268" i="5"/>
  <c r="S268" i="5"/>
  <c r="U268" i="5"/>
  <c r="T76" i="5"/>
  <c r="AW208" i="5"/>
  <c r="AM208" i="5"/>
  <c r="S208" i="5"/>
  <c r="U208" i="5"/>
  <c r="S318" i="5"/>
  <c r="AM318" i="5"/>
  <c r="U318" i="5"/>
  <c r="AW318" i="5"/>
  <c r="AW492" i="5"/>
  <c r="AM492" i="5"/>
  <c r="U492" i="5"/>
  <c r="S492" i="5"/>
  <c r="AW316" i="5"/>
  <c r="AM316" i="5"/>
  <c r="S316" i="5"/>
  <c r="U316" i="5"/>
  <c r="S384" i="5"/>
  <c r="AW384" i="5"/>
  <c r="AM384" i="5"/>
  <c r="U384" i="5"/>
  <c r="AW486" i="5"/>
  <c r="AM486" i="5"/>
  <c r="S486" i="5"/>
  <c r="U486" i="5"/>
  <c r="S494" i="5"/>
  <c r="AW494" i="5"/>
  <c r="AM494" i="5"/>
  <c r="U494" i="5"/>
  <c r="AW588" i="5"/>
  <c r="AM588" i="5"/>
  <c r="S588" i="5"/>
  <c r="U588" i="5"/>
  <c r="AM591" i="5"/>
  <c r="S591" i="5"/>
  <c r="U591" i="5"/>
  <c r="AW591" i="5"/>
  <c r="M244" i="5"/>
  <c r="T136" i="5"/>
  <c r="M463" i="5"/>
  <c r="T463" i="5" s="1"/>
  <c r="M461" i="5"/>
  <c r="T461" i="5" s="1"/>
  <c r="T467" i="5"/>
  <c r="M462" i="5"/>
  <c r="T462" i="5" s="1"/>
  <c r="M465" i="5"/>
  <c r="T465" i="5" s="1"/>
  <c r="U471" i="5"/>
  <c r="AW471" i="5"/>
  <c r="AM471" i="5"/>
  <c r="S471" i="5"/>
  <c r="AW468" i="5"/>
  <c r="AM468" i="5"/>
  <c r="S468" i="5"/>
  <c r="U468" i="5"/>
  <c r="AM470" i="5"/>
  <c r="S470" i="5"/>
  <c r="U470" i="5"/>
  <c r="AW470" i="5"/>
  <c r="AW513" i="5"/>
  <c r="U513" i="5"/>
  <c r="AM513" i="5"/>
  <c r="S513" i="5"/>
  <c r="AM512" i="5"/>
  <c r="S512" i="5"/>
  <c r="AW512" i="5"/>
  <c r="U512" i="5"/>
  <c r="AW497" i="5"/>
  <c r="AM497" i="5"/>
  <c r="S497" i="5"/>
  <c r="U497" i="5"/>
  <c r="U534" i="5"/>
  <c r="AW534" i="5"/>
  <c r="AM534" i="5"/>
  <c r="S534" i="5"/>
  <c r="AS573" i="5"/>
  <c r="BA573" i="5"/>
  <c r="BC573" i="5" s="1"/>
  <c r="X628" i="5"/>
  <c r="AQ628" i="5" s="1"/>
  <c r="AT628" i="5"/>
  <c r="AT571" i="5"/>
  <c r="X571" i="5"/>
  <c r="AQ571" i="5" s="1"/>
  <c r="BC545" i="5"/>
  <c r="T651" i="5"/>
  <c r="U424" i="5"/>
  <c r="S424" i="5"/>
  <c r="AW424" i="5"/>
  <c r="AM424" i="5"/>
  <c r="U362" i="5"/>
  <c r="AW362" i="5"/>
  <c r="AM362" i="5"/>
  <c r="S362" i="5"/>
  <c r="U389" i="5"/>
  <c r="AW389" i="5"/>
  <c r="AM389" i="5"/>
  <c r="S389" i="5"/>
  <c r="AM356" i="5"/>
  <c r="S356" i="5"/>
  <c r="AW356" i="5"/>
  <c r="U356" i="5"/>
  <c r="AM365" i="5"/>
  <c r="S365" i="5"/>
  <c r="U365" i="5"/>
  <c r="AW365" i="5"/>
  <c r="U404" i="5"/>
  <c r="AM404" i="5"/>
  <c r="S404" i="5"/>
  <c r="AW404" i="5"/>
  <c r="AW414" i="5"/>
  <c r="AM414" i="5"/>
  <c r="S414" i="5"/>
  <c r="U414" i="5"/>
  <c r="AW400" i="5"/>
  <c r="AM400" i="5"/>
  <c r="S400" i="5"/>
  <c r="U400" i="5"/>
  <c r="BA544" i="5"/>
  <c r="BC544" i="5" s="1"/>
  <c r="AS544" i="5"/>
  <c r="AW642" i="5"/>
  <c r="AT612" i="5"/>
  <c r="AA612" i="5"/>
  <c r="X612" i="5"/>
  <c r="X600" i="5"/>
  <c r="AT600" i="5"/>
  <c r="AP600" i="5"/>
  <c r="AW567" i="5"/>
  <c r="AM567" i="5"/>
  <c r="S567" i="5"/>
  <c r="U567" i="5"/>
  <c r="U357" i="5"/>
  <c r="AW357" i="5"/>
  <c r="AM357" i="5"/>
  <c r="S357" i="5"/>
  <c r="C768" i="5"/>
  <c r="BS669" i="5"/>
  <c r="AT120" i="5"/>
  <c r="AT664" i="5" s="1"/>
  <c r="AW354" i="5"/>
  <c r="AM354" i="5"/>
  <c r="S354" i="5"/>
  <c r="U354" i="5"/>
  <c r="U33" i="5"/>
  <c r="AW33" i="5"/>
  <c r="AM33" i="5"/>
  <c r="S33" i="5"/>
  <c r="AS587" i="5"/>
  <c r="BA587" i="5"/>
  <c r="AM634" i="5"/>
  <c r="AT574" i="5"/>
  <c r="X574" i="5"/>
  <c r="AQ574" i="5" s="1"/>
  <c r="AT613" i="5"/>
  <c r="X613" i="5"/>
  <c r="AQ613" i="5" s="1"/>
  <c r="M705" i="5"/>
  <c r="T705" i="5" s="1"/>
  <c r="S705" i="5" s="1"/>
  <c r="T53" i="5"/>
  <c r="T63" i="5"/>
  <c r="T94" i="5"/>
  <c r="U35" i="5"/>
  <c r="AM35" i="5"/>
  <c r="S35" i="5"/>
  <c r="T82" i="5"/>
  <c r="AW209" i="5"/>
  <c r="AM209" i="5"/>
  <c r="S209" i="5"/>
  <c r="U209" i="5"/>
  <c r="U269" i="5"/>
  <c r="AW269" i="5"/>
  <c r="S269" i="5"/>
  <c r="AM269" i="5"/>
  <c r="M706" i="5"/>
  <c r="T706" i="5" s="1"/>
  <c r="S706" i="5" s="1"/>
  <c r="T54" i="5"/>
  <c r="T65" i="5"/>
  <c r="U267" i="5"/>
  <c r="AW267" i="5"/>
  <c r="AM267" i="5"/>
  <c r="S267" i="5"/>
  <c r="M755" i="5"/>
  <c r="T755" i="5" s="1"/>
  <c r="S755" i="5" s="1"/>
  <c r="T103" i="5"/>
  <c r="U483" i="5"/>
  <c r="AW483" i="5"/>
  <c r="AM483" i="5"/>
  <c r="S483" i="5"/>
  <c r="AW161" i="5"/>
  <c r="AM161" i="5"/>
  <c r="S161" i="5"/>
  <c r="U161" i="5"/>
  <c r="AW270" i="5"/>
  <c r="AM270" i="5"/>
  <c r="S270" i="5"/>
  <c r="U270" i="5"/>
  <c r="T91" i="5"/>
  <c r="S276" i="5"/>
  <c r="AW276" i="5"/>
  <c r="AM276" i="5"/>
  <c r="U276" i="5"/>
  <c r="U319" i="5"/>
  <c r="AM319" i="5"/>
  <c r="AW319" i="5"/>
  <c r="S319" i="5"/>
  <c r="AW382" i="5"/>
  <c r="U382" i="5"/>
  <c r="AM382" i="5"/>
  <c r="S382" i="5"/>
  <c r="AW375" i="5"/>
  <c r="AM375" i="5"/>
  <c r="S375" i="5"/>
  <c r="U375" i="5"/>
  <c r="AM385" i="5"/>
  <c r="S385" i="5"/>
  <c r="U385" i="5"/>
  <c r="AW385" i="5"/>
  <c r="AW491" i="5"/>
  <c r="AM491" i="5"/>
  <c r="S491" i="5"/>
  <c r="U491" i="5"/>
  <c r="AW592" i="5"/>
  <c r="U592" i="5"/>
  <c r="AM592" i="5"/>
  <c r="S592" i="5"/>
  <c r="AW590" i="5"/>
  <c r="S590" i="5"/>
  <c r="U590" i="5"/>
  <c r="U31" i="5"/>
  <c r="AM31" i="5"/>
  <c r="S31" i="5"/>
  <c r="AW31" i="5"/>
  <c r="M221" i="5"/>
  <c r="M220" i="5"/>
  <c r="M201" i="5"/>
  <c r="T201" i="5" s="1"/>
  <c r="M198" i="5"/>
  <c r="T198" i="5" s="1"/>
  <c r="M188" i="5"/>
  <c r="T188" i="5" s="1"/>
  <c r="M183" i="5"/>
  <c r="T183" i="5" s="1"/>
  <c r="T143" i="5"/>
  <c r="M138" i="5"/>
  <c r="M202" i="5"/>
  <c r="T202" i="5" s="1"/>
  <c r="M190" i="5"/>
  <c r="T190" i="5" s="1"/>
  <c r="M189" i="5"/>
  <c r="T189" i="5" s="1"/>
  <c r="M184" i="5"/>
  <c r="T184" i="5" s="1"/>
  <c r="M180" i="5"/>
  <c r="T180" i="5" s="1"/>
  <c r="M172" i="5"/>
  <c r="T172" i="5" s="1"/>
  <c r="M150" i="5"/>
  <c r="M148" i="5"/>
  <c r="M146" i="5"/>
  <c r="M141" i="5"/>
  <c r="M219" i="5"/>
  <c r="M218" i="5"/>
  <c r="M199" i="5"/>
  <c r="T199" i="5" s="1"/>
  <c r="M181" i="5"/>
  <c r="T181" i="5" s="1"/>
  <c r="M144" i="5"/>
  <c r="M139" i="5"/>
  <c r="M200" i="5"/>
  <c r="T200" i="5" s="1"/>
  <c r="M171" i="5"/>
  <c r="T171" i="5" s="1"/>
  <c r="M158" i="5"/>
  <c r="T158" i="5" s="1"/>
  <c r="M151" i="5"/>
  <c r="T151" i="5" s="1"/>
  <c r="M149" i="5"/>
  <c r="M147" i="5"/>
  <c r="M145" i="5"/>
  <c r="M142" i="5"/>
  <c r="T142" i="5" s="1"/>
  <c r="M137" i="5"/>
  <c r="M179" i="5"/>
  <c r="T179" i="5" s="1"/>
  <c r="M173" i="5"/>
  <c r="T173" i="5" s="1"/>
  <c r="M191" i="5"/>
  <c r="T191" i="5" s="1"/>
  <c r="M182" i="5"/>
  <c r="T182" i="5" s="1"/>
  <c r="AM38" i="5"/>
  <c r="S38" i="5"/>
  <c r="AW38" i="5"/>
  <c r="U38" i="5"/>
  <c r="AM495" i="5"/>
  <c r="S495" i="5"/>
  <c r="AW495" i="5"/>
  <c r="U495" i="5"/>
  <c r="AW507" i="5"/>
  <c r="U507" i="5"/>
  <c r="AM507" i="5"/>
  <c r="S507" i="5"/>
  <c r="U473" i="5"/>
  <c r="AW473" i="5"/>
  <c r="AM473" i="5"/>
  <c r="S473" i="5"/>
  <c r="AW482" i="5"/>
  <c r="AM482" i="5"/>
  <c r="S482" i="5"/>
  <c r="U482" i="5"/>
  <c r="AM472" i="5"/>
  <c r="S472" i="5"/>
  <c r="U472" i="5"/>
  <c r="AW472" i="5"/>
  <c r="U496" i="5"/>
  <c r="AM496" i="5"/>
  <c r="S496" i="5"/>
  <c r="U515" i="5"/>
  <c r="AW515" i="5"/>
  <c r="AM515" i="5"/>
  <c r="S515" i="5"/>
  <c r="AM505" i="5"/>
  <c r="S505" i="5"/>
  <c r="U505" i="5"/>
  <c r="AW505" i="5"/>
  <c r="S526" i="5"/>
  <c r="AW526" i="5"/>
  <c r="U526" i="5"/>
  <c r="AM526" i="5"/>
  <c r="AM615" i="5"/>
  <c r="AT618" i="5"/>
  <c r="AA618" i="5"/>
  <c r="X618" i="5"/>
  <c r="AQ618" i="5" s="1"/>
  <c r="U406" i="5"/>
  <c r="AW406" i="5"/>
  <c r="AM406" i="5"/>
  <c r="S406" i="5"/>
  <c r="U364" i="5"/>
  <c r="AW364" i="5"/>
  <c r="AM364" i="5"/>
  <c r="S364" i="5"/>
  <c r="U395" i="5"/>
  <c r="AW395" i="5"/>
  <c r="AW402" i="5" s="1"/>
  <c r="AM395" i="5"/>
  <c r="S395" i="5"/>
  <c r="AM358" i="5"/>
  <c r="S358" i="5"/>
  <c r="U358" i="5"/>
  <c r="AW358" i="5"/>
  <c r="AW367" i="5"/>
  <c r="AM367" i="5"/>
  <c r="S367" i="5"/>
  <c r="U367" i="5"/>
  <c r="U425" i="5"/>
  <c r="S425" i="5"/>
  <c r="AW425" i="5"/>
  <c r="AM425" i="5"/>
  <c r="AM417" i="5"/>
  <c r="S417" i="5"/>
  <c r="AW417" i="5"/>
  <c r="U417" i="5"/>
  <c r="AM407" i="5"/>
  <c r="S407" i="5"/>
  <c r="U407" i="5"/>
  <c r="AW407" i="5"/>
  <c r="U642" i="5"/>
  <c r="T642" i="5" s="1"/>
  <c r="X637" i="5"/>
  <c r="AT637" i="5"/>
  <c r="U572" i="5"/>
  <c r="AW572" i="5"/>
  <c r="AM572" i="5"/>
  <c r="S572" i="5"/>
  <c r="U37" i="5"/>
  <c r="AW37" i="5"/>
  <c r="AM37" i="5"/>
  <c r="S37" i="5"/>
  <c r="AT125" i="5"/>
  <c r="AT126" i="5"/>
  <c r="U359" i="5"/>
  <c r="AW359" i="5"/>
  <c r="AM359" i="5"/>
  <c r="S359" i="5"/>
  <c r="U622" i="5"/>
  <c r="T622" i="5" s="1"/>
  <c r="AT617" i="5"/>
  <c r="AA617" i="5"/>
  <c r="AA622" i="5" s="1"/>
  <c r="X617" i="5"/>
  <c r="AT576" i="5"/>
  <c r="X576" i="5"/>
  <c r="AQ576" i="5" s="1"/>
  <c r="AQ587" i="5"/>
  <c r="AW634" i="5"/>
  <c r="M707" i="5"/>
  <c r="T707" i="5" s="1"/>
  <c r="S707" i="5" s="1"/>
  <c r="T55" i="5"/>
  <c r="T73" i="5"/>
  <c r="T71" i="5"/>
  <c r="M710" i="5"/>
  <c r="T710" i="5" s="1"/>
  <c r="S710" i="5" s="1"/>
  <c r="T58" i="5"/>
  <c r="T93" i="5"/>
  <c r="S210" i="5"/>
  <c r="U210" i="5"/>
  <c r="AW210" i="5"/>
  <c r="AM210" i="5"/>
  <c r="T34" i="5"/>
  <c r="M712" i="5"/>
  <c r="T712" i="5" s="1"/>
  <c r="S712" i="5" s="1"/>
  <c r="T60" i="5"/>
  <c r="T75" i="5"/>
  <c r="U271" i="5"/>
  <c r="AW271" i="5"/>
  <c r="AM271" i="5"/>
  <c r="S271" i="5"/>
  <c r="AW169" i="5"/>
  <c r="U169" i="5"/>
  <c r="AM169" i="5"/>
  <c r="S169" i="5"/>
  <c r="U487" i="5"/>
  <c r="AM487" i="5"/>
  <c r="S487" i="5"/>
  <c r="AW163" i="5"/>
  <c r="AM163" i="5"/>
  <c r="S163" i="5"/>
  <c r="U163" i="5"/>
  <c r="AM274" i="5"/>
  <c r="S274" i="5"/>
  <c r="AW274" i="5"/>
  <c r="U274" i="5"/>
  <c r="M752" i="5"/>
  <c r="T752" i="5" s="1"/>
  <c r="S752" i="5" s="1"/>
  <c r="T100" i="5"/>
  <c r="S277" i="5"/>
  <c r="AW277" i="5"/>
  <c r="U277" i="5"/>
  <c r="AM277" i="5"/>
  <c r="U376" i="5"/>
  <c r="AW376" i="5"/>
  <c r="AM376" i="5"/>
  <c r="S376" i="5"/>
  <c r="AM386" i="5"/>
  <c r="U386" i="5"/>
  <c r="S386" i="5"/>
  <c r="AW386" i="5"/>
  <c r="AW377" i="5"/>
  <c r="AM377" i="5"/>
  <c r="S377" i="5"/>
  <c r="U377" i="5"/>
  <c r="U485" i="5"/>
  <c r="AW485" i="5"/>
  <c r="S485" i="5"/>
  <c r="AM485" i="5"/>
  <c r="U596" i="5"/>
  <c r="AW596" i="5"/>
  <c r="AM596" i="5"/>
  <c r="S596" i="5"/>
  <c r="AW595" i="5"/>
  <c r="U595" i="5"/>
  <c r="AM595" i="5"/>
  <c r="S595" i="5"/>
  <c r="S597" i="5"/>
  <c r="AW597" i="5"/>
  <c r="U597" i="5"/>
  <c r="AM597" i="5"/>
  <c r="U39" i="5"/>
  <c r="AW39" i="5"/>
  <c r="AM39" i="5"/>
  <c r="S39" i="5"/>
  <c r="S140" i="5"/>
  <c r="AW140" i="5"/>
  <c r="U140" i="5"/>
  <c r="AM140" i="5"/>
  <c r="U522" i="5"/>
  <c r="AW522" i="5"/>
  <c r="AM522" i="5"/>
  <c r="S522" i="5"/>
  <c r="AW464" i="5"/>
  <c r="U464" i="5"/>
  <c r="AM464" i="5"/>
  <c r="S464" i="5"/>
  <c r="U475" i="5"/>
  <c r="AW475" i="5"/>
  <c r="AM475" i="5"/>
  <c r="S475" i="5"/>
  <c r="AW504" i="5"/>
  <c r="U504" i="5"/>
  <c r="S504" i="5"/>
  <c r="AM504" i="5"/>
  <c r="AM474" i="5"/>
  <c r="S474" i="5"/>
  <c r="U474" i="5"/>
  <c r="AW474" i="5"/>
  <c r="AW503" i="5"/>
  <c r="AW510" i="5" s="1"/>
  <c r="AM503" i="5"/>
  <c r="S503" i="5"/>
  <c r="U503" i="5"/>
  <c r="U524" i="5"/>
  <c r="AW524" i="5"/>
  <c r="AM524" i="5"/>
  <c r="S524" i="5"/>
  <c r="AM523" i="5"/>
  <c r="S523" i="5"/>
  <c r="U523" i="5"/>
  <c r="AW523" i="5"/>
  <c r="AW535" i="5"/>
  <c r="AM535" i="5"/>
  <c r="S535" i="5"/>
  <c r="U535" i="5"/>
  <c r="BA542" i="5"/>
  <c r="AT546" i="5"/>
  <c r="AS542" i="5"/>
  <c r="AS546" i="5" s="1"/>
  <c r="AW615" i="5"/>
  <c r="X602" i="5"/>
  <c r="AQ602" i="5" s="1"/>
  <c r="AT602" i="5"/>
  <c r="AT575" i="5"/>
  <c r="X575" i="5"/>
  <c r="AQ575" i="5" s="1"/>
  <c r="BA647" i="5"/>
  <c r="AT651" i="5"/>
  <c r="AS647" i="5"/>
  <c r="AS651" i="5" s="1"/>
  <c r="AM32" i="5"/>
  <c r="S32" i="5"/>
  <c r="AW32" i="5"/>
  <c r="U32" i="5"/>
  <c r="U360" i="5"/>
  <c r="AW360" i="5"/>
  <c r="AM360" i="5"/>
  <c r="S360" i="5"/>
  <c r="U374" i="5"/>
  <c r="AW374" i="5"/>
  <c r="AW380" i="5" s="1"/>
  <c r="AM374" i="5"/>
  <c r="S374" i="5"/>
  <c r="U366" i="5"/>
  <c r="AW366" i="5"/>
  <c r="AM366" i="5"/>
  <c r="S366" i="5"/>
  <c r="U418" i="5"/>
  <c r="AM418" i="5"/>
  <c r="AW418" i="5"/>
  <c r="S418" i="5"/>
  <c r="AM361" i="5"/>
  <c r="S361" i="5"/>
  <c r="U361" i="5"/>
  <c r="AW361" i="5"/>
  <c r="AM388" i="5"/>
  <c r="S388" i="5"/>
  <c r="U388" i="5"/>
  <c r="AW388" i="5"/>
  <c r="U426" i="5"/>
  <c r="AW426" i="5"/>
  <c r="AM426" i="5"/>
  <c r="S426" i="5"/>
  <c r="U427" i="5"/>
  <c r="AW427" i="5"/>
  <c r="AM427" i="5"/>
  <c r="S427" i="5"/>
  <c r="AM416" i="5"/>
  <c r="S416" i="5"/>
  <c r="U416" i="5"/>
  <c r="AW416" i="5"/>
  <c r="AT620" i="5"/>
  <c r="X620" i="5"/>
  <c r="AQ620" i="5" s="1"/>
  <c r="AT569" i="5"/>
  <c r="X569" i="5"/>
  <c r="AQ569" i="5" s="1"/>
  <c r="U568" i="5"/>
  <c r="AW568" i="5"/>
  <c r="AM568" i="5"/>
  <c r="S568" i="5"/>
  <c r="U566" i="5"/>
  <c r="AW566" i="5"/>
  <c r="AM566" i="5"/>
  <c r="S566" i="5"/>
  <c r="K108" i="4"/>
  <c r="K87" i="3"/>
  <c r="K108" i="3" s="1"/>
  <c r="J4" i="2"/>
  <c r="N5" i="2"/>
  <c r="K106" i="2"/>
  <c r="I106" i="2" s="1"/>
  <c r="L28" i="7"/>
  <c r="Q28" i="7" s="1"/>
  <c r="V28" i="7"/>
  <c r="C28" i="7" s="1"/>
  <c r="L6" i="13"/>
  <c r="L213" i="12"/>
  <c r="N7" i="12"/>
  <c r="O40" i="7"/>
  <c r="F26" i="7"/>
  <c r="G26" i="7" s="1"/>
  <c r="H239" i="12"/>
  <c r="H216" i="13"/>
  <c r="AI100" i="15"/>
  <c r="AJ100" i="15" s="1"/>
  <c r="H100" i="15"/>
  <c r="AH89" i="15"/>
  <c r="AJ89" i="15" s="1"/>
  <c r="AF89" i="15"/>
  <c r="AH85" i="15"/>
  <c r="AF85" i="15"/>
  <c r="AJ82" i="15"/>
  <c r="AH77" i="15"/>
  <c r="AF77" i="15"/>
  <c r="AH79" i="15"/>
  <c r="AJ79" i="15" s="1"/>
  <c r="AF79" i="15"/>
  <c r="AJ63" i="15"/>
  <c r="AI29" i="15"/>
  <c r="H29" i="15"/>
  <c r="S29" i="15"/>
  <c r="AH29" i="15" s="1"/>
  <c r="AF29" i="15"/>
  <c r="AI21" i="15"/>
  <c r="H21" i="15"/>
  <c r="S21" i="15"/>
  <c r="AH21" i="15" s="1"/>
  <c r="AF21" i="15"/>
  <c r="AI93" i="15"/>
  <c r="G92" i="15"/>
  <c r="AI92" i="15" s="1"/>
  <c r="S51" i="15"/>
  <c r="AH51" i="15" s="1"/>
  <c r="H51" i="15"/>
  <c r="AI51" i="15"/>
  <c r="AF51" i="15"/>
  <c r="AF38" i="15"/>
  <c r="AI38" i="15"/>
  <c r="H38" i="15"/>
  <c r="S38" i="15"/>
  <c r="AH38" i="15" s="1"/>
  <c r="S30" i="15"/>
  <c r="AH30" i="15" s="1"/>
  <c r="AF30" i="15"/>
  <c r="AI30" i="15"/>
  <c r="H30" i="15"/>
  <c r="AF105" i="15"/>
  <c r="AF104" i="15" s="1"/>
  <c r="S104" i="15"/>
  <c r="AH104" i="15" s="1"/>
  <c r="AH105" i="15"/>
  <c r="U72" i="15"/>
  <c r="AI72" i="15"/>
  <c r="AJ102" i="15"/>
  <c r="AD121" i="15"/>
  <c r="AJ84" i="15"/>
  <c r="AH82" i="15"/>
  <c r="AF82" i="15"/>
  <c r="AH78" i="15"/>
  <c r="AF78" i="15"/>
  <c r="AH74" i="15"/>
  <c r="AJ74" i="15" s="1"/>
  <c r="S73" i="15"/>
  <c r="AH73" i="15" s="1"/>
  <c r="AF74" i="15"/>
  <c r="AI70" i="15"/>
  <c r="S70" i="15"/>
  <c r="AF57" i="15"/>
  <c r="S57" i="15"/>
  <c r="AH57" i="15" s="1"/>
  <c r="H57" i="15"/>
  <c r="AI57" i="15"/>
  <c r="AJ57" i="15" s="1"/>
  <c r="AI54" i="15"/>
  <c r="AJ54" i="15" s="1"/>
  <c r="H54" i="15"/>
  <c r="AF54" i="15"/>
  <c r="S54" i="15"/>
  <c r="AH54" i="15" s="1"/>
  <c r="S55" i="15"/>
  <c r="AH55" i="15" s="1"/>
  <c r="AI55" i="15"/>
  <c r="H55" i="15"/>
  <c r="AF55" i="15"/>
  <c r="AF42" i="15"/>
  <c r="S42" i="15"/>
  <c r="AH42" i="15" s="1"/>
  <c r="AI42" i="15"/>
  <c r="H42" i="15"/>
  <c r="AI39" i="15"/>
  <c r="H39" i="15"/>
  <c r="S39" i="15"/>
  <c r="AH39" i="15" s="1"/>
  <c r="AF39" i="15"/>
  <c r="AJ73" i="15"/>
  <c r="AJ64" i="15"/>
  <c r="AJ48" i="15"/>
  <c r="AJ40" i="15"/>
  <c r="H34" i="15"/>
  <c r="AF34" i="15"/>
  <c r="S34" i="15"/>
  <c r="AH34" i="15" s="1"/>
  <c r="AI34" i="15"/>
  <c r="AJ27" i="15"/>
  <c r="G19" i="15"/>
  <c r="AF50" i="15"/>
  <c r="AI50" i="15"/>
  <c r="H50" i="15"/>
  <c r="S50" i="15"/>
  <c r="AH50" i="15" s="1"/>
  <c r="AI47" i="15"/>
  <c r="AJ47" i="15" s="1"/>
  <c r="H47" i="15"/>
  <c r="S47" i="15"/>
  <c r="AH47" i="15" s="1"/>
  <c r="AF47" i="15"/>
  <c r="AJ114" i="15"/>
  <c r="S91" i="15"/>
  <c r="AI91" i="15"/>
  <c r="AF61" i="15"/>
  <c r="AI61" i="15"/>
  <c r="S61" i="15"/>
  <c r="AH61" i="15" s="1"/>
  <c r="AI58" i="15"/>
  <c r="H58" i="15"/>
  <c r="AF58" i="15"/>
  <c r="S58" i="15"/>
  <c r="AH58" i="15" s="1"/>
  <c r="AI33" i="15"/>
  <c r="H33" i="15"/>
  <c r="S33" i="15"/>
  <c r="AH33" i="15" s="1"/>
  <c r="AF33" i="15"/>
  <c r="AI25" i="15"/>
  <c r="AJ25" i="15" s="1"/>
  <c r="H25" i="15"/>
  <c r="S25" i="15"/>
  <c r="AH25" i="15" s="1"/>
  <c r="AF25" i="15"/>
  <c r="AF46" i="15"/>
  <c r="AI46" i="15"/>
  <c r="H46" i="15"/>
  <c r="S46" i="15"/>
  <c r="AH46" i="15" s="1"/>
  <c r="AI43" i="15"/>
  <c r="AJ43" i="15" s="1"/>
  <c r="H43" i="15"/>
  <c r="AF43" i="15"/>
  <c r="S43" i="15"/>
  <c r="AH43" i="15" s="1"/>
  <c r="AJ31" i="15"/>
  <c r="S22" i="15"/>
  <c r="AH22" i="15" s="1"/>
  <c r="AI22" i="15"/>
  <c r="H22" i="15"/>
  <c r="AF22" i="15"/>
  <c r="AH20" i="15"/>
  <c r="AJ105" i="15"/>
  <c r="AI69" i="15"/>
  <c r="G68" i="15"/>
  <c r="AI68" i="15" s="1"/>
  <c r="S69" i="15"/>
  <c r="AJ78" i="15"/>
  <c r="AH110" i="15"/>
  <c r="AH87" i="15"/>
  <c r="AJ87" i="15" s="1"/>
  <c r="AF87" i="15"/>
  <c r="AI104" i="15"/>
  <c r="AJ104" i="15" s="1"/>
  <c r="AJ85" i="15"/>
  <c r="AJ101" i="15"/>
  <c r="AH83" i="15"/>
  <c r="AJ83" i="15" s="1"/>
  <c r="AF83" i="15"/>
  <c r="X121" i="15"/>
  <c r="S59" i="15"/>
  <c r="AH59" i="15" s="1"/>
  <c r="AI59" i="15"/>
  <c r="H59" i="15"/>
  <c r="AF59" i="15"/>
  <c r="AH76" i="15"/>
  <c r="AJ76" i="15" s="1"/>
  <c r="AF76" i="15"/>
  <c r="AI71" i="15"/>
  <c r="S71" i="15"/>
  <c r="AI62" i="15"/>
  <c r="AJ62" i="15" s="1"/>
  <c r="S62" i="15"/>
  <c r="AH62" i="15" s="1"/>
  <c r="AF62" i="15"/>
  <c r="AI53" i="15"/>
  <c r="AF53" i="15"/>
  <c r="S53" i="15"/>
  <c r="AH53" i="15" s="1"/>
  <c r="H53" i="15"/>
  <c r="AJ77" i="15"/>
  <c r="AJ44" i="15"/>
  <c r="AH75" i="15"/>
  <c r="AJ75" i="15" s="1"/>
  <c r="AF75" i="15"/>
  <c r="AH94" i="15"/>
  <c r="AJ94" i="15" s="1"/>
  <c r="S93" i="15"/>
  <c r="AF94" i="15"/>
  <c r="AF93" i="15" s="1"/>
  <c r="AF92" i="15" s="1"/>
  <c r="AF52" i="15"/>
  <c r="AI52" i="15"/>
  <c r="AJ52" i="15" s="1"/>
  <c r="H52" i="15"/>
  <c r="S52" i="15"/>
  <c r="AH52" i="15" s="1"/>
  <c r="S26" i="15"/>
  <c r="AH26" i="15" s="1"/>
  <c r="AI26" i="15"/>
  <c r="H26" i="15"/>
  <c r="AF26" i="15"/>
  <c r="AJ28" i="15"/>
  <c r="AJ20" i="15"/>
  <c r="N75" i="14"/>
  <c r="R75" i="14" s="1"/>
  <c r="AE34" i="14"/>
  <c r="R96" i="14"/>
  <c r="N95" i="14"/>
  <c r="R95" i="14" s="1"/>
  <c r="N93" i="14"/>
  <c r="N3" i="14"/>
  <c r="R78" i="14"/>
  <c r="I78" i="14"/>
  <c r="N77" i="14"/>
  <c r="P114" i="14"/>
  <c r="P19" i="14" s="1"/>
  <c r="P122" i="14" s="1"/>
  <c r="N116" i="14"/>
  <c r="I9" i="14"/>
  <c r="N28" i="14"/>
  <c r="Q29" i="14"/>
  <c r="Q28" i="14" s="1"/>
  <c r="Q5" i="14"/>
  <c r="R5" i="14" s="1"/>
  <c r="W41" i="14"/>
  <c r="L25" i="13"/>
  <c r="J195" i="13"/>
  <c r="K24" i="13"/>
  <c r="J196" i="13"/>
  <c r="L32" i="13"/>
  <c r="P32" i="13" s="1"/>
  <c r="J185" i="13"/>
  <c r="M6" i="13"/>
  <c r="R215" i="13"/>
  <c r="I216" i="13"/>
  <c r="L221" i="12"/>
  <c r="N36" i="12"/>
  <c r="I224" i="12"/>
  <c r="J27" i="12"/>
  <c r="L27" i="12" s="1"/>
  <c r="N34" i="12"/>
  <c r="G239" i="12"/>
  <c r="L217" i="12"/>
  <c r="L219" i="12"/>
  <c r="L226" i="12"/>
  <c r="N14" i="12"/>
  <c r="I29" i="12"/>
  <c r="I26" i="12" s="1"/>
  <c r="L235" i="12"/>
  <c r="L230" i="12"/>
  <c r="N25" i="12"/>
  <c r="L223" i="12"/>
  <c r="N13" i="12"/>
  <c r="L231" i="12"/>
  <c r="L234" i="12"/>
  <c r="N24" i="12"/>
  <c r="L222" i="12"/>
  <c r="N11" i="12"/>
  <c r="I212" i="12"/>
  <c r="L28" i="12"/>
  <c r="V32" i="7"/>
  <c r="C32" i="7" s="1"/>
  <c r="Q36" i="7"/>
  <c r="L27" i="7"/>
  <c r="Q27" i="7" s="1"/>
  <c r="V27" i="7"/>
  <c r="V36" i="7"/>
  <c r="C15" i="6"/>
  <c r="Y15" i="6"/>
  <c r="C17" i="6"/>
  <c r="AB17" i="6" s="1"/>
  <c r="Y17" i="6"/>
  <c r="L26" i="6"/>
  <c r="L37" i="6"/>
  <c r="Q37" i="6" s="1"/>
  <c r="W37" i="6"/>
  <c r="C37" i="6" s="1"/>
  <c r="V37" i="6"/>
  <c r="W28" i="6"/>
  <c r="Q19" i="6"/>
  <c r="W31" i="6"/>
  <c r="W25" i="6"/>
  <c r="L25" i="6"/>
  <c r="Q25" i="6" s="1"/>
  <c r="L34" i="6"/>
  <c r="Q34" i="6" s="1"/>
  <c r="W34" i="6"/>
  <c r="Y34" i="6" s="1"/>
  <c r="N24" i="6"/>
  <c r="N22" i="6"/>
  <c r="G12" i="6"/>
  <c r="D10" i="6"/>
  <c r="P26" i="6"/>
  <c r="M22" i="6"/>
  <c r="W20" i="6"/>
  <c r="L20" i="6"/>
  <c r="Q20" i="6" s="1"/>
  <c r="P8" i="6"/>
  <c r="F24" i="6"/>
  <c r="F22" i="6" s="1"/>
  <c r="V33" i="6"/>
  <c r="L17" i="6"/>
  <c r="Q17" i="6" s="1"/>
  <c r="U8" i="6"/>
  <c r="D22" i="6"/>
  <c r="J24" i="6"/>
  <c r="J22" i="6" s="1"/>
  <c r="L30" i="6"/>
  <c r="Q30" i="6" s="1"/>
  <c r="W30" i="6"/>
  <c r="L56" i="6"/>
  <c r="Q56" i="6" s="1"/>
  <c r="W56" i="6"/>
  <c r="L40" i="6"/>
  <c r="Q40" i="6" s="1"/>
  <c r="W40" i="6"/>
  <c r="C40" i="6" s="1"/>
  <c r="V55" i="6"/>
  <c r="K29" i="6"/>
  <c r="L29" i="6" s="1"/>
  <c r="Q29" i="6" s="1"/>
  <c r="V15" i="6"/>
  <c r="P24" i="6"/>
  <c r="W18" i="6"/>
  <c r="Y16" i="6"/>
  <c r="K8" i="6"/>
  <c r="S22" i="6"/>
  <c r="R24" i="6"/>
  <c r="U24" i="6" s="1"/>
  <c r="U26" i="6"/>
  <c r="L14" i="6"/>
  <c r="Q14" i="6" s="1"/>
  <c r="W14" i="6"/>
  <c r="K12" i="6"/>
  <c r="K10" i="6" s="1"/>
  <c r="H10" i="6"/>
  <c r="Y27" i="6"/>
  <c r="C27" i="6"/>
  <c r="R9" i="6"/>
  <c r="M9" i="6"/>
  <c r="M11" i="6" s="1"/>
  <c r="M4" i="6" s="1"/>
  <c r="I9" i="6"/>
  <c r="I11" i="6" s="1"/>
  <c r="I4" i="6" s="1"/>
  <c r="E9" i="6"/>
  <c r="E11" i="6" s="1"/>
  <c r="E4" i="6" s="1"/>
  <c r="T9" i="6"/>
  <c r="T11" i="6" s="1"/>
  <c r="T4" i="6" s="1"/>
  <c r="N9" i="6"/>
  <c r="N11" i="6" s="1"/>
  <c r="H9" i="6"/>
  <c r="H11" i="6" s="1"/>
  <c r="S9" i="6"/>
  <c r="S11" i="6" s="1"/>
  <c r="S4" i="6" s="1"/>
  <c r="F9" i="6"/>
  <c r="F11" i="6" s="1"/>
  <c r="F4" i="6" s="1"/>
  <c r="O9" i="6"/>
  <c r="O11" i="6" s="1"/>
  <c r="O4" i="6" s="1"/>
  <c r="J9" i="6"/>
  <c r="J11" i="6" s="1"/>
  <c r="J4" i="6" s="1"/>
  <c r="D9" i="6"/>
  <c r="E24" i="6"/>
  <c r="G24" i="6" s="1"/>
  <c r="Q28" i="6"/>
  <c r="X38" i="6"/>
  <c r="C38" i="6"/>
  <c r="P13" i="6"/>
  <c r="V13" i="6" s="1"/>
  <c r="N12" i="6"/>
  <c r="P12" i="6" s="1"/>
  <c r="V12" i="6" s="1"/>
  <c r="Q15" i="6"/>
  <c r="I22" i="6"/>
  <c r="I24" i="6"/>
  <c r="K24" i="6" s="1"/>
  <c r="L32" i="6"/>
  <c r="Q32" i="6" s="1"/>
  <c r="W32" i="6"/>
  <c r="Y32" i="6" s="1"/>
  <c r="W19" i="6"/>
  <c r="D11" i="6"/>
  <c r="G8" i="6"/>
  <c r="L8" i="6" s="1"/>
  <c r="U12" i="6"/>
  <c r="U10" i="6" s="1"/>
  <c r="G9" i="6" l="1"/>
  <c r="V26" i="6"/>
  <c r="AJ30" i="15"/>
  <c r="AF19" i="15"/>
  <c r="AH109" i="15"/>
  <c r="AJ109" i="15" s="1"/>
  <c r="AJ34" i="15"/>
  <c r="W13" i="6"/>
  <c r="AJ46" i="15"/>
  <c r="Q8" i="6"/>
  <c r="E22" i="6"/>
  <c r="H4" i="6"/>
  <c r="AJ26" i="15"/>
  <c r="AJ53" i="15"/>
  <c r="AJ33" i="15"/>
  <c r="AJ39" i="15"/>
  <c r="W8" i="6"/>
  <c r="C70" i="8"/>
  <c r="C71" i="8" s="1"/>
  <c r="I68" i="8"/>
  <c r="H75" i="8"/>
  <c r="H70" i="8"/>
  <c r="AP604" i="5"/>
  <c r="AM517" i="5"/>
  <c r="AM604" i="5"/>
  <c r="AQ639" i="5"/>
  <c r="AM755" i="5"/>
  <c r="AM380" i="5"/>
  <c r="AM510" i="5"/>
  <c r="AQ600" i="5"/>
  <c r="BA651" i="5"/>
  <c r="BC647" i="5"/>
  <c r="AT524" i="5"/>
  <c r="X524" i="5"/>
  <c r="AQ524" i="5" s="1"/>
  <c r="X522" i="5"/>
  <c r="U529" i="5"/>
  <c r="AT522" i="5"/>
  <c r="X596" i="5"/>
  <c r="AQ596" i="5" s="1"/>
  <c r="AA596" i="5"/>
  <c r="AT596" i="5"/>
  <c r="AT169" i="5"/>
  <c r="AA169" i="5"/>
  <c r="X169" i="5"/>
  <c r="AW93" i="5"/>
  <c r="U93" i="5"/>
  <c r="AM93" i="5"/>
  <c r="S93" i="5"/>
  <c r="AT417" i="5"/>
  <c r="X417" i="5"/>
  <c r="AQ417" i="5" s="1"/>
  <c r="AT367" i="5"/>
  <c r="X367" i="5"/>
  <c r="AQ367" i="5" s="1"/>
  <c r="AT472" i="5"/>
  <c r="X472" i="5"/>
  <c r="AQ472" i="5" s="1"/>
  <c r="AM151" i="5"/>
  <c r="S151" i="5"/>
  <c r="U151" i="5"/>
  <c r="AW151" i="5"/>
  <c r="T139" i="5"/>
  <c r="T218" i="5"/>
  <c r="T148" i="5"/>
  <c r="AM198" i="5"/>
  <c r="S198" i="5"/>
  <c r="U198" i="5"/>
  <c r="AW198" i="5"/>
  <c r="AT590" i="5"/>
  <c r="X590" i="5"/>
  <c r="AQ590" i="5" s="1"/>
  <c r="AT385" i="5"/>
  <c r="AA385" i="5"/>
  <c r="X385" i="5"/>
  <c r="AM391" i="5"/>
  <c r="X483" i="5"/>
  <c r="AQ483" i="5" s="1"/>
  <c r="AT483" i="5"/>
  <c r="AW94" i="5"/>
  <c r="U94" i="5"/>
  <c r="AM94" i="5"/>
  <c r="S94" i="5"/>
  <c r="U53" i="5"/>
  <c r="AW53" i="5"/>
  <c r="AW705" i="5" s="1"/>
  <c r="AM53" i="5"/>
  <c r="AM705" i="5" s="1"/>
  <c r="S53" i="5"/>
  <c r="AT365" i="5"/>
  <c r="X365" i="5"/>
  <c r="AQ365" i="5" s="1"/>
  <c r="AW429" i="5"/>
  <c r="AS628" i="5"/>
  <c r="BA628" i="5"/>
  <c r="BC628" i="5" s="1"/>
  <c r="AT497" i="5"/>
  <c r="X497" i="5"/>
  <c r="AQ497" i="5" s="1"/>
  <c r="U517" i="5"/>
  <c r="T517" i="5" s="1"/>
  <c r="AT512" i="5"/>
  <c r="AA512" i="5"/>
  <c r="X512" i="5"/>
  <c r="AT468" i="5"/>
  <c r="X468" i="5"/>
  <c r="AQ468" i="5" s="1"/>
  <c r="U465" i="5"/>
  <c r="AW465" i="5"/>
  <c r="AM465" i="5"/>
  <c r="S465" i="5"/>
  <c r="AM463" i="5"/>
  <c r="S463" i="5"/>
  <c r="U463" i="5"/>
  <c r="AW463" i="5"/>
  <c r="AT591" i="5"/>
  <c r="X591" i="5"/>
  <c r="AQ591" i="5" s="1"/>
  <c r="X492" i="5"/>
  <c r="AT492" i="5"/>
  <c r="AA492" i="5"/>
  <c r="AT318" i="5"/>
  <c r="AA318" i="5"/>
  <c r="AA321" i="5" s="1"/>
  <c r="AA323" i="5" s="1"/>
  <c r="X318" i="5"/>
  <c r="AT275" i="5"/>
  <c r="AA275" i="5"/>
  <c r="X275" i="5"/>
  <c r="X589" i="5"/>
  <c r="AQ589" i="5" s="1"/>
  <c r="AT589" i="5"/>
  <c r="X162" i="5"/>
  <c r="AQ162" i="5" s="1"/>
  <c r="AT162" i="5"/>
  <c r="BA609" i="5"/>
  <c r="AS609" i="5"/>
  <c r="BA579" i="5"/>
  <c r="BC579" i="5" s="1"/>
  <c r="AS579" i="5"/>
  <c r="AS28" i="5"/>
  <c r="BA28" i="5"/>
  <c r="AS578" i="5"/>
  <c r="BA578" i="5"/>
  <c r="BC578" i="5" s="1"/>
  <c r="AA396" i="5"/>
  <c r="X396" i="5"/>
  <c r="AT396" i="5"/>
  <c r="AT397" i="5"/>
  <c r="X397" i="5"/>
  <c r="AQ397" i="5" s="1"/>
  <c r="AT40" i="5"/>
  <c r="X40" i="5"/>
  <c r="AQ40" i="5" s="1"/>
  <c r="AT615" i="5"/>
  <c r="BA608" i="5"/>
  <c r="AS608" i="5"/>
  <c r="AT533" i="5"/>
  <c r="X533" i="5"/>
  <c r="AQ533" i="5" s="1"/>
  <c r="U537" i="5"/>
  <c r="T537" i="5" s="1"/>
  <c r="AT532" i="5"/>
  <c r="X532" i="5"/>
  <c r="X514" i="5"/>
  <c r="AQ514" i="5" s="1"/>
  <c r="AT514" i="5"/>
  <c r="AT469" i="5"/>
  <c r="X469" i="5"/>
  <c r="AQ469" i="5" s="1"/>
  <c r="AT598" i="5"/>
  <c r="AA598" i="5"/>
  <c r="X598" i="5"/>
  <c r="U499" i="5"/>
  <c r="T499" i="5" s="1"/>
  <c r="AA490" i="5"/>
  <c r="X490" i="5"/>
  <c r="AT490" i="5"/>
  <c r="AA166" i="5"/>
  <c r="X166" i="5"/>
  <c r="AT166" i="5"/>
  <c r="AA278" i="5"/>
  <c r="X278" i="5"/>
  <c r="AT278" i="5"/>
  <c r="X211" i="5"/>
  <c r="AP211" i="5"/>
  <c r="AP213" i="5" s="1"/>
  <c r="AP215" i="5" s="1"/>
  <c r="AT211" i="5"/>
  <c r="X378" i="5"/>
  <c r="AQ378" i="5" s="1"/>
  <c r="AT378" i="5"/>
  <c r="X160" i="5"/>
  <c r="AQ160" i="5" s="1"/>
  <c r="AT160" i="5"/>
  <c r="X43" i="5"/>
  <c r="AQ43" i="5" s="1"/>
  <c r="AT43" i="5"/>
  <c r="BA627" i="5"/>
  <c r="AT634" i="5"/>
  <c r="AS627" i="5"/>
  <c r="AS630" i="5"/>
  <c r="BA630" i="5"/>
  <c r="BC630" i="5" s="1"/>
  <c r="X353" i="5"/>
  <c r="AQ353" i="5" s="1"/>
  <c r="AT353" i="5"/>
  <c r="X355" i="5"/>
  <c r="AQ355" i="5" s="1"/>
  <c r="AT355" i="5"/>
  <c r="AT361" i="5"/>
  <c r="X361" i="5"/>
  <c r="AQ361" i="5" s="1"/>
  <c r="X475" i="5"/>
  <c r="AQ475" i="5" s="1"/>
  <c r="AT475" i="5"/>
  <c r="AW604" i="5"/>
  <c r="U55" i="5"/>
  <c r="AM55" i="5"/>
  <c r="AM707" i="5" s="1"/>
  <c r="S55" i="5"/>
  <c r="X37" i="5"/>
  <c r="AQ37" i="5" s="1"/>
  <c r="AT37" i="5"/>
  <c r="U142" i="5"/>
  <c r="AW142" i="5"/>
  <c r="AM142" i="5"/>
  <c r="S142" i="5"/>
  <c r="U184" i="5"/>
  <c r="AW184" i="5"/>
  <c r="AM184" i="5"/>
  <c r="S184" i="5"/>
  <c r="T138" i="5"/>
  <c r="X566" i="5"/>
  <c r="AQ566" i="5" s="1"/>
  <c r="AT566" i="5"/>
  <c r="X568" i="5"/>
  <c r="AQ568" i="5" s="1"/>
  <c r="AT568" i="5"/>
  <c r="AS620" i="5"/>
  <c r="BA620" i="5"/>
  <c r="BC620" i="5" s="1"/>
  <c r="AP427" i="5"/>
  <c r="AP429" i="5" s="1"/>
  <c r="AP431" i="5" s="1"/>
  <c r="AT427" i="5"/>
  <c r="X427" i="5"/>
  <c r="X426" i="5"/>
  <c r="AT426" i="5"/>
  <c r="AA426" i="5"/>
  <c r="AA429" i="5" s="1"/>
  <c r="AA431" i="5" s="1"/>
  <c r="AT418" i="5"/>
  <c r="X418" i="5"/>
  <c r="AQ418" i="5" s="1"/>
  <c r="AT366" i="5"/>
  <c r="X366" i="5"/>
  <c r="AQ366" i="5" s="1"/>
  <c r="X374" i="5"/>
  <c r="U380" i="5"/>
  <c r="AT374" i="5"/>
  <c r="X360" i="5"/>
  <c r="AQ360" i="5" s="1"/>
  <c r="AT360" i="5"/>
  <c r="AP535" i="5"/>
  <c r="AP537" i="5" s="1"/>
  <c r="AP539" i="5" s="1"/>
  <c r="AT535" i="5"/>
  <c r="X535" i="5"/>
  <c r="AQ535" i="5" s="1"/>
  <c r="AT503" i="5"/>
  <c r="U510" i="5"/>
  <c r="T510" i="5" s="1"/>
  <c r="X503" i="5"/>
  <c r="AT377" i="5"/>
  <c r="X377" i="5"/>
  <c r="AQ377" i="5" s="1"/>
  <c r="AW100" i="5"/>
  <c r="AM100" i="5"/>
  <c r="S100" i="5"/>
  <c r="U100" i="5"/>
  <c r="X487" i="5"/>
  <c r="AT487" i="5"/>
  <c r="AA487" i="5"/>
  <c r="AA488" i="5" s="1"/>
  <c r="X271" i="5"/>
  <c r="AQ271" i="5" s="1"/>
  <c r="AT271" i="5"/>
  <c r="AS617" i="5"/>
  <c r="AT622" i="5"/>
  <c r="BA617" i="5"/>
  <c r="AS637" i="5"/>
  <c r="BA637" i="5"/>
  <c r="AT642" i="5"/>
  <c r="AT407" i="5"/>
  <c r="X407" i="5"/>
  <c r="AQ407" i="5" s="1"/>
  <c r="AT358" i="5"/>
  <c r="X358" i="5"/>
  <c r="AQ358" i="5" s="1"/>
  <c r="AM402" i="5"/>
  <c r="X526" i="5"/>
  <c r="AQ526" i="5" s="1"/>
  <c r="AT526" i="5"/>
  <c r="AT505" i="5"/>
  <c r="X505" i="5"/>
  <c r="AQ505" i="5" s="1"/>
  <c r="AM488" i="5"/>
  <c r="AT507" i="5"/>
  <c r="AA507" i="5"/>
  <c r="X507" i="5"/>
  <c r="U173" i="5"/>
  <c r="AW173" i="5"/>
  <c r="AM173" i="5"/>
  <c r="S173" i="5"/>
  <c r="T145" i="5"/>
  <c r="U158" i="5"/>
  <c r="AW158" i="5"/>
  <c r="AW164" i="5" s="1"/>
  <c r="AM158" i="5"/>
  <c r="AM164" i="5" s="1"/>
  <c r="S158" i="5"/>
  <c r="T144" i="5"/>
  <c r="T219" i="5"/>
  <c r="T150" i="5"/>
  <c r="AM189" i="5"/>
  <c r="S189" i="5"/>
  <c r="U189" i="5"/>
  <c r="AW189" i="5"/>
  <c r="AW143" i="5"/>
  <c r="AM143" i="5"/>
  <c r="S143" i="5"/>
  <c r="U143" i="5"/>
  <c r="S201" i="5"/>
  <c r="AW201" i="5"/>
  <c r="U201" i="5"/>
  <c r="AM201" i="5"/>
  <c r="AT592" i="5"/>
  <c r="AA592" i="5"/>
  <c r="AA593" i="5" s="1"/>
  <c r="X592" i="5"/>
  <c r="AT382" i="5"/>
  <c r="AA382" i="5"/>
  <c r="U391" i="5"/>
  <c r="T391" i="5" s="1"/>
  <c r="X382" i="5"/>
  <c r="AT270" i="5"/>
  <c r="X270" i="5"/>
  <c r="AQ270" i="5" s="1"/>
  <c r="AT161" i="5"/>
  <c r="X161" i="5"/>
  <c r="AQ161" i="5" s="1"/>
  <c r="U103" i="5"/>
  <c r="AW103" i="5"/>
  <c r="AW755" i="5" s="1"/>
  <c r="S103" i="5"/>
  <c r="AM54" i="5"/>
  <c r="AM706" i="5" s="1"/>
  <c r="S54" i="5"/>
  <c r="AW54" i="5"/>
  <c r="AW706" i="5" s="1"/>
  <c r="U54" i="5"/>
  <c r="AS574" i="5"/>
  <c r="BA574" i="5"/>
  <c r="BC574" i="5" s="1"/>
  <c r="X33" i="5"/>
  <c r="AQ33" i="5" s="1"/>
  <c r="AT33" i="5"/>
  <c r="AT357" i="5"/>
  <c r="X357" i="5"/>
  <c r="AQ357" i="5" s="1"/>
  <c r="AQ612" i="5"/>
  <c r="AM421" i="5"/>
  <c r="AM409" i="5"/>
  <c r="BB545" i="5"/>
  <c r="BJ545" i="5"/>
  <c r="BD545" i="5"/>
  <c r="AW517" i="5"/>
  <c r="AT470" i="5"/>
  <c r="X470" i="5"/>
  <c r="AQ470" i="5" s="1"/>
  <c r="U462" i="5"/>
  <c r="AW462" i="5"/>
  <c r="AM462" i="5"/>
  <c r="S462" i="5"/>
  <c r="AW136" i="5"/>
  <c r="U136" i="5"/>
  <c r="S136" i="5"/>
  <c r="AM136" i="5"/>
  <c r="AM593" i="5"/>
  <c r="AM321" i="5"/>
  <c r="AM213" i="5"/>
  <c r="AT268" i="5"/>
  <c r="X268" i="5"/>
  <c r="AQ268" i="5" s="1"/>
  <c r="AT159" i="5"/>
  <c r="X159" i="5"/>
  <c r="AQ159" i="5" s="1"/>
  <c r="AM64" i="5"/>
  <c r="S64" i="5"/>
  <c r="U64" i="5"/>
  <c r="S102" i="5"/>
  <c r="U102" i="5"/>
  <c r="AW102" i="5"/>
  <c r="AW754" i="5" s="1"/>
  <c r="AM102" i="5"/>
  <c r="AM754" i="5" s="1"/>
  <c r="U83" i="5"/>
  <c r="AW83" i="5"/>
  <c r="AM83" i="5"/>
  <c r="S83" i="5"/>
  <c r="U51" i="5"/>
  <c r="AW51" i="5"/>
  <c r="AW703" i="5" s="1"/>
  <c r="AM51" i="5"/>
  <c r="AM703" i="5" s="1"/>
  <c r="S51" i="5"/>
  <c r="AQ609" i="5"/>
  <c r="AQ601" i="5"/>
  <c r="AS611" i="5"/>
  <c r="BA611" i="5"/>
  <c r="BC611" i="5" s="1"/>
  <c r="AS619" i="5"/>
  <c r="BA619" i="5"/>
  <c r="BC619" i="5" s="1"/>
  <c r="X28" i="5"/>
  <c r="X41" i="5"/>
  <c r="AQ41" i="5" s="1"/>
  <c r="AT41" i="5"/>
  <c r="AT363" i="5"/>
  <c r="X363" i="5"/>
  <c r="AQ363" i="5" s="1"/>
  <c r="BA580" i="5"/>
  <c r="BC580" i="5" s="1"/>
  <c r="AS580" i="5"/>
  <c r="AT506" i="5"/>
  <c r="X506" i="5"/>
  <c r="AQ506" i="5" s="1"/>
  <c r="AT466" i="5"/>
  <c r="X466" i="5"/>
  <c r="AQ466" i="5" s="1"/>
  <c r="M329" i="5"/>
  <c r="T329" i="5" s="1"/>
  <c r="M328" i="5"/>
  <c r="T328" i="5" s="1"/>
  <c r="M308" i="5"/>
  <c r="T308" i="5" s="1"/>
  <c r="M309" i="5"/>
  <c r="M306" i="5"/>
  <c r="T306" i="5" s="1"/>
  <c r="M307" i="5"/>
  <c r="M299" i="5"/>
  <c r="T299" i="5" s="1"/>
  <c r="M292" i="5"/>
  <c r="T292" i="5" s="1"/>
  <c r="M288" i="5"/>
  <c r="T288" i="5" s="1"/>
  <c r="M258" i="5"/>
  <c r="T258" i="5" s="1"/>
  <c r="M256" i="5"/>
  <c r="T256" i="5" s="1"/>
  <c r="M254" i="5"/>
  <c r="T254" i="5" s="1"/>
  <c r="M327" i="5"/>
  <c r="T327" i="5" s="1"/>
  <c r="M289" i="5"/>
  <c r="M279" i="5"/>
  <c r="M266" i="5"/>
  <c r="T266" i="5" s="1"/>
  <c r="M252" i="5"/>
  <c r="T252" i="5" s="1"/>
  <c r="M326" i="5"/>
  <c r="T326" i="5" s="1"/>
  <c r="M298" i="5"/>
  <c r="M297" i="5"/>
  <c r="T297" i="5" s="1"/>
  <c r="M296" i="5"/>
  <c r="T296" i="5" s="1"/>
  <c r="M290" i="5"/>
  <c r="T290" i="5" s="1"/>
  <c r="M287" i="5"/>
  <c r="T287" i="5" s="1"/>
  <c r="M280" i="5"/>
  <c r="T280" i="5" s="1"/>
  <c r="M259" i="5"/>
  <c r="T259" i="5" s="1"/>
  <c r="M257" i="5"/>
  <c r="T257" i="5" s="1"/>
  <c r="M255" i="5"/>
  <c r="T255" i="5" s="1"/>
  <c r="M253" i="5"/>
  <c r="T253" i="5" s="1"/>
  <c r="M250" i="5"/>
  <c r="T248" i="5"/>
  <c r="M281" i="5"/>
  <c r="M291" i="5"/>
  <c r="M310" i="5"/>
  <c r="T310" i="5" s="1"/>
  <c r="AT36" i="5"/>
  <c r="X36" i="5"/>
  <c r="AQ36" i="5" s="1"/>
  <c r="AT599" i="5"/>
  <c r="AA599" i="5"/>
  <c r="X599" i="5"/>
  <c r="AW499" i="5"/>
  <c r="X493" i="5"/>
  <c r="AT493" i="5"/>
  <c r="AA493" i="5"/>
  <c r="S61" i="5"/>
  <c r="AW61" i="5"/>
  <c r="AW713" i="5" s="1"/>
  <c r="AM61" i="5"/>
  <c r="AM713" i="5" s="1"/>
  <c r="U61" i="5"/>
  <c r="AW74" i="5"/>
  <c r="AM74" i="5"/>
  <c r="U74" i="5"/>
  <c r="S74" i="5"/>
  <c r="AM72" i="5"/>
  <c r="U72" i="5"/>
  <c r="S72" i="5"/>
  <c r="AW72" i="5"/>
  <c r="AW81" i="5"/>
  <c r="U81" i="5"/>
  <c r="AM81" i="5"/>
  <c r="S81" i="5"/>
  <c r="U644" i="5"/>
  <c r="T634" i="5"/>
  <c r="BA631" i="5"/>
  <c r="BC631" i="5" s="1"/>
  <c r="AS631" i="5"/>
  <c r="AT30" i="5"/>
  <c r="X30" i="5"/>
  <c r="AQ30" i="5" s="1"/>
  <c r="AS569" i="5"/>
  <c r="BA569" i="5"/>
  <c r="BC569" i="5" s="1"/>
  <c r="BA546" i="5"/>
  <c r="BC542" i="5"/>
  <c r="X39" i="5"/>
  <c r="AQ39" i="5" s="1"/>
  <c r="AT39" i="5"/>
  <c r="X485" i="5"/>
  <c r="AQ485" i="5" s="1"/>
  <c r="AT485" i="5"/>
  <c r="X376" i="5"/>
  <c r="AQ376" i="5" s="1"/>
  <c r="AT376" i="5"/>
  <c r="S60" i="5"/>
  <c r="AW60" i="5"/>
  <c r="AW712" i="5" s="1"/>
  <c r="AM60" i="5"/>
  <c r="AM712" i="5" s="1"/>
  <c r="U60" i="5"/>
  <c r="AM71" i="5"/>
  <c r="U71" i="5"/>
  <c r="S71" i="5"/>
  <c r="AW71" i="5"/>
  <c r="AT572" i="5"/>
  <c r="X572" i="5"/>
  <c r="AQ572" i="5" s="1"/>
  <c r="U191" i="5"/>
  <c r="AW191" i="5"/>
  <c r="S191" i="5"/>
  <c r="AM191" i="5"/>
  <c r="AT32" i="5"/>
  <c r="X32" i="5"/>
  <c r="AQ32" i="5" s="1"/>
  <c r="BA575" i="5"/>
  <c r="BC575" i="5" s="1"/>
  <c r="AS575" i="5"/>
  <c r="AT523" i="5"/>
  <c r="X523" i="5"/>
  <c r="AQ523" i="5" s="1"/>
  <c r="AT474" i="5"/>
  <c r="X474" i="5"/>
  <c r="AQ474" i="5" s="1"/>
  <c r="AM529" i="5"/>
  <c r="X140" i="5"/>
  <c r="AQ140" i="5" s="1"/>
  <c r="AT140" i="5"/>
  <c r="AA597" i="5"/>
  <c r="X597" i="5"/>
  <c r="AT597" i="5"/>
  <c r="AA277" i="5"/>
  <c r="X277" i="5"/>
  <c r="AT277" i="5"/>
  <c r="AW707" i="5"/>
  <c r="U75" i="5"/>
  <c r="AW75" i="5"/>
  <c r="AM75" i="5"/>
  <c r="S75" i="5"/>
  <c r="AM34" i="5"/>
  <c r="S34" i="5"/>
  <c r="AW34" i="5"/>
  <c r="AW45" i="5" s="1"/>
  <c r="U34" i="5"/>
  <c r="AT210" i="5"/>
  <c r="AA210" i="5"/>
  <c r="AA213" i="5" s="1"/>
  <c r="AA215" i="5" s="1"/>
  <c r="X210" i="5"/>
  <c r="AM58" i="5"/>
  <c r="S58" i="5"/>
  <c r="AW58" i="5"/>
  <c r="U58" i="5"/>
  <c r="U73" i="5"/>
  <c r="AW73" i="5"/>
  <c r="AM73" i="5"/>
  <c r="S73" i="5"/>
  <c r="AW644" i="5"/>
  <c r="AS576" i="5"/>
  <c r="BA576" i="5"/>
  <c r="BC576" i="5" s="1"/>
  <c r="AT359" i="5"/>
  <c r="X359" i="5"/>
  <c r="AQ359" i="5" s="1"/>
  <c r="X642" i="5"/>
  <c r="AQ637" i="5"/>
  <c r="AS618" i="5"/>
  <c r="BA618" i="5"/>
  <c r="BC618" i="5" s="1"/>
  <c r="AT496" i="5"/>
  <c r="AP496" i="5"/>
  <c r="X496" i="5"/>
  <c r="AW488" i="5"/>
  <c r="AW518" i="5" s="1"/>
  <c r="AT473" i="5"/>
  <c r="X473" i="5"/>
  <c r="AQ473" i="5" s="1"/>
  <c r="U179" i="5"/>
  <c r="AW179" i="5"/>
  <c r="AM179" i="5"/>
  <c r="S179" i="5"/>
  <c r="T147" i="5"/>
  <c r="M691" i="5"/>
  <c r="T691" i="5" s="1"/>
  <c r="S691" i="5" s="1"/>
  <c r="AM171" i="5"/>
  <c r="S171" i="5"/>
  <c r="AW171" i="5"/>
  <c r="U171" i="5"/>
  <c r="U181" i="5"/>
  <c r="AW181" i="5"/>
  <c r="AM181" i="5"/>
  <c r="S181" i="5"/>
  <c r="T141" i="5"/>
  <c r="AW172" i="5"/>
  <c r="U172" i="5"/>
  <c r="AM172" i="5"/>
  <c r="S172" i="5"/>
  <c r="AW190" i="5"/>
  <c r="AM190" i="5"/>
  <c r="S190" i="5"/>
  <c r="U190" i="5"/>
  <c r="S183" i="5"/>
  <c r="AW183" i="5"/>
  <c r="U183" i="5"/>
  <c r="AM183" i="5"/>
  <c r="T220" i="5"/>
  <c r="AW391" i="5"/>
  <c r="X319" i="5"/>
  <c r="AT319" i="5"/>
  <c r="AP319" i="5"/>
  <c r="AP321" i="5" s="1"/>
  <c r="AP323" i="5" s="1"/>
  <c r="X267" i="5"/>
  <c r="AQ267" i="5" s="1"/>
  <c r="AT267" i="5"/>
  <c r="X269" i="5"/>
  <c r="AQ269" i="5" s="1"/>
  <c r="AT269" i="5"/>
  <c r="AM63" i="5"/>
  <c r="AW63" i="5"/>
  <c r="U63" i="5"/>
  <c r="S63" i="5"/>
  <c r="AM644" i="5"/>
  <c r="AT354" i="5"/>
  <c r="X354" i="5"/>
  <c r="AQ354" i="5" s="1"/>
  <c r="AT567" i="5"/>
  <c r="X567" i="5"/>
  <c r="AQ567" i="5" s="1"/>
  <c r="AP623" i="5"/>
  <c r="BD544" i="5"/>
  <c r="BL544" i="5"/>
  <c r="BB544" i="5"/>
  <c r="AW421" i="5"/>
  <c r="AW431" i="5" s="1"/>
  <c r="AT404" i="5"/>
  <c r="U409" i="5"/>
  <c r="T409" i="5" s="1"/>
  <c r="AA404" i="5"/>
  <c r="X404" i="5"/>
  <c r="AT389" i="5"/>
  <c r="X389" i="5"/>
  <c r="AQ389" i="5" s="1"/>
  <c r="AT362" i="5"/>
  <c r="X362" i="5"/>
  <c r="AQ362" i="5" s="1"/>
  <c r="AT424" i="5"/>
  <c r="X424" i="5"/>
  <c r="U429" i="5"/>
  <c r="T429" i="5" s="1"/>
  <c r="BB573" i="5"/>
  <c r="BD573" i="5"/>
  <c r="BL573" i="5"/>
  <c r="AT513" i="5"/>
  <c r="AA513" i="5"/>
  <c r="X513" i="5"/>
  <c r="U467" i="5"/>
  <c r="AM467" i="5"/>
  <c r="S467" i="5"/>
  <c r="M565" i="5"/>
  <c r="T565" i="5" s="1"/>
  <c r="M460" i="5"/>
  <c r="T460" i="5" s="1"/>
  <c r="M352" i="5"/>
  <c r="T244" i="5"/>
  <c r="AW593" i="5"/>
  <c r="AW321" i="5"/>
  <c r="AW213" i="5"/>
  <c r="X170" i="5"/>
  <c r="AT170" i="5"/>
  <c r="AA170" i="5"/>
  <c r="M735" i="5"/>
  <c r="T735" i="5" s="1"/>
  <c r="S735" i="5" s="1"/>
  <c r="AQ640" i="5"/>
  <c r="BA639" i="5"/>
  <c r="AS639" i="5"/>
  <c r="AM45" i="5"/>
  <c r="BD649" i="5"/>
  <c r="BB649" i="5"/>
  <c r="AT570" i="5"/>
  <c r="X570" i="5"/>
  <c r="AQ570" i="5" s="1"/>
  <c r="X399" i="5"/>
  <c r="AT399" i="5"/>
  <c r="AA399" i="5"/>
  <c r="X387" i="5"/>
  <c r="AT387" i="5"/>
  <c r="AP387" i="5"/>
  <c r="AT405" i="5"/>
  <c r="AA405" i="5"/>
  <c r="X405" i="5"/>
  <c r="X415" i="5"/>
  <c r="AQ415" i="5" s="1"/>
  <c r="AT415" i="5"/>
  <c r="T615" i="5"/>
  <c r="AS629" i="5"/>
  <c r="BA629" i="5"/>
  <c r="BC629" i="5" s="1"/>
  <c r="AM537" i="5"/>
  <c r="AT508" i="5"/>
  <c r="X508" i="5"/>
  <c r="AQ508" i="5" s="1"/>
  <c r="M249" i="5"/>
  <c r="T249" i="5" s="1"/>
  <c r="M247" i="5"/>
  <c r="T247" i="5" s="1"/>
  <c r="M245" i="5"/>
  <c r="T245" i="5" s="1"/>
  <c r="T251" i="5"/>
  <c r="M246" i="5"/>
  <c r="T246" i="5" s="1"/>
  <c r="M687" i="5"/>
  <c r="X383" i="5"/>
  <c r="AQ383" i="5" s="1"/>
  <c r="AA383" i="5"/>
  <c r="AT383" i="5"/>
  <c r="M724" i="5"/>
  <c r="T724" i="5" s="1"/>
  <c r="S724" i="5" s="1"/>
  <c r="M733" i="5"/>
  <c r="T733" i="5" s="1"/>
  <c r="S733" i="5" s="1"/>
  <c r="BA577" i="5"/>
  <c r="BC577" i="5" s="1"/>
  <c r="AS577" i="5"/>
  <c r="AS638" i="5"/>
  <c r="BA638" i="5"/>
  <c r="BC638" i="5" s="1"/>
  <c r="AT416" i="5"/>
  <c r="X416" i="5"/>
  <c r="AQ416" i="5" s="1"/>
  <c r="AT388" i="5"/>
  <c r="AP388" i="5"/>
  <c r="X388" i="5"/>
  <c r="AS602" i="5"/>
  <c r="BA602" i="5"/>
  <c r="BC602" i="5" s="1"/>
  <c r="X504" i="5"/>
  <c r="AQ504" i="5" s="1"/>
  <c r="AA504" i="5"/>
  <c r="AA510" i="5" s="1"/>
  <c r="AT504" i="5"/>
  <c r="AT464" i="5"/>
  <c r="X464" i="5"/>
  <c r="AQ464" i="5" s="1"/>
  <c r="AW529" i="5"/>
  <c r="AT595" i="5"/>
  <c r="AA595" i="5"/>
  <c r="AA604" i="5" s="1"/>
  <c r="X595" i="5"/>
  <c r="U604" i="5"/>
  <c r="AT386" i="5"/>
  <c r="AA386" i="5"/>
  <c r="X386" i="5"/>
  <c r="AT274" i="5"/>
  <c r="AA274" i="5"/>
  <c r="X274" i="5"/>
  <c r="AT163" i="5"/>
  <c r="X163" i="5"/>
  <c r="AQ163" i="5" s="1"/>
  <c r="X622" i="5"/>
  <c r="AQ617" i="5"/>
  <c r="AQ622" i="5" s="1"/>
  <c r="AT425" i="5"/>
  <c r="X425" i="5"/>
  <c r="AQ425" i="5" s="1"/>
  <c r="U402" i="5"/>
  <c r="T402" i="5" s="1"/>
  <c r="AT395" i="5"/>
  <c r="X395" i="5"/>
  <c r="AT364" i="5"/>
  <c r="X364" i="5"/>
  <c r="AQ364" i="5" s="1"/>
  <c r="AT406" i="5"/>
  <c r="X406" i="5"/>
  <c r="AQ406" i="5" s="1"/>
  <c r="AT515" i="5"/>
  <c r="X515" i="5"/>
  <c r="AQ515" i="5" s="1"/>
  <c r="AT482" i="5"/>
  <c r="U488" i="5"/>
  <c r="X482" i="5"/>
  <c r="X495" i="5"/>
  <c r="AP495" i="5"/>
  <c r="AP499" i="5" s="1"/>
  <c r="AP518" i="5" s="1"/>
  <c r="AP549" i="5" s="1"/>
  <c r="AT495" i="5"/>
  <c r="AT38" i="5"/>
  <c r="X38" i="5"/>
  <c r="AQ38" i="5" s="1"/>
  <c r="U182" i="5"/>
  <c r="AW182" i="5"/>
  <c r="S182" i="5"/>
  <c r="AM182" i="5"/>
  <c r="T137" i="5"/>
  <c r="M681" i="5"/>
  <c r="T681" i="5" s="1"/>
  <c r="S681" i="5" s="1"/>
  <c r="T149" i="5"/>
  <c r="M695" i="5"/>
  <c r="T695" i="5" s="1"/>
  <c r="S695" i="5" s="1"/>
  <c r="M693" i="5"/>
  <c r="T693" i="5" s="1"/>
  <c r="S693" i="5" s="1"/>
  <c r="U200" i="5"/>
  <c r="AW200" i="5"/>
  <c r="AM200" i="5"/>
  <c r="S200" i="5"/>
  <c r="AW199" i="5"/>
  <c r="U199" i="5"/>
  <c r="AM199" i="5"/>
  <c r="S199" i="5"/>
  <c r="T146" i="5"/>
  <c r="M690" i="5"/>
  <c r="T690" i="5" s="1"/>
  <c r="S690" i="5" s="1"/>
  <c r="AM180" i="5"/>
  <c r="S180" i="5"/>
  <c r="AW180" i="5"/>
  <c r="U180" i="5"/>
  <c r="AM202" i="5"/>
  <c r="S202" i="5"/>
  <c r="U202" i="5"/>
  <c r="AW202" i="5"/>
  <c r="S188" i="5"/>
  <c r="AW188" i="5"/>
  <c r="U188" i="5"/>
  <c r="AM188" i="5"/>
  <c r="T221" i="5"/>
  <c r="X31" i="5"/>
  <c r="AQ31" i="5" s="1"/>
  <c r="AT31" i="5"/>
  <c r="AT491" i="5"/>
  <c r="AA491" i="5"/>
  <c r="X491" i="5"/>
  <c r="AT375" i="5"/>
  <c r="X375" i="5"/>
  <c r="AQ375" i="5" s="1"/>
  <c r="AA276" i="5"/>
  <c r="X276" i="5"/>
  <c r="AT276" i="5"/>
  <c r="S91" i="5"/>
  <c r="U91" i="5"/>
  <c r="AW91" i="5"/>
  <c r="AM91" i="5"/>
  <c r="AW65" i="5"/>
  <c r="AM65" i="5"/>
  <c r="S65" i="5"/>
  <c r="U65" i="5"/>
  <c r="AT209" i="5"/>
  <c r="X209" i="5"/>
  <c r="AQ209" i="5" s="1"/>
  <c r="U82" i="5"/>
  <c r="AM82" i="5"/>
  <c r="AW82" i="5"/>
  <c r="S82" i="5"/>
  <c r="AT35" i="5"/>
  <c r="X35" i="5"/>
  <c r="AQ35" i="5" s="1"/>
  <c r="AS613" i="5"/>
  <c r="BA613" i="5"/>
  <c r="BC613" i="5" s="1"/>
  <c r="BC587" i="5"/>
  <c r="BA600" i="5"/>
  <c r="BC600" i="5" s="1"/>
  <c r="AS600" i="5"/>
  <c r="AS612" i="5"/>
  <c r="BA612" i="5"/>
  <c r="BC612" i="5" s="1"/>
  <c r="AT400" i="5"/>
  <c r="X400" i="5"/>
  <c r="AQ400" i="5" s="1"/>
  <c r="AT414" i="5"/>
  <c r="U421" i="5"/>
  <c r="X414" i="5"/>
  <c r="AW409" i="5"/>
  <c r="AT356" i="5"/>
  <c r="X356" i="5"/>
  <c r="AQ356" i="5" s="1"/>
  <c r="AM429" i="5"/>
  <c r="AS571" i="5"/>
  <c r="BA571" i="5"/>
  <c r="BC571" i="5" s="1"/>
  <c r="AT534" i="5"/>
  <c r="AA534" i="5"/>
  <c r="AA537" i="5" s="1"/>
  <c r="AA539" i="5" s="1"/>
  <c r="X534" i="5"/>
  <c r="AT471" i="5"/>
  <c r="X471" i="5"/>
  <c r="AQ471" i="5" s="1"/>
  <c r="AM461" i="5"/>
  <c r="S461" i="5"/>
  <c r="U461" i="5"/>
  <c r="AW461" i="5"/>
  <c r="AT588" i="5"/>
  <c r="X588" i="5"/>
  <c r="U593" i="5"/>
  <c r="AT494" i="5"/>
  <c r="AA494" i="5"/>
  <c r="X494" i="5"/>
  <c r="AT486" i="5"/>
  <c r="X486" i="5"/>
  <c r="AQ486" i="5" s="1"/>
  <c r="AA384" i="5"/>
  <c r="X384" i="5"/>
  <c r="AT384" i="5"/>
  <c r="AT316" i="5"/>
  <c r="X316" i="5"/>
  <c r="U321" i="5"/>
  <c r="T321" i="5" s="1"/>
  <c r="AT208" i="5"/>
  <c r="X208" i="5"/>
  <c r="U213" i="5"/>
  <c r="T213" i="5" s="1"/>
  <c r="AW76" i="5"/>
  <c r="AM76" i="5"/>
  <c r="S76" i="5"/>
  <c r="U76" i="5"/>
  <c r="AM52" i="5"/>
  <c r="AM704" i="5" s="1"/>
  <c r="S52" i="5"/>
  <c r="AW52" i="5"/>
  <c r="AW704" i="5" s="1"/>
  <c r="U52" i="5"/>
  <c r="AW80" i="5"/>
  <c r="U80" i="5"/>
  <c r="AM80" i="5"/>
  <c r="S80" i="5"/>
  <c r="X168" i="5"/>
  <c r="AT168" i="5"/>
  <c r="AA168" i="5"/>
  <c r="AM62" i="5"/>
  <c r="AM714" i="5" s="1"/>
  <c r="U62" i="5"/>
  <c r="AW62" i="5"/>
  <c r="AW714" i="5" s="1"/>
  <c r="S62" i="5"/>
  <c r="AA615" i="5"/>
  <c r="AS601" i="5"/>
  <c r="BA601" i="5"/>
  <c r="AS640" i="5"/>
  <c r="BA640" i="5"/>
  <c r="BC640" i="5" s="1"/>
  <c r="AS42" i="5"/>
  <c r="BA42" i="5"/>
  <c r="BC42" i="5" s="1"/>
  <c r="AS610" i="5"/>
  <c r="BA610" i="5"/>
  <c r="BC610" i="5" s="1"/>
  <c r="AT398" i="5"/>
  <c r="X398" i="5"/>
  <c r="AQ398" i="5" s="1"/>
  <c r="AQ608" i="5"/>
  <c r="X615" i="5"/>
  <c r="AW537" i="5"/>
  <c r="X525" i="5"/>
  <c r="AQ525" i="5" s="1"/>
  <c r="AT525" i="5"/>
  <c r="AM499" i="5"/>
  <c r="AT484" i="5"/>
  <c r="X484" i="5"/>
  <c r="AQ484" i="5" s="1"/>
  <c r="AT379" i="5"/>
  <c r="X379" i="5"/>
  <c r="AQ379" i="5" s="1"/>
  <c r="AT317" i="5"/>
  <c r="X317" i="5"/>
  <c r="AQ317" i="5" s="1"/>
  <c r="AM175" i="5"/>
  <c r="AT167" i="5"/>
  <c r="AA167" i="5"/>
  <c r="X167" i="5"/>
  <c r="AW92" i="5"/>
  <c r="AM92" i="5"/>
  <c r="S92" i="5"/>
  <c r="U92" i="5"/>
  <c r="AM50" i="5"/>
  <c r="S50" i="5"/>
  <c r="AW50" i="5"/>
  <c r="U50" i="5"/>
  <c r="AW101" i="5"/>
  <c r="AW753" i="5" s="1"/>
  <c r="AM101" i="5"/>
  <c r="AM753" i="5" s="1"/>
  <c r="S101" i="5"/>
  <c r="U101" i="5"/>
  <c r="U90" i="5"/>
  <c r="AW90" i="5"/>
  <c r="S90" i="5"/>
  <c r="AM90" i="5"/>
  <c r="U59" i="5"/>
  <c r="AW59" i="5"/>
  <c r="AW711" i="5" s="1"/>
  <c r="AM59" i="5"/>
  <c r="AM711" i="5" s="1"/>
  <c r="S59" i="5"/>
  <c r="X634" i="5"/>
  <c r="AQ627" i="5"/>
  <c r="AQ634" i="5" s="1"/>
  <c r="AT29" i="5"/>
  <c r="X29" i="5"/>
  <c r="AQ29" i="5" s="1"/>
  <c r="W109" i="4"/>
  <c r="J4" i="4"/>
  <c r="N5" i="4"/>
  <c r="W108" i="3"/>
  <c r="J4" i="3"/>
  <c r="N5" i="3"/>
  <c r="P6" i="13"/>
  <c r="AH71" i="15"/>
  <c r="AF71" i="15"/>
  <c r="AJ58" i="15"/>
  <c r="AH70" i="15"/>
  <c r="AJ70" i="15" s="1"/>
  <c r="AF70" i="15"/>
  <c r="AJ51" i="15"/>
  <c r="AJ21" i="15"/>
  <c r="AJ29" i="15"/>
  <c r="AJ71" i="15"/>
  <c r="AI19" i="15"/>
  <c r="H19" i="15"/>
  <c r="H18" i="15" s="1"/>
  <c r="G18" i="15"/>
  <c r="AI18" i="15" s="1"/>
  <c r="G127" i="15"/>
  <c r="G129" i="15" s="1"/>
  <c r="AJ42" i="15"/>
  <c r="U68" i="15"/>
  <c r="U18" i="15" s="1"/>
  <c r="U106" i="15" s="1"/>
  <c r="U121" i="15" s="1"/>
  <c r="AH72" i="15"/>
  <c r="AJ72" i="15" s="1"/>
  <c r="AF72" i="15"/>
  <c r="AJ38" i="15"/>
  <c r="S92" i="15"/>
  <c r="AH93" i="15"/>
  <c r="AJ93" i="15" s="1"/>
  <c r="AJ59" i="15"/>
  <c r="AH69" i="15"/>
  <c r="AJ69" i="15" s="1"/>
  <c r="S68" i="15"/>
  <c r="AH68" i="15" s="1"/>
  <c r="AJ68" i="15" s="1"/>
  <c r="AF69" i="15"/>
  <c r="S19" i="15"/>
  <c r="AJ22" i="15"/>
  <c r="AJ61" i="15"/>
  <c r="AH91" i="15"/>
  <c r="AJ91" i="15" s="1"/>
  <c r="AF91" i="15"/>
  <c r="AJ50" i="15"/>
  <c r="AJ55" i="15"/>
  <c r="AF73" i="15"/>
  <c r="N108" i="14"/>
  <c r="R108" i="14" s="1"/>
  <c r="R93" i="14"/>
  <c r="N106" i="14"/>
  <c r="R116" i="14"/>
  <c r="I116" i="14"/>
  <c r="I114" i="14" s="1"/>
  <c r="AB27" i="14" s="1"/>
  <c r="N114" i="14"/>
  <c r="R114" i="14" s="1"/>
  <c r="Q3" i="14"/>
  <c r="R3" i="14" s="1"/>
  <c r="R28" i="14"/>
  <c r="I3" i="14"/>
  <c r="R29" i="14"/>
  <c r="R77" i="14"/>
  <c r="P25" i="13"/>
  <c r="L24" i="13"/>
  <c r="L224" i="12"/>
  <c r="N27" i="12"/>
  <c r="L225" i="12"/>
  <c r="N28" i="12"/>
  <c r="J29" i="12"/>
  <c r="I225" i="12" s="1"/>
  <c r="L29" i="12"/>
  <c r="L26" i="7"/>
  <c r="Q26" i="7" s="1"/>
  <c r="V26" i="7"/>
  <c r="C26" i="7" s="1"/>
  <c r="C36" i="7"/>
  <c r="C27" i="7"/>
  <c r="K22" i="6"/>
  <c r="C13" i="6"/>
  <c r="Y13" i="6"/>
  <c r="Y14" i="6"/>
  <c r="C14" i="6"/>
  <c r="Q13" i="6"/>
  <c r="C8" i="6"/>
  <c r="P11" i="6"/>
  <c r="Y28" i="6"/>
  <c r="C28" i="6"/>
  <c r="W26" i="6"/>
  <c r="W29" i="6"/>
  <c r="X39" i="6"/>
  <c r="K9" i="6"/>
  <c r="L9" i="6" s="1"/>
  <c r="C25" i="6"/>
  <c r="Y25" i="6"/>
  <c r="Q26" i="6"/>
  <c r="G11" i="6"/>
  <c r="P9" i="6"/>
  <c r="R22" i="6"/>
  <c r="U22" i="6" s="1"/>
  <c r="C18" i="6"/>
  <c r="AB18" i="6" s="1"/>
  <c r="AC16" i="6" s="1"/>
  <c r="Y18" i="6"/>
  <c r="Z18" i="6" s="1"/>
  <c r="P10" i="6"/>
  <c r="G22" i="6"/>
  <c r="D4" i="6"/>
  <c r="Y31" i="6"/>
  <c r="C31" i="6"/>
  <c r="W24" i="6"/>
  <c r="L24" i="6"/>
  <c r="Q24" i="6" s="1"/>
  <c r="U9" i="6"/>
  <c r="R11" i="6"/>
  <c r="K11" i="6"/>
  <c r="K4" i="6" s="1"/>
  <c r="V24" i="6"/>
  <c r="V10" i="6"/>
  <c r="Y30" i="6"/>
  <c r="C30" i="6"/>
  <c r="V8" i="6"/>
  <c r="P22" i="6"/>
  <c r="L12" i="6"/>
  <c r="W12" i="6"/>
  <c r="W10" i="6" s="1"/>
  <c r="N10" i="6"/>
  <c r="N4" i="6" s="1"/>
  <c r="G10" i="6"/>
  <c r="G4" i="6" s="1"/>
  <c r="V22" i="6" l="1"/>
  <c r="Q9" i="6"/>
  <c r="M680" i="5"/>
  <c r="T680" i="5" s="1"/>
  <c r="AW175" i="5"/>
  <c r="G106" i="15"/>
  <c r="AA409" i="5"/>
  <c r="AQ278" i="5"/>
  <c r="I70" i="8"/>
  <c r="O72" i="8"/>
  <c r="O68" i="8"/>
  <c r="BC601" i="5"/>
  <c r="BB601" i="5" s="1"/>
  <c r="BC639" i="5"/>
  <c r="AQ642" i="5"/>
  <c r="M723" i="5"/>
  <c r="T723" i="5" s="1"/>
  <c r="S723" i="5" s="1"/>
  <c r="AQ492" i="5"/>
  <c r="AQ168" i="5"/>
  <c r="AQ384" i="5"/>
  <c r="AQ494" i="5"/>
  <c r="AQ534" i="5"/>
  <c r="AW410" i="5"/>
  <c r="AM193" i="5"/>
  <c r="AQ405" i="5"/>
  <c r="AQ170" i="5"/>
  <c r="AQ513" i="5"/>
  <c r="AQ426" i="5"/>
  <c r="AQ615" i="5"/>
  <c r="AQ387" i="5"/>
  <c r="AQ319" i="5"/>
  <c r="U175" i="5"/>
  <c r="T175" i="5" s="1"/>
  <c r="M746" i="5"/>
  <c r="T746" i="5" s="1"/>
  <c r="S746" i="5" s="1"/>
  <c r="AQ592" i="5"/>
  <c r="AQ427" i="5"/>
  <c r="AQ598" i="5"/>
  <c r="AQ396" i="5"/>
  <c r="AM410" i="5"/>
  <c r="AT65" i="5"/>
  <c r="X65" i="5"/>
  <c r="AQ65" i="5" s="1"/>
  <c r="BA276" i="5"/>
  <c r="AS276" i="5"/>
  <c r="AS31" i="5"/>
  <c r="BA31" i="5"/>
  <c r="BC31" i="5" s="1"/>
  <c r="AQ395" i="5"/>
  <c r="X402" i="5"/>
  <c r="AQ274" i="5"/>
  <c r="BA415" i="5"/>
  <c r="BC415" i="5" s="1"/>
  <c r="AS415" i="5"/>
  <c r="BA405" i="5"/>
  <c r="AS405" i="5"/>
  <c r="BA570" i="5"/>
  <c r="BC570" i="5" s="1"/>
  <c r="AS570" i="5"/>
  <c r="S680" i="5"/>
  <c r="T673" i="5"/>
  <c r="AT429" i="5"/>
  <c r="AS424" i="5"/>
  <c r="BA424" i="5"/>
  <c r="U147" i="5"/>
  <c r="AW147" i="5"/>
  <c r="AM147" i="5"/>
  <c r="S147" i="5"/>
  <c r="X179" i="5"/>
  <c r="U186" i="5"/>
  <c r="T186" i="5" s="1"/>
  <c r="AT179" i="5"/>
  <c r="BD618" i="5"/>
  <c r="BB618" i="5"/>
  <c r="AW710" i="5"/>
  <c r="AW67" i="5"/>
  <c r="AS277" i="5"/>
  <c r="BA277" i="5"/>
  <c r="AS597" i="5"/>
  <c r="BA597" i="5"/>
  <c r="AS140" i="5"/>
  <c r="BA140" i="5"/>
  <c r="BC140" i="5" s="1"/>
  <c r="AS474" i="5"/>
  <c r="BA474" i="5"/>
  <c r="BC474" i="5" s="1"/>
  <c r="BD575" i="5"/>
  <c r="BL575" i="5"/>
  <c r="BB575" i="5"/>
  <c r="X191" i="5"/>
  <c r="AQ191" i="5" s="1"/>
  <c r="AT191" i="5"/>
  <c r="BD631" i="5"/>
  <c r="BB631" i="5"/>
  <c r="BK631" i="5"/>
  <c r="X81" i="5"/>
  <c r="AT81" i="5"/>
  <c r="AA81" i="5"/>
  <c r="AT72" i="5"/>
  <c r="AA72" i="5"/>
  <c r="X72" i="5"/>
  <c r="BA493" i="5"/>
  <c r="AS493" i="5"/>
  <c r="AW248" i="5"/>
  <c r="AW684" i="5" s="1"/>
  <c r="U248" i="5"/>
  <c r="AM248" i="5"/>
  <c r="AM684" i="5" s="1"/>
  <c r="S248" i="5"/>
  <c r="U257" i="5"/>
  <c r="AW257" i="5"/>
  <c r="AM257" i="5"/>
  <c r="S257" i="5"/>
  <c r="U290" i="5"/>
  <c r="AW290" i="5"/>
  <c r="AM290" i="5"/>
  <c r="AM726" i="5" s="1"/>
  <c r="S290" i="5"/>
  <c r="U326" i="5"/>
  <c r="S326" i="5"/>
  <c r="AW326" i="5"/>
  <c r="T289" i="5"/>
  <c r="M725" i="5"/>
  <c r="T725" i="5" s="1"/>
  <c r="S725" i="5" s="1"/>
  <c r="AM258" i="5"/>
  <c r="S258" i="5"/>
  <c r="U258" i="5"/>
  <c r="AW258" i="5"/>
  <c r="T307" i="5"/>
  <c r="M743" i="5"/>
  <c r="T743" i="5" s="1"/>
  <c r="S743" i="5" s="1"/>
  <c r="S328" i="5"/>
  <c r="AW328" i="5"/>
  <c r="U328" i="5"/>
  <c r="BD611" i="5"/>
  <c r="BB611" i="5"/>
  <c r="AP64" i="5"/>
  <c r="AT64" i="5"/>
  <c r="X64" i="5"/>
  <c r="AQ64" i="5" s="1"/>
  <c r="AS159" i="5"/>
  <c r="BA159" i="5"/>
  <c r="BC159" i="5" s="1"/>
  <c r="X136" i="5"/>
  <c r="BA357" i="5"/>
  <c r="BC357" i="5" s="1"/>
  <c r="AS357" i="5"/>
  <c r="BL574" i="5"/>
  <c r="BB574" i="5"/>
  <c r="BD574" i="5"/>
  <c r="AA391" i="5"/>
  <c r="BA592" i="5"/>
  <c r="AS592" i="5"/>
  <c r="U145" i="5"/>
  <c r="AW145" i="5"/>
  <c r="AM145" i="5"/>
  <c r="S145" i="5"/>
  <c r="AT173" i="5"/>
  <c r="X173" i="5"/>
  <c r="AQ173" i="5" s="1"/>
  <c r="AM518" i="5"/>
  <c r="AS642" i="5"/>
  <c r="BA487" i="5"/>
  <c r="AS487" i="5"/>
  <c r="AM752" i="5"/>
  <c r="AM756" i="5" s="1"/>
  <c r="AM105" i="5"/>
  <c r="AQ503" i="5"/>
  <c r="X510" i="5"/>
  <c r="AS535" i="5"/>
  <c r="BA535" i="5"/>
  <c r="BC535" i="5" s="1"/>
  <c r="AS360" i="5"/>
  <c r="BA360" i="5"/>
  <c r="BC360" i="5" s="1"/>
  <c r="AQ374" i="5"/>
  <c r="AQ380" i="5" s="1"/>
  <c r="X380" i="5"/>
  <c r="AS418" i="5"/>
  <c r="BA418" i="5"/>
  <c r="BC418" i="5" s="1"/>
  <c r="BA37" i="5"/>
  <c r="BC37" i="5" s="1"/>
  <c r="AS37" i="5"/>
  <c r="BA475" i="5"/>
  <c r="BC475" i="5" s="1"/>
  <c r="AS475" i="5"/>
  <c r="AT644" i="5"/>
  <c r="AA175" i="5"/>
  <c r="AA499" i="5"/>
  <c r="AS598" i="5"/>
  <c r="BA598" i="5"/>
  <c r="BC598" i="5" s="1"/>
  <c r="AS514" i="5"/>
  <c r="BA514" i="5"/>
  <c r="BC514" i="5" s="1"/>
  <c r="BC608" i="5"/>
  <c r="BA615" i="5"/>
  <c r="AT463" i="5"/>
  <c r="X463" i="5"/>
  <c r="AQ463" i="5" s="1"/>
  <c r="AS468" i="5"/>
  <c r="BA468" i="5"/>
  <c r="BC468" i="5" s="1"/>
  <c r="X94" i="5"/>
  <c r="AQ94" i="5" s="1"/>
  <c r="AT94" i="5"/>
  <c r="U218" i="5"/>
  <c r="S218" i="5"/>
  <c r="AW218" i="5"/>
  <c r="AS367" i="5"/>
  <c r="BA367" i="5"/>
  <c r="BC367" i="5" s="1"/>
  <c r="BA398" i="5"/>
  <c r="BC398" i="5" s="1"/>
  <c r="AS398" i="5"/>
  <c r="BA35" i="5"/>
  <c r="BC35" i="5" s="1"/>
  <c r="AS375" i="5"/>
  <c r="BA375" i="5"/>
  <c r="BC375" i="5" s="1"/>
  <c r="AT488" i="5"/>
  <c r="AS482" i="5"/>
  <c r="BA482" i="5"/>
  <c r="AS425" i="5"/>
  <c r="BA425" i="5"/>
  <c r="BC425" i="5" s="1"/>
  <c r="AM251" i="5"/>
  <c r="AM687" i="5" s="1"/>
  <c r="S251" i="5"/>
  <c r="U251" i="5"/>
  <c r="AW251" i="5"/>
  <c r="AW687" i="5" s="1"/>
  <c r="AM565" i="5"/>
  <c r="AM582" i="5" s="1"/>
  <c r="S565" i="5"/>
  <c r="AW565" i="5"/>
  <c r="U565" i="5"/>
  <c r="AS389" i="5"/>
  <c r="BA389" i="5"/>
  <c r="BC389" i="5" s="1"/>
  <c r="AT409" i="5"/>
  <c r="AS404" i="5"/>
  <c r="BA404" i="5"/>
  <c r="AS567" i="5"/>
  <c r="BA567" i="5"/>
  <c r="BC567" i="5" s="1"/>
  <c r="AS267" i="5"/>
  <c r="BA267" i="5"/>
  <c r="BC267" i="5" s="1"/>
  <c r="AM97" i="5"/>
  <c r="AM107" i="5" s="1"/>
  <c r="U753" i="5"/>
  <c r="X753" i="5" s="1"/>
  <c r="AQ753" i="5" s="1"/>
  <c r="AT101" i="5"/>
  <c r="X101" i="5"/>
  <c r="AQ101" i="5" s="1"/>
  <c r="U56" i="5"/>
  <c r="AT50" i="5"/>
  <c r="X50" i="5"/>
  <c r="AT92" i="5"/>
  <c r="X92" i="5"/>
  <c r="AQ92" i="5" s="1"/>
  <c r="AQ167" i="5"/>
  <c r="BB610" i="5"/>
  <c r="BD610" i="5"/>
  <c r="BD640" i="5"/>
  <c r="BK640" i="5"/>
  <c r="BB640" i="5"/>
  <c r="U704" i="5"/>
  <c r="X704" i="5" s="1"/>
  <c r="AQ704" i="5" s="1"/>
  <c r="AT52" i="5"/>
  <c r="X52" i="5"/>
  <c r="AQ52" i="5" s="1"/>
  <c r="AT76" i="5"/>
  <c r="X76" i="5"/>
  <c r="AQ76" i="5" s="1"/>
  <c r="AQ316" i="5"/>
  <c r="X321" i="5"/>
  <c r="AS588" i="5"/>
  <c r="BA588" i="5"/>
  <c r="AT593" i="5"/>
  <c r="AQ414" i="5"/>
  <c r="AQ421" i="5" s="1"/>
  <c r="X421" i="5"/>
  <c r="BA400" i="5"/>
  <c r="BC400" i="5" s="1"/>
  <c r="AS400" i="5"/>
  <c r="BJ600" i="5"/>
  <c r="BD600" i="5"/>
  <c r="BB600" i="5"/>
  <c r="BB613" i="5"/>
  <c r="BF606" i="5"/>
  <c r="BD613" i="5"/>
  <c r="AT82" i="5"/>
  <c r="X82" i="5"/>
  <c r="AQ82" i="5" s="1"/>
  <c r="AQ276" i="5"/>
  <c r="AQ491" i="5"/>
  <c r="AT180" i="5"/>
  <c r="AA180" i="5"/>
  <c r="X180" i="5"/>
  <c r="AT199" i="5"/>
  <c r="X199" i="5"/>
  <c r="AQ199" i="5" s="1"/>
  <c r="U149" i="5"/>
  <c r="AW149" i="5"/>
  <c r="AW693" i="5" s="1"/>
  <c r="AM149" i="5"/>
  <c r="AM693" i="5" s="1"/>
  <c r="S149" i="5"/>
  <c r="AS38" i="5"/>
  <c r="BA38" i="5"/>
  <c r="BC38" i="5" s="1"/>
  <c r="AQ495" i="5"/>
  <c r="BA406" i="5"/>
  <c r="BC406" i="5" s="1"/>
  <c r="AS406" i="5"/>
  <c r="BA395" i="5"/>
  <c r="AT402" i="5"/>
  <c r="AS395" i="5"/>
  <c r="AA283" i="5"/>
  <c r="AS386" i="5"/>
  <c r="BA386" i="5"/>
  <c r="AT604" i="5"/>
  <c r="AS595" i="5"/>
  <c r="BA595" i="5"/>
  <c r="AS464" i="5"/>
  <c r="BA464" i="5"/>
  <c r="BC464" i="5" s="1"/>
  <c r="BB602" i="5"/>
  <c r="BJ602" i="5"/>
  <c r="BD602" i="5"/>
  <c r="AQ388" i="5"/>
  <c r="AS416" i="5"/>
  <c r="BA416" i="5"/>
  <c r="BC416" i="5" s="1"/>
  <c r="M726" i="5"/>
  <c r="T726" i="5" s="1"/>
  <c r="S726" i="5" s="1"/>
  <c r="AW245" i="5"/>
  <c r="AM245" i="5"/>
  <c r="S245" i="5"/>
  <c r="U245" i="5"/>
  <c r="AS508" i="5"/>
  <c r="BA508" i="5"/>
  <c r="BC508" i="5" s="1"/>
  <c r="AP391" i="5"/>
  <c r="AP410" i="5" s="1"/>
  <c r="BA399" i="5"/>
  <c r="AS399" i="5"/>
  <c r="M716" i="5"/>
  <c r="T716" i="5" s="1"/>
  <c r="S716" i="5" s="1"/>
  <c r="U244" i="5"/>
  <c r="AM244" i="5"/>
  <c r="S244" i="5"/>
  <c r="AW244" i="5"/>
  <c r="AQ404" i="5"/>
  <c r="X409" i="5"/>
  <c r="AP654" i="5"/>
  <c r="AT190" i="5"/>
  <c r="X190" i="5"/>
  <c r="AQ190" i="5" s="1"/>
  <c r="M685" i="5"/>
  <c r="T685" i="5" s="1"/>
  <c r="S685" i="5" s="1"/>
  <c r="AQ496" i="5"/>
  <c r="AS210" i="5"/>
  <c r="BA210" i="5"/>
  <c r="AT75" i="5"/>
  <c r="X75" i="5"/>
  <c r="AA75" i="5"/>
  <c r="AQ277" i="5"/>
  <c r="AQ597" i="5"/>
  <c r="U78" i="5"/>
  <c r="T78" i="5" s="1"/>
  <c r="X71" i="5"/>
  <c r="AT71" i="5"/>
  <c r="AS485" i="5"/>
  <c r="BA485" i="5"/>
  <c r="BC485" i="5" s="1"/>
  <c r="BA30" i="5"/>
  <c r="BC30" i="5" s="1"/>
  <c r="AS30" i="5"/>
  <c r="AW726" i="5"/>
  <c r="AQ493" i="5"/>
  <c r="AS599" i="5"/>
  <c r="BA599" i="5"/>
  <c r="U310" i="5"/>
  <c r="AM310" i="5"/>
  <c r="AW310" i="5"/>
  <c r="AW746" i="5" s="1"/>
  <c r="S310" i="5"/>
  <c r="T250" i="5"/>
  <c r="M686" i="5"/>
  <c r="T686" i="5" s="1"/>
  <c r="S686" i="5" s="1"/>
  <c r="U259" i="5"/>
  <c r="AW259" i="5"/>
  <c r="AW695" i="5" s="1"/>
  <c r="AM259" i="5"/>
  <c r="AM695" i="5" s="1"/>
  <c r="S259" i="5"/>
  <c r="U296" i="5"/>
  <c r="U732" i="5" s="1"/>
  <c r="AM296" i="5"/>
  <c r="S296" i="5"/>
  <c r="AW296" i="5"/>
  <c r="AW732" i="5" s="1"/>
  <c r="AW252" i="5"/>
  <c r="AM252" i="5"/>
  <c r="S252" i="5"/>
  <c r="U252" i="5"/>
  <c r="U327" i="5"/>
  <c r="AW327" i="5"/>
  <c r="S327" i="5"/>
  <c r="S288" i="5"/>
  <c r="AW288" i="5"/>
  <c r="U288" i="5"/>
  <c r="AM288" i="5"/>
  <c r="AM724" i="5" s="1"/>
  <c r="AW306" i="5"/>
  <c r="AW742" i="5" s="1"/>
  <c r="AM306" i="5"/>
  <c r="S306" i="5"/>
  <c r="U306" i="5"/>
  <c r="AW329" i="5"/>
  <c r="S329" i="5"/>
  <c r="U329" i="5"/>
  <c r="BA506" i="5"/>
  <c r="BC506" i="5" s="1"/>
  <c r="AS506" i="5"/>
  <c r="AM623" i="5"/>
  <c r="BA136" i="5"/>
  <c r="AT462" i="5"/>
  <c r="X462" i="5"/>
  <c r="AQ462" i="5" s="1"/>
  <c r="AM431" i="5"/>
  <c r="BA33" i="5"/>
  <c r="BC33" i="5" s="1"/>
  <c r="AS33" i="5"/>
  <c r="U755" i="5"/>
  <c r="X103" i="5"/>
  <c r="AQ103" i="5" s="1"/>
  <c r="AP103" i="5"/>
  <c r="AP105" i="5" s="1"/>
  <c r="AP107" i="5" s="1"/>
  <c r="AP758" i="5" s="1"/>
  <c r="AT103" i="5"/>
  <c r="AS270" i="5"/>
  <c r="BA270" i="5"/>
  <c r="BC270" i="5" s="1"/>
  <c r="AT391" i="5"/>
  <c r="AS382" i="5"/>
  <c r="BA382" i="5"/>
  <c r="AT143" i="5"/>
  <c r="X143" i="5"/>
  <c r="AQ143" i="5" s="1"/>
  <c r="M694" i="5"/>
  <c r="T694" i="5" s="1"/>
  <c r="S694" i="5" s="1"/>
  <c r="M688" i="5"/>
  <c r="T688" i="5" s="1"/>
  <c r="S688" i="5" s="1"/>
  <c r="AQ507" i="5"/>
  <c r="AS407" i="5"/>
  <c r="BA407" i="5"/>
  <c r="BC407" i="5" s="1"/>
  <c r="BC617" i="5"/>
  <c r="BA622" i="5"/>
  <c r="AS271" i="5"/>
  <c r="BA271" i="5"/>
  <c r="BC271" i="5" s="1"/>
  <c r="AQ487" i="5"/>
  <c r="AW752" i="5"/>
  <c r="AW756" i="5" s="1"/>
  <c r="AW105" i="5"/>
  <c r="BA427" i="5"/>
  <c r="BC427" i="5" s="1"/>
  <c r="AS427" i="5"/>
  <c r="AS568" i="5"/>
  <c r="BA568" i="5"/>
  <c r="BC568" i="5" s="1"/>
  <c r="U707" i="5"/>
  <c r="X707" i="5" s="1"/>
  <c r="AQ707" i="5" s="1"/>
  <c r="AT55" i="5"/>
  <c r="X55" i="5"/>
  <c r="AQ55" i="5" s="1"/>
  <c r="AS355" i="5"/>
  <c r="BA355" i="5"/>
  <c r="BC355" i="5" s="1"/>
  <c r="BD630" i="5"/>
  <c r="BB630" i="5"/>
  <c r="BJ630" i="5"/>
  <c r="BA634" i="5"/>
  <c r="BC627" i="5"/>
  <c r="M742" i="5"/>
  <c r="T742" i="5" s="1"/>
  <c r="S742" i="5" s="1"/>
  <c r="AS378" i="5"/>
  <c r="BA378" i="5"/>
  <c r="BC378" i="5" s="1"/>
  <c r="AQ211" i="5"/>
  <c r="AA402" i="5"/>
  <c r="BC609" i="5"/>
  <c r="AS589" i="5"/>
  <c r="BA589" i="5"/>
  <c r="BC589" i="5" s="1"/>
  <c r="BA275" i="5"/>
  <c r="AS275" i="5"/>
  <c r="AS318" i="5"/>
  <c r="BA318" i="5"/>
  <c r="X517" i="5"/>
  <c r="AQ512" i="5"/>
  <c r="AQ517" i="5" s="1"/>
  <c r="U705" i="5"/>
  <c r="X705" i="5" s="1"/>
  <c r="AQ705" i="5" s="1"/>
  <c r="X53" i="5"/>
  <c r="AQ53" i="5" s="1"/>
  <c r="AT53" i="5"/>
  <c r="AQ385" i="5"/>
  <c r="BA590" i="5"/>
  <c r="BC590" i="5" s="1"/>
  <c r="AS590" i="5"/>
  <c r="AM205" i="5"/>
  <c r="AM215" i="5" s="1"/>
  <c r="AT151" i="5"/>
  <c r="X151" i="5"/>
  <c r="AQ151" i="5" s="1"/>
  <c r="AT93" i="5"/>
  <c r="X93" i="5"/>
  <c r="AQ93" i="5" s="1"/>
  <c r="AS169" i="5"/>
  <c r="BA169" i="5"/>
  <c r="AS522" i="5"/>
  <c r="BA522" i="5"/>
  <c r="AT529" i="5"/>
  <c r="BA524" i="5"/>
  <c r="BC524" i="5" s="1"/>
  <c r="AS524" i="5"/>
  <c r="BA29" i="5"/>
  <c r="BC29" i="5" s="1"/>
  <c r="AS29" i="5"/>
  <c r="U97" i="5"/>
  <c r="AT90" i="5"/>
  <c r="X90" i="5"/>
  <c r="BA525" i="5"/>
  <c r="BC525" i="5" s="1"/>
  <c r="AS525" i="5"/>
  <c r="AW85" i="5"/>
  <c r="AQ588" i="5"/>
  <c r="AQ593" i="5" s="1"/>
  <c r="X593" i="5"/>
  <c r="BB587" i="5"/>
  <c r="BJ587" i="5"/>
  <c r="BD587" i="5"/>
  <c r="AQ644" i="5"/>
  <c r="AW56" i="5"/>
  <c r="BA317" i="5"/>
  <c r="BC317" i="5" s="1"/>
  <c r="AS317" i="5"/>
  <c r="AS484" i="5"/>
  <c r="BA484" i="5"/>
  <c r="BC484" i="5" s="1"/>
  <c r="AM732" i="5"/>
  <c r="AM85" i="5"/>
  <c r="X213" i="5"/>
  <c r="AQ208" i="5"/>
  <c r="AT321" i="5"/>
  <c r="BA316" i="5"/>
  <c r="AS316" i="5"/>
  <c r="BA494" i="5"/>
  <c r="AS494" i="5"/>
  <c r="BA534" i="5"/>
  <c r="BC534" i="5" s="1"/>
  <c r="AS534" i="5"/>
  <c r="U431" i="5"/>
  <c r="T431" i="5" s="1"/>
  <c r="T421" i="5"/>
  <c r="BD612" i="5"/>
  <c r="BB612" i="5"/>
  <c r="X91" i="5"/>
  <c r="AQ91" i="5" s="1"/>
  <c r="AT91" i="5"/>
  <c r="AA188" i="5"/>
  <c r="X188" i="5"/>
  <c r="U193" i="5"/>
  <c r="T193" i="5" s="1"/>
  <c r="AT188" i="5"/>
  <c r="AT202" i="5"/>
  <c r="X202" i="5"/>
  <c r="AQ202" i="5" s="1"/>
  <c r="AW146" i="5"/>
  <c r="AM146" i="5"/>
  <c r="S146" i="5"/>
  <c r="U146" i="5"/>
  <c r="X200" i="5"/>
  <c r="AQ200" i="5" s="1"/>
  <c r="AT200" i="5"/>
  <c r="X488" i="5"/>
  <c r="AQ482" i="5"/>
  <c r="BA515" i="5"/>
  <c r="BC515" i="5" s="1"/>
  <c r="AS515" i="5"/>
  <c r="AS163" i="5"/>
  <c r="BA163" i="5"/>
  <c r="BC163" i="5" s="1"/>
  <c r="AS274" i="5"/>
  <c r="BA274" i="5"/>
  <c r="T604" i="5"/>
  <c r="BA504" i="5"/>
  <c r="BC504" i="5" s="1"/>
  <c r="AS504" i="5"/>
  <c r="BD577" i="5"/>
  <c r="BL577" i="5"/>
  <c r="BB577" i="5"/>
  <c r="AS383" i="5"/>
  <c r="BA383" i="5"/>
  <c r="BC383" i="5" s="1"/>
  <c r="T687" i="5"/>
  <c r="S687" i="5" s="1"/>
  <c r="M674" i="5"/>
  <c r="AW247" i="5"/>
  <c r="AM247" i="5"/>
  <c r="S247" i="5"/>
  <c r="U247" i="5"/>
  <c r="BA387" i="5"/>
  <c r="AS387" i="5"/>
  <c r="AQ399" i="5"/>
  <c r="BD639" i="5"/>
  <c r="BK639" i="5"/>
  <c r="BB639" i="5"/>
  <c r="M434" i="5"/>
  <c r="M760" i="5" s="1"/>
  <c r="T760" i="5" s="1"/>
  <c r="S760" i="5" s="1"/>
  <c r="T352" i="5"/>
  <c r="AS513" i="5"/>
  <c r="BA513" i="5"/>
  <c r="BC513" i="5" s="1"/>
  <c r="BA362" i="5"/>
  <c r="BC362" i="5" s="1"/>
  <c r="AS362" i="5"/>
  <c r="AS354" i="5"/>
  <c r="BA354" i="5"/>
  <c r="BC354" i="5" s="1"/>
  <c r="X63" i="5"/>
  <c r="AT63" i="5"/>
  <c r="AP63" i="5"/>
  <c r="AP67" i="5" s="1"/>
  <c r="AP86" i="5" s="1"/>
  <c r="AP117" i="5" s="1"/>
  <c r="AS269" i="5"/>
  <c r="BA269" i="5"/>
  <c r="BC269" i="5" s="1"/>
  <c r="AA183" i="5"/>
  <c r="X183" i="5"/>
  <c r="AT183" i="5"/>
  <c r="AW141" i="5"/>
  <c r="AM141" i="5"/>
  <c r="S141" i="5"/>
  <c r="U141" i="5"/>
  <c r="AT181" i="5"/>
  <c r="X181" i="5"/>
  <c r="AQ181" i="5" s="1"/>
  <c r="AM186" i="5"/>
  <c r="AM194" i="5" s="1"/>
  <c r="BA359" i="5"/>
  <c r="BC359" i="5" s="1"/>
  <c r="AS359" i="5"/>
  <c r="X73" i="5"/>
  <c r="AQ73" i="5" s="1"/>
  <c r="AT73" i="5"/>
  <c r="AM710" i="5"/>
  <c r="AM67" i="5"/>
  <c r="AT34" i="5"/>
  <c r="X34" i="5"/>
  <c r="AQ34" i="5" s="1"/>
  <c r="AM539" i="5"/>
  <c r="AS523" i="5"/>
  <c r="BA523" i="5"/>
  <c r="BC523" i="5" s="1"/>
  <c r="BA572" i="5"/>
  <c r="BC572" i="5" s="1"/>
  <c r="AS572" i="5"/>
  <c r="AM78" i="5"/>
  <c r="BD542" i="5"/>
  <c r="BC546" i="5"/>
  <c r="BB542" i="5"/>
  <c r="BK542" i="5"/>
  <c r="BL569" i="5"/>
  <c r="BB569" i="5"/>
  <c r="BD569" i="5"/>
  <c r="AW724" i="5"/>
  <c r="U713" i="5"/>
  <c r="AT61" i="5"/>
  <c r="AA61" i="5"/>
  <c r="X61" i="5"/>
  <c r="T291" i="5"/>
  <c r="M727" i="5"/>
  <c r="T727" i="5" s="1"/>
  <c r="S727" i="5" s="1"/>
  <c r="U253" i="5"/>
  <c r="AW253" i="5"/>
  <c r="AM253" i="5"/>
  <c r="S253" i="5"/>
  <c r="AW280" i="5"/>
  <c r="AW716" i="5" s="1"/>
  <c r="U280" i="5"/>
  <c r="S280" i="5"/>
  <c r="AM280" i="5"/>
  <c r="AW297" i="5"/>
  <c r="AW733" i="5" s="1"/>
  <c r="U297" i="5"/>
  <c r="AM297" i="5"/>
  <c r="S297" i="5"/>
  <c r="AW266" i="5"/>
  <c r="AW272" i="5" s="1"/>
  <c r="AW709" i="5" s="1"/>
  <c r="AM266" i="5"/>
  <c r="AM272" i="5" s="1"/>
  <c r="S266" i="5"/>
  <c r="U266" i="5"/>
  <c r="AM254" i="5"/>
  <c r="S254" i="5"/>
  <c r="U254" i="5"/>
  <c r="AW254" i="5"/>
  <c r="AW292" i="5"/>
  <c r="AM292" i="5"/>
  <c r="AM728" i="5" s="1"/>
  <c r="S292" i="5"/>
  <c r="U292" i="5"/>
  <c r="U728" i="5" s="1"/>
  <c r="X728" i="5" s="1"/>
  <c r="T309" i="5"/>
  <c r="M745" i="5"/>
  <c r="T745" i="5" s="1"/>
  <c r="S745" i="5" s="1"/>
  <c r="AS363" i="5"/>
  <c r="BA363" i="5"/>
  <c r="BC363" i="5" s="1"/>
  <c r="AQ28" i="5"/>
  <c r="AQ45" i="5" s="1"/>
  <c r="BK619" i="5"/>
  <c r="BB619" i="5"/>
  <c r="BD619" i="5"/>
  <c r="U754" i="5"/>
  <c r="AT102" i="5"/>
  <c r="AA102" i="5"/>
  <c r="AA105" i="5" s="1"/>
  <c r="AA107" i="5" s="1"/>
  <c r="AA758" i="5" s="1"/>
  <c r="X102" i="5"/>
  <c r="AQ102" i="5" s="1"/>
  <c r="AM716" i="5"/>
  <c r="AS268" i="5"/>
  <c r="BA268" i="5"/>
  <c r="BC268" i="5" s="1"/>
  <c r="AQ382" i="5"/>
  <c r="X391" i="5"/>
  <c r="X201" i="5"/>
  <c r="AQ201" i="5" s="1"/>
  <c r="AT201" i="5"/>
  <c r="AT189" i="5"/>
  <c r="AA189" i="5"/>
  <c r="X189" i="5"/>
  <c r="AW150" i="5"/>
  <c r="AW694" i="5" s="1"/>
  <c r="AM150" i="5"/>
  <c r="AM694" i="5" s="1"/>
  <c r="S150" i="5"/>
  <c r="U150" i="5"/>
  <c r="U144" i="5"/>
  <c r="AW144" i="5"/>
  <c r="AW688" i="5" s="1"/>
  <c r="AM144" i="5"/>
  <c r="AM688" i="5" s="1"/>
  <c r="S144" i="5"/>
  <c r="X158" i="5"/>
  <c r="U164" i="5"/>
  <c r="AT158" i="5"/>
  <c r="AS505" i="5"/>
  <c r="BA505" i="5"/>
  <c r="BC505" i="5" s="1"/>
  <c r="U752" i="5"/>
  <c r="AT100" i="5"/>
  <c r="X100" i="5"/>
  <c r="U105" i="5"/>
  <c r="T105" i="5" s="1"/>
  <c r="AT510" i="5"/>
  <c r="AS503" i="5"/>
  <c r="BA503" i="5"/>
  <c r="AS374" i="5"/>
  <c r="AT380" i="5"/>
  <c r="BA374" i="5"/>
  <c r="BA366" i="5"/>
  <c r="BC366" i="5" s="1"/>
  <c r="AS366" i="5"/>
  <c r="AS426" i="5"/>
  <c r="BA426" i="5"/>
  <c r="BC426" i="5" s="1"/>
  <c r="M682" i="5"/>
  <c r="T682" i="5" s="1"/>
  <c r="S682" i="5" s="1"/>
  <c r="AS43" i="5"/>
  <c r="BA43" i="5"/>
  <c r="BC43" i="5" s="1"/>
  <c r="M702" i="5"/>
  <c r="T702" i="5" s="1"/>
  <c r="S702" i="5" s="1"/>
  <c r="M744" i="5"/>
  <c r="T744" i="5" s="1"/>
  <c r="S744" i="5" s="1"/>
  <c r="AS166" i="5"/>
  <c r="BA166" i="5"/>
  <c r="AS490" i="5"/>
  <c r="AT499" i="5"/>
  <c r="BA490" i="5"/>
  <c r="X537" i="5"/>
  <c r="AQ532" i="5"/>
  <c r="AQ537" i="5" s="1"/>
  <c r="AS533" i="5"/>
  <c r="BA533" i="5"/>
  <c r="BC533" i="5" s="1"/>
  <c r="BA397" i="5"/>
  <c r="BC397" i="5" s="1"/>
  <c r="AS397" i="5"/>
  <c r="BL578" i="5"/>
  <c r="BB578" i="5"/>
  <c r="BD578" i="5"/>
  <c r="BC28" i="5"/>
  <c r="BD579" i="5"/>
  <c r="BL579" i="5"/>
  <c r="BB579" i="5"/>
  <c r="M732" i="5"/>
  <c r="T732" i="5" s="1"/>
  <c r="S732" i="5" s="1"/>
  <c r="M728" i="5"/>
  <c r="T728" i="5" s="1"/>
  <c r="S728" i="5" s="1"/>
  <c r="AS591" i="5"/>
  <c r="BA591" i="5"/>
  <c r="BC591" i="5" s="1"/>
  <c r="X465" i="5"/>
  <c r="AQ465" i="5" s="1"/>
  <c r="AT465" i="5"/>
  <c r="AA517" i="5"/>
  <c r="BA497" i="5"/>
  <c r="BC497" i="5" s="1"/>
  <c r="AS497" i="5"/>
  <c r="AS483" i="5"/>
  <c r="BA483" i="5"/>
  <c r="BC483" i="5" s="1"/>
  <c r="AW205" i="5"/>
  <c r="AW215" i="5" s="1"/>
  <c r="M692" i="5"/>
  <c r="T692" i="5" s="1"/>
  <c r="S692" i="5" s="1"/>
  <c r="M683" i="5"/>
  <c r="T683" i="5" s="1"/>
  <c r="S683" i="5" s="1"/>
  <c r="AS472" i="5"/>
  <c r="BA472" i="5"/>
  <c r="BC472" i="5" s="1"/>
  <c r="AS417" i="5"/>
  <c r="BA417" i="5"/>
  <c r="BC417" i="5" s="1"/>
  <c r="AS596" i="5"/>
  <c r="BA596" i="5"/>
  <c r="BC596" i="5" s="1"/>
  <c r="U539" i="5"/>
  <c r="T539" i="5" s="1"/>
  <c r="T529" i="5"/>
  <c r="BD647" i="5"/>
  <c r="BC651" i="5"/>
  <c r="BB647" i="5"/>
  <c r="U711" i="5"/>
  <c r="X59" i="5"/>
  <c r="AT59" i="5"/>
  <c r="AA59" i="5"/>
  <c r="AM56" i="5"/>
  <c r="AM86" i="5" s="1"/>
  <c r="AS379" i="5"/>
  <c r="BA379" i="5"/>
  <c r="BC379" i="5" s="1"/>
  <c r="U714" i="5"/>
  <c r="AT62" i="5"/>
  <c r="X62" i="5"/>
  <c r="AA62" i="5"/>
  <c r="AW728" i="5"/>
  <c r="X644" i="5"/>
  <c r="AW97" i="5"/>
  <c r="AS167" i="5"/>
  <c r="BA167" i="5"/>
  <c r="BC167" i="5" s="1"/>
  <c r="BL42" i="5"/>
  <c r="BB42" i="5"/>
  <c r="BD42" i="5"/>
  <c r="BD601" i="5"/>
  <c r="BA168" i="5"/>
  <c r="BC168" i="5" s="1"/>
  <c r="AS168" i="5"/>
  <c r="U85" i="5"/>
  <c r="T85" i="5" s="1"/>
  <c r="AT80" i="5"/>
  <c r="X80" i="5"/>
  <c r="AA80" i="5"/>
  <c r="AA85" i="5" s="1"/>
  <c r="AT213" i="5"/>
  <c r="AS208" i="5"/>
  <c r="BA208" i="5"/>
  <c r="AS384" i="5"/>
  <c r="BA384" i="5"/>
  <c r="BC384" i="5" s="1"/>
  <c r="AS486" i="5"/>
  <c r="BA486" i="5"/>
  <c r="BC486" i="5" s="1"/>
  <c r="U623" i="5"/>
  <c r="T593" i="5"/>
  <c r="AT461" i="5"/>
  <c r="X461" i="5"/>
  <c r="AQ461" i="5" s="1"/>
  <c r="BA471" i="5"/>
  <c r="BC471" i="5" s="1"/>
  <c r="AS471" i="5"/>
  <c r="BL571" i="5"/>
  <c r="BB571" i="5"/>
  <c r="BD571" i="5"/>
  <c r="AS356" i="5"/>
  <c r="BA356" i="5"/>
  <c r="BC356" i="5" s="1"/>
  <c r="AT421" i="5"/>
  <c r="AT431" i="5" s="1"/>
  <c r="BA414" i="5"/>
  <c r="AS414" i="5"/>
  <c r="AS209" i="5"/>
  <c r="BA209" i="5"/>
  <c r="BC209" i="5" s="1"/>
  <c r="AS491" i="5"/>
  <c r="BA491" i="5"/>
  <c r="BC491" i="5" s="1"/>
  <c r="AW221" i="5"/>
  <c r="S221" i="5"/>
  <c r="U221" i="5"/>
  <c r="AW193" i="5"/>
  <c r="U137" i="5"/>
  <c r="AW137" i="5"/>
  <c r="AM137" i="5"/>
  <c r="AM681" i="5" s="1"/>
  <c r="S137" i="5"/>
  <c r="X182" i="5"/>
  <c r="AQ182" i="5" s="1"/>
  <c r="AT182" i="5"/>
  <c r="AS495" i="5"/>
  <c r="BA495" i="5"/>
  <c r="BC495" i="5" s="1"/>
  <c r="U518" i="5"/>
  <c r="T518" i="5" s="1"/>
  <c r="T488" i="5"/>
  <c r="BA364" i="5"/>
  <c r="BC364" i="5" s="1"/>
  <c r="AS364" i="5"/>
  <c r="AQ386" i="5"/>
  <c r="AQ595" i="5"/>
  <c r="X604" i="5"/>
  <c r="AW539" i="5"/>
  <c r="AS388" i="5"/>
  <c r="BA388" i="5"/>
  <c r="BK638" i="5"/>
  <c r="BB638" i="5"/>
  <c r="BD638" i="5"/>
  <c r="U246" i="5"/>
  <c r="AW246" i="5"/>
  <c r="S246" i="5"/>
  <c r="AM246" i="5"/>
  <c r="AM249" i="5"/>
  <c r="S249" i="5"/>
  <c r="U249" i="5"/>
  <c r="AW249" i="5"/>
  <c r="BD629" i="5"/>
  <c r="BB629" i="5"/>
  <c r="BJ629" i="5"/>
  <c r="BJ644" i="5" s="1"/>
  <c r="AS170" i="5"/>
  <c r="BA170" i="5"/>
  <c r="AW623" i="5"/>
  <c r="AM460" i="5"/>
  <c r="AM477" i="5" s="1"/>
  <c r="S460" i="5"/>
  <c r="AW460" i="5"/>
  <c r="U460" i="5"/>
  <c r="X467" i="5"/>
  <c r="AQ467" i="5" s="1"/>
  <c r="AT467" i="5"/>
  <c r="X429" i="5"/>
  <c r="AQ424" i="5"/>
  <c r="AQ429" i="5" s="1"/>
  <c r="AS319" i="5"/>
  <c r="BA319" i="5"/>
  <c r="BC319" i="5" s="1"/>
  <c r="S220" i="5"/>
  <c r="AW220" i="5"/>
  <c r="U220" i="5"/>
  <c r="AT172" i="5"/>
  <c r="AP172" i="5"/>
  <c r="X172" i="5"/>
  <c r="X175" i="5" s="1"/>
  <c r="X171" i="5"/>
  <c r="AP171" i="5"/>
  <c r="AT171" i="5"/>
  <c r="AW186" i="5"/>
  <c r="BA473" i="5"/>
  <c r="BC473" i="5" s="1"/>
  <c r="AS473" i="5"/>
  <c r="BA496" i="5"/>
  <c r="AS496" i="5"/>
  <c r="BL576" i="5"/>
  <c r="BB576" i="5"/>
  <c r="BD576" i="5"/>
  <c r="U710" i="5"/>
  <c r="AT58" i="5"/>
  <c r="U67" i="5"/>
  <c r="T67" i="5" s="1"/>
  <c r="AA58" i="5"/>
  <c r="X58" i="5"/>
  <c r="AQ210" i="5"/>
  <c r="AS32" i="5"/>
  <c r="BA32" i="5"/>
  <c r="BC32" i="5" s="1"/>
  <c r="AW78" i="5"/>
  <c r="U712" i="5"/>
  <c r="AA60" i="5"/>
  <c r="X60" i="5"/>
  <c r="AQ60" i="5" s="1"/>
  <c r="AT60" i="5"/>
  <c r="AS376" i="5"/>
  <c r="BA376" i="5"/>
  <c r="BC376" i="5" s="1"/>
  <c r="BA39" i="5"/>
  <c r="BC39" i="5" s="1"/>
  <c r="AS39" i="5"/>
  <c r="T644" i="5"/>
  <c r="AM733" i="5"/>
  <c r="U726" i="5"/>
  <c r="X726" i="5" s="1"/>
  <c r="AT74" i="5"/>
  <c r="X74" i="5"/>
  <c r="AQ74" i="5" s="1"/>
  <c r="AQ599" i="5"/>
  <c r="AS36" i="5"/>
  <c r="BA36" i="5"/>
  <c r="BC36" i="5" s="1"/>
  <c r="T281" i="5"/>
  <c r="M717" i="5"/>
  <c r="T717" i="5" s="1"/>
  <c r="S717" i="5" s="1"/>
  <c r="U255" i="5"/>
  <c r="AW255" i="5"/>
  <c r="AM255" i="5"/>
  <c r="S255" i="5"/>
  <c r="U287" i="5"/>
  <c r="AW287" i="5"/>
  <c r="AM287" i="5"/>
  <c r="AM723" i="5" s="1"/>
  <c r="S287" i="5"/>
  <c r="T298" i="5"/>
  <c r="M734" i="5"/>
  <c r="T734" i="5" s="1"/>
  <c r="S734" i="5" s="1"/>
  <c r="T279" i="5"/>
  <c r="M715" i="5"/>
  <c r="T715" i="5" s="1"/>
  <c r="S715" i="5" s="1"/>
  <c r="AM256" i="5"/>
  <c r="S256" i="5"/>
  <c r="U256" i="5"/>
  <c r="AW256" i="5"/>
  <c r="AM299" i="5"/>
  <c r="AM735" i="5" s="1"/>
  <c r="S299" i="5"/>
  <c r="U299" i="5"/>
  <c r="U735" i="5" s="1"/>
  <c r="X735" i="5" s="1"/>
  <c r="AW299" i="5"/>
  <c r="AW735" i="5" s="1"/>
  <c r="AM308" i="5"/>
  <c r="AM744" i="5" s="1"/>
  <c r="S308" i="5"/>
  <c r="U308" i="5"/>
  <c r="U744" i="5" s="1"/>
  <c r="X744" i="5" s="1"/>
  <c r="AW308" i="5"/>
  <c r="AW744" i="5" s="1"/>
  <c r="AS466" i="5"/>
  <c r="BA466" i="5"/>
  <c r="BC466" i="5" s="1"/>
  <c r="BL580" i="5"/>
  <c r="BB580" i="5"/>
  <c r="AY580" i="5" s="1"/>
  <c r="AY582" i="5" s="1"/>
  <c r="BD580" i="5"/>
  <c r="BA41" i="5"/>
  <c r="BC41" i="5" s="1"/>
  <c r="AS41" i="5"/>
  <c r="U45" i="5"/>
  <c r="U703" i="5"/>
  <c r="X703" i="5" s="1"/>
  <c r="AQ703" i="5" s="1"/>
  <c r="X51" i="5"/>
  <c r="AQ51" i="5" s="1"/>
  <c r="AT51" i="5"/>
  <c r="AT83" i="5"/>
  <c r="X83" i="5"/>
  <c r="AQ83" i="5" s="1"/>
  <c r="AS470" i="5"/>
  <c r="BA470" i="5"/>
  <c r="BC470" i="5" s="1"/>
  <c r="U706" i="5"/>
  <c r="X706" i="5" s="1"/>
  <c r="AQ706" i="5" s="1"/>
  <c r="AT54" i="5"/>
  <c r="X54" i="5"/>
  <c r="AQ54" i="5" s="1"/>
  <c r="AS161" i="5"/>
  <c r="BA161" i="5"/>
  <c r="BC161" i="5" s="1"/>
  <c r="AA709" i="5"/>
  <c r="AA623" i="5"/>
  <c r="U219" i="5"/>
  <c r="AW219" i="5"/>
  <c r="S219" i="5"/>
  <c r="M689" i="5"/>
  <c r="T689" i="5" s="1"/>
  <c r="S689" i="5" s="1"/>
  <c r="BA507" i="5"/>
  <c r="BC507" i="5" s="1"/>
  <c r="AS507" i="5"/>
  <c r="AS526" i="5"/>
  <c r="BA526" i="5"/>
  <c r="BC526" i="5" s="1"/>
  <c r="AS358" i="5"/>
  <c r="BA358" i="5"/>
  <c r="BC358" i="5" s="1"/>
  <c r="BA642" i="5"/>
  <c r="BC637" i="5"/>
  <c r="AS622" i="5"/>
  <c r="AS377" i="5"/>
  <c r="BA377" i="5"/>
  <c r="BC377" i="5" s="1"/>
  <c r="U410" i="5"/>
  <c r="T410" i="5" s="1"/>
  <c r="T380" i="5"/>
  <c r="BD620" i="5"/>
  <c r="BB620" i="5"/>
  <c r="AS566" i="5"/>
  <c r="BA566" i="5"/>
  <c r="BC566" i="5" s="1"/>
  <c r="AT582" i="5"/>
  <c r="AM138" i="5"/>
  <c r="AM682" i="5" s="1"/>
  <c r="S138" i="5"/>
  <c r="U138" i="5"/>
  <c r="AW138" i="5"/>
  <c r="AW682" i="5" s="1"/>
  <c r="AT184" i="5"/>
  <c r="X184" i="5"/>
  <c r="AQ184" i="5" s="1"/>
  <c r="X142" i="5"/>
  <c r="AQ142" i="5" s="1"/>
  <c r="AT142" i="5"/>
  <c r="AS361" i="5"/>
  <c r="BA361" i="5"/>
  <c r="BC361" i="5" s="1"/>
  <c r="AS353" i="5"/>
  <c r="BA353" i="5"/>
  <c r="BC353" i="5" s="1"/>
  <c r="AS634" i="5"/>
  <c r="AS160" i="5"/>
  <c r="BA160" i="5"/>
  <c r="BC160" i="5" s="1"/>
  <c r="AS211" i="5"/>
  <c r="BA211" i="5"/>
  <c r="BC211" i="5" s="1"/>
  <c r="AS278" i="5"/>
  <c r="BA278" i="5"/>
  <c r="BC278" i="5" s="1"/>
  <c r="AQ166" i="5"/>
  <c r="X499" i="5"/>
  <c r="AQ490" i="5"/>
  <c r="BA469" i="5"/>
  <c r="BC469" i="5" s="1"/>
  <c r="AS469" i="5"/>
  <c r="AS532" i="5"/>
  <c r="BA532" i="5"/>
  <c r="AT537" i="5"/>
  <c r="AS615" i="5"/>
  <c r="AS40" i="5"/>
  <c r="BA40" i="5"/>
  <c r="BC40" i="5" s="1"/>
  <c r="AS396" i="5"/>
  <c r="BA396" i="5"/>
  <c r="BC396" i="5" s="1"/>
  <c r="AS162" i="5"/>
  <c r="BA162" i="5"/>
  <c r="BC162" i="5" s="1"/>
  <c r="AQ275" i="5"/>
  <c r="AQ318" i="5"/>
  <c r="AS492" i="5"/>
  <c r="BA492" i="5"/>
  <c r="AS512" i="5"/>
  <c r="AT517" i="5"/>
  <c r="BA512" i="5"/>
  <c r="BB628" i="5"/>
  <c r="BD628" i="5"/>
  <c r="BL628" i="5"/>
  <c r="AS365" i="5"/>
  <c r="BA365" i="5"/>
  <c r="BC365" i="5" s="1"/>
  <c r="AM746" i="5"/>
  <c r="AS385" i="5"/>
  <c r="BA385" i="5"/>
  <c r="AT198" i="5"/>
  <c r="X198" i="5"/>
  <c r="U205" i="5"/>
  <c r="AW148" i="5"/>
  <c r="AM148" i="5"/>
  <c r="AM692" i="5" s="1"/>
  <c r="S148" i="5"/>
  <c r="U148" i="5"/>
  <c r="U139" i="5"/>
  <c r="AW139" i="5"/>
  <c r="AW683" i="5" s="1"/>
  <c r="AM139" i="5"/>
  <c r="S139" i="5"/>
  <c r="AQ169" i="5"/>
  <c r="X529" i="5"/>
  <c r="X539" i="5" s="1"/>
  <c r="AQ522" i="5"/>
  <c r="AQ529" i="5" s="1"/>
  <c r="AI106" i="15"/>
  <c r="G110" i="15"/>
  <c r="I1" i="15"/>
  <c r="S18" i="15"/>
  <c r="AH18" i="15" s="1"/>
  <c r="AJ18" i="15" s="1"/>
  <c r="AH19" i="15"/>
  <c r="AJ19" i="15" s="1"/>
  <c r="AF68" i="15"/>
  <c r="AF18" i="15" s="1"/>
  <c r="AF106" i="15" s="1"/>
  <c r="AH92" i="15"/>
  <c r="AJ92" i="15" s="1"/>
  <c r="R106" i="14"/>
  <c r="N19" i="14"/>
  <c r="AB26" i="14"/>
  <c r="C12" i="6"/>
  <c r="AB12" i="6" s="1"/>
  <c r="AC12" i="6" s="1"/>
  <c r="Y12" i="6"/>
  <c r="C24" i="6"/>
  <c r="Y50" i="6"/>
  <c r="Y24" i="6"/>
  <c r="AA24" i="6" s="1"/>
  <c r="L22" i="6"/>
  <c r="Q22" i="6" s="1"/>
  <c r="W22" i="6"/>
  <c r="L11" i="6"/>
  <c r="Q11" i="6" s="1"/>
  <c r="C26" i="6"/>
  <c r="Y26" i="6"/>
  <c r="Y29" i="6"/>
  <c r="C29" i="6"/>
  <c r="Q12" i="6"/>
  <c r="Q10" i="6" s="1"/>
  <c r="L10" i="6"/>
  <c r="U11" i="6"/>
  <c r="U4" i="6" s="1"/>
  <c r="R4" i="6"/>
  <c r="C10" i="6"/>
  <c r="Y10" i="6"/>
  <c r="W9" i="6"/>
  <c r="P4" i="6"/>
  <c r="V9" i="6"/>
  <c r="AS517" i="5" l="1"/>
  <c r="AQ539" i="5"/>
  <c r="AQ171" i="5"/>
  <c r="AM549" i="5"/>
  <c r="AM117" i="5"/>
  <c r="AQ61" i="5"/>
  <c r="AQ63" i="5"/>
  <c r="AA193" i="5"/>
  <c r="AM683" i="5"/>
  <c r="AQ744" i="5"/>
  <c r="AS421" i="5"/>
  <c r="AW194" i="5"/>
  <c r="AA518" i="5"/>
  <c r="AA549" i="5" s="1"/>
  <c r="V68" i="8"/>
  <c r="R73" i="8"/>
  <c r="R76" i="8"/>
  <c r="R78" i="8" s="1"/>
  <c r="S69" i="8"/>
  <c r="O70" i="8"/>
  <c r="S70" i="8"/>
  <c r="T70" i="8" s="1"/>
  <c r="R71" i="8"/>
  <c r="BC492" i="5"/>
  <c r="AQ499" i="5"/>
  <c r="AQ726" i="5"/>
  <c r="AA67" i="5"/>
  <c r="AA86" i="5" s="1"/>
  <c r="AA117" i="5" s="1"/>
  <c r="BC496" i="5"/>
  <c r="BJ496" i="5" s="1"/>
  <c r="BJ601" i="5"/>
  <c r="AT410" i="5"/>
  <c r="AQ391" i="5"/>
  <c r="AQ728" i="5"/>
  <c r="BC387" i="5"/>
  <c r="BC494" i="5"/>
  <c r="AQ409" i="5"/>
  <c r="U153" i="5"/>
  <c r="T153" i="5" s="1"/>
  <c r="AS213" i="5"/>
  <c r="BC385" i="5"/>
  <c r="BB385" i="5" s="1"/>
  <c r="AS537" i="5"/>
  <c r="AS582" i="5"/>
  <c r="BC170" i="5"/>
  <c r="BC388" i="5"/>
  <c r="AW681" i="5"/>
  <c r="AQ62" i="5"/>
  <c r="AQ59" i="5"/>
  <c r="AQ488" i="5"/>
  <c r="BC592" i="5"/>
  <c r="BL592" i="5" s="1"/>
  <c r="BC405" i="5"/>
  <c r="X205" i="5"/>
  <c r="X215" i="5" s="1"/>
  <c r="AQ198" i="5"/>
  <c r="AQ205" i="5" s="1"/>
  <c r="AQ215" i="5" s="1"/>
  <c r="BK162" i="5"/>
  <c r="BB162" i="5"/>
  <c r="BD162" i="5"/>
  <c r="BK211" i="5"/>
  <c r="BB211" i="5"/>
  <c r="BD211" i="5"/>
  <c r="BD507" i="5"/>
  <c r="BB507" i="5"/>
  <c r="AP219" i="5"/>
  <c r="AT219" i="5"/>
  <c r="AA219" i="5"/>
  <c r="AA222" i="5" s="1"/>
  <c r="X219" i="5"/>
  <c r="BL470" i="5"/>
  <c r="BB470" i="5"/>
  <c r="BD470" i="5"/>
  <c r="T45" i="5"/>
  <c r="BD466" i="5"/>
  <c r="BL466" i="5"/>
  <c r="BB466" i="5"/>
  <c r="AW723" i="5"/>
  <c r="BB388" i="5"/>
  <c r="BJ388" i="5"/>
  <c r="BD388" i="5"/>
  <c r="X85" i="5"/>
  <c r="AQ80" i="5"/>
  <c r="BK591" i="5"/>
  <c r="BB591" i="5"/>
  <c r="BD591" i="5"/>
  <c r="BB28" i="5"/>
  <c r="BL28" i="5"/>
  <c r="BD28" i="5"/>
  <c r="AS380" i="5"/>
  <c r="BB505" i="5"/>
  <c r="BD505" i="5"/>
  <c r="X164" i="5"/>
  <c r="AQ158" i="5"/>
  <c r="AQ164" i="5" s="1"/>
  <c r="AT144" i="5"/>
  <c r="X144" i="5"/>
  <c r="AQ144" i="5" s="1"/>
  <c r="U688" i="5"/>
  <c r="X688" i="5" s="1"/>
  <c r="AQ688" i="5" s="1"/>
  <c r="AS201" i="5"/>
  <c r="BA201" i="5"/>
  <c r="BC201" i="5" s="1"/>
  <c r="AM153" i="5"/>
  <c r="AM225" i="5" s="1"/>
  <c r="AT297" i="5"/>
  <c r="AA297" i="5"/>
  <c r="X297" i="5"/>
  <c r="X280" i="5"/>
  <c r="AT280" i="5"/>
  <c r="AP280" i="5"/>
  <c r="BL523" i="5"/>
  <c r="BB523" i="5"/>
  <c r="BD523" i="5"/>
  <c r="AS34" i="5"/>
  <c r="AS45" i="5" s="1"/>
  <c r="BA34" i="5"/>
  <c r="BA73" i="5"/>
  <c r="BC73" i="5" s="1"/>
  <c r="AS73" i="5"/>
  <c r="BD359" i="5"/>
  <c r="BL359" i="5"/>
  <c r="BB359" i="5"/>
  <c r="AT141" i="5"/>
  <c r="X141" i="5"/>
  <c r="AQ141" i="5" s="1"/>
  <c r="U685" i="5"/>
  <c r="X685" i="5" s="1"/>
  <c r="AS183" i="5"/>
  <c r="BA183" i="5"/>
  <c r="AW352" i="5"/>
  <c r="AW369" i="5" s="1"/>
  <c r="AM352" i="5"/>
  <c r="AM369" i="5" s="1"/>
  <c r="AM441" i="5" s="1"/>
  <c r="S352" i="5"/>
  <c r="AT352" i="5"/>
  <c r="U352" i="5"/>
  <c r="BC274" i="5"/>
  <c r="X518" i="5"/>
  <c r="AS202" i="5"/>
  <c r="BA202" i="5"/>
  <c r="BC202" i="5" s="1"/>
  <c r="BD494" i="5"/>
  <c r="BB494" i="5"/>
  <c r="BJ494" i="5"/>
  <c r="AQ213" i="5"/>
  <c r="BD484" i="5"/>
  <c r="BB484" i="5"/>
  <c r="AW86" i="5"/>
  <c r="X623" i="5"/>
  <c r="BA90" i="5"/>
  <c r="AT97" i="5"/>
  <c r="AS90" i="5"/>
  <c r="BB29" i="5"/>
  <c r="BD29" i="5"/>
  <c r="BL29" i="5"/>
  <c r="AT539" i="5"/>
  <c r="AT705" i="5"/>
  <c r="BA53" i="5"/>
  <c r="BC53" i="5" s="1"/>
  <c r="AS53" i="5"/>
  <c r="BC275" i="5"/>
  <c r="BB568" i="5"/>
  <c r="BD568" i="5"/>
  <c r="BL568" i="5"/>
  <c r="AS391" i="5"/>
  <c r="AT755" i="5"/>
  <c r="AS103" i="5"/>
  <c r="BA103" i="5"/>
  <c r="BC103" i="5" s="1"/>
  <c r="BD506" i="5"/>
  <c r="BB506" i="5"/>
  <c r="AT306" i="5"/>
  <c r="AT742" i="5" s="1"/>
  <c r="X306" i="5"/>
  <c r="U250" i="5"/>
  <c r="AW250" i="5"/>
  <c r="AW686" i="5" s="1"/>
  <c r="AM250" i="5"/>
  <c r="AM686" i="5" s="1"/>
  <c r="S250" i="5"/>
  <c r="AT310" i="5"/>
  <c r="X310" i="5"/>
  <c r="AQ310" i="5" s="1"/>
  <c r="BD30" i="5"/>
  <c r="BL30" i="5"/>
  <c r="BB30" i="5"/>
  <c r="AT78" i="5"/>
  <c r="AS71" i="5"/>
  <c r="BA71" i="5"/>
  <c r="BA75" i="5"/>
  <c r="AS75" i="5"/>
  <c r="BD464" i="5"/>
  <c r="BL464" i="5"/>
  <c r="BB464" i="5"/>
  <c r="AS402" i="5"/>
  <c r="BD406" i="5"/>
  <c r="BB406" i="5"/>
  <c r="X149" i="5"/>
  <c r="AQ149" i="5" s="1"/>
  <c r="AT149" i="5"/>
  <c r="U693" i="5"/>
  <c r="X693" i="5" s="1"/>
  <c r="AQ693" i="5" s="1"/>
  <c r="AA186" i="5"/>
  <c r="X431" i="5"/>
  <c r="AS593" i="5"/>
  <c r="BA76" i="5"/>
  <c r="BC76" i="5" s="1"/>
  <c r="AS76" i="5"/>
  <c r="AT56" i="5"/>
  <c r="AS50" i="5"/>
  <c r="BA50" i="5"/>
  <c r="AT753" i="5"/>
  <c r="AS101" i="5"/>
  <c r="BA101" i="5"/>
  <c r="BC101" i="5" s="1"/>
  <c r="BD567" i="5"/>
  <c r="BL567" i="5"/>
  <c r="BB567" i="5"/>
  <c r="BA565" i="5"/>
  <c r="AW582" i="5"/>
  <c r="AT251" i="5"/>
  <c r="X251" i="5"/>
  <c r="AQ251" i="5" s="1"/>
  <c r="U687" i="5"/>
  <c r="X687" i="5" s="1"/>
  <c r="AQ687" i="5" s="1"/>
  <c r="BK425" i="5"/>
  <c r="BB425" i="5"/>
  <c r="BD425" i="5"/>
  <c r="AT518" i="5"/>
  <c r="BB35" i="5"/>
  <c r="BD35" i="5"/>
  <c r="U746" i="5"/>
  <c r="X746" i="5" s="1"/>
  <c r="AQ746" i="5" s="1"/>
  <c r="AS463" i="5"/>
  <c r="BA463" i="5"/>
  <c r="BC463" i="5" s="1"/>
  <c r="BD475" i="5"/>
  <c r="BL475" i="5"/>
  <c r="BB475" i="5"/>
  <c r="AY475" i="5" s="1"/>
  <c r="AY477" i="5" s="1"/>
  <c r="AY698" i="5" s="1"/>
  <c r="BK418" i="5"/>
  <c r="BB418" i="5"/>
  <c r="BD418" i="5"/>
  <c r="BB360" i="5"/>
  <c r="BD360" i="5"/>
  <c r="BL360" i="5"/>
  <c r="AW689" i="5"/>
  <c r="AT258" i="5"/>
  <c r="X258" i="5"/>
  <c r="AQ258" i="5" s="1"/>
  <c r="AW289" i="5"/>
  <c r="AW725" i="5" s="1"/>
  <c r="AM289" i="5"/>
  <c r="AM725" i="5" s="1"/>
  <c r="S289" i="5"/>
  <c r="U289" i="5"/>
  <c r="AA78" i="5"/>
  <c r="AT733" i="5"/>
  <c r="BA81" i="5"/>
  <c r="AS81" i="5"/>
  <c r="BC424" i="5"/>
  <c r="BA429" i="5"/>
  <c r="BD405" i="5"/>
  <c r="BB405" i="5"/>
  <c r="BL365" i="5"/>
  <c r="BB365" i="5"/>
  <c r="BD365" i="5"/>
  <c r="AQ735" i="5"/>
  <c r="BD36" i="5"/>
  <c r="BL36" i="5"/>
  <c r="BB36" i="5"/>
  <c r="AS171" i="5"/>
  <c r="BA171" i="5"/>
  <c r="X246" i="5"/>
  <c r="AQ246" i="5" s="1"/>
  <c r="AT246" i="5"/>
  <c r="AQ604" i="5"/>
  <c r="AS182" i="5"/>
  <c r="BA182" i="5"/>
  <c r="BC182" i="5" s="1"/>
  <c r="AT714" i="5"/>
  <c r="AS62" i="5"/>
  <c r="BA62" i="5"/>
  <c r="BL472" i="5"/>
  <c r="BB472" i="5"/>
  <c r="BD472" i="5"/>
  <c r="BD497" i="5"/>
  <c r="BB497" i="5"/>
  <c r="BJ497" i="5"/>
  <c r="AS499" i="5"/>
  <c r="AT139" i="5"/>
  <c r="X139" i="5"/>
  <c r="AQ139" i="5" s="1"/>
  <c r="U683" i="5"/>
  <c r="X683" i="5" s="1"/>
  <c r="AQ683" i="5" s="1"/>
  <c r="AW692" i="5"/>
  <c r="BJ385" i="5"/>
  <c r="BC512" i="5"/>
  <c r="BA517" i="5"/>
  <c r="BL40" i="5"/>
  <c r="BB40" i="5"/>
  <c r="BD40" i="5"/>
  <c r="BD469" i="5"/>
  <c r="BL469" i="5"/>
  <c r="BB469" i="5"/>
  <c r="BB353" i="5"/>
  <c r="BD353" i="5"/>
  <c r="BL353" i="5"/>
  <c r="BA184" i="5"/>
  <c r="BC184" i="5" s="1"/>
  <c r="AS184" i="5"/>
  <c r="BD377" i="5"/>
  <c r="BB377" i="5"/>
  <c r="BJ377" i="5"/>
  <c r="BC642" i="5"/>
  <c r="BK637" i="5"/>
  <c r="BB637" i="5"/>
  <c r="BD637" i="5"/>
  <c r="BK526" i="5"/>
  <c r="BB526" i="5"/>
  <c r="BD526" i="5"/>
  <c r="AA654" i="5"/>
  <c r="AT703" i="5"/>
  <c r="BA51" i="5"/>
  <c r="BC51" i="5" s="1"/>
  <c r="AS51" i="5"/>
  <c r="U298" i="5"/>
  <c r="U301" i="5" s="1"/>
  <c r="T301" i="5" s="1"/>
  <c r="AW298" i="5"/>
  <c r="AW734" i="5" s="1"/>
  <c r="AM298" i="5"/>
  <c r="AM734" i="5" s="1"/>
  <c r="AM737" i="5" s="1"/>
  <c r="S298" i="5"/>
  <c r="AT287" i="5"/>
  <c r="X287" i="5"/>
  <c r="AT255" i="5"/>
  <c r="X255" i="5"/>
  <c r="AQ255" i="5" s="1"/>
  <c r="AS74" i="5"/>
  <c r="BA74" i="5"/>
  <c r="BC74" i="5" s="1"/>
  <c r="BB376" i="5"/>
  <c r="BD376" i="5"/>
  <c r="BL32" i="5"/>
  <c r="BD32" i="5"/>
  <c r="BB32" i="5"/>
  <c r="AP175" i="5"/>
  <c r="AP194" i="5" s="1"/>
  <c r="AS172" i="5"/>
  <c r="BA172" i="5"/>
  <c r="BK319" i="5"/>
  <c r="BB319" i="5"/>
  <c r="BD319" i="5"/>
  <c r="U477" i="5"/>
  <c r="X460" i="5"/>
  <c r="AT137" i="5"/>
  <c r="X137" i="5"/>
  <c r="AQ137" i="5" s="1"/>
  <c r="U681" i="5"/>
  <c r="X681" i="5" s="1"/>
  <c r="AQ681" i="5" s="1"/>
  <c r="BD209" i="5"/>
  <c r="BK209" i="5"/>
  <c r="BB209" i="5"/>
  <c r="BC414" i="5"/>
  <c r="BA421" i="5"/>
  <c r="BD471" i="5"/>
  <c r="BL471" i="5"/>
  <c r="BB471" i="5"/>
  <c r="BB384" i="5"/>
  <c r="BJ384" i="5"/>
  <c r="BD384" i="5"/>
  <c r="BA80" i="5"/>
  <c r="AS80" i="5"/>
  <c r="AT85" i="5"/>
  <c r="BB168" i="5"/>
  <c r="BJ168" i="5"/>
  <c r="BD168" i="5"/>
  <c r="AW107" i="5"/>
  <c r="AA714" i="5"/>
  <c r="X714" i="5"/>
  <c r="AM702" i="5"/>
  <c r="AM708" i="5" s="1"/>
  <c r="X711" i="5"/>
  <c r="AA711" i="5"/>
  <c r="BB483" i="5"/>
  <c r="BD483" i="5"/>
  <c r="BD397" i="5"/>
  <c r="BB397" i="5"/>
  <c r="AT175" i="5"/>
  <c r="BD366" i="5"/>
  <c r="BL366" i="5"/>
  <c r="BB366" i="5"/>
  <c r="BC503" i="5"/>
  <c r="BA510" i="5"/>
  <c r="X105" i="5"/>
  <c r="AQ100" i="5"/>
  <c r="AQ105" i="5" s="1"/>
  <c r="AT150" i="5"/>
  <c r="X150" i="5"/>
  <c r="AQ150" i="5" s="1"/>
  <c r="U694" i="5"/>
  <c r="X694" i="5" s="1"/>
  <c r="AQ694" i="5" s="1"/>
  <c r="AQ189" i="5"/>
  <c r="BD268" i="5"/>
  <c r="BB268" i="5"/>
  <c r="X45" i="5"/>
  <c r="AM309" i="5"/>
  <c r="AM745" i="5" s="1"/>
  <c r="S309" i="5"/>
  <c r="AW309" i="5"/>
  <c r="AW745" i="5" s="1"/>
  <c r="U309" i="5"/>
  <c r="AT253" i="5"/>
  <c r="X253" i="5"/>
  <c r="AQ253" i="5" s="1"/>
  <c r="AQ183" i="5"/>
  <c r="BD354" i="5"/>
  <c r="BL354" i="5"/>
  <c r="BB354" i="5"/>
  <c r="BD362" i="5"/>
  <c r="BL362" i="5"/>
  <c r="BB362" i="5"/>
  <c r="T434" i="5"/>
  <c r="M435" i="5"/>
  <c r="M436" i="5"/>
  <c r="M437" i="5"/>
  <c r="AT247" i="5"/>
  <c r="X247" i="5"/>
  <c r="AQ247" i="5" s="1"/>
  <c r="BD504" i="5"/>
  <c r="BB504" i="5"/>
  <c r="AS200" i="5"/>
  <c r="BA200" i="5"/>
  <c r="BC200" i="5" s="1"/>
  <c r="AM690" i="5"/>
  <c r="AT193" i="5"/>
  <c r="AS188" i="5"/>
  <c r="BA188" i="5"/>
  <c r="AS91" i="5"/>
  <c r="BA91" i="5"/>
  <c r="BC91" i="5" s="1"/>
  <c r="AS321" i="5"/>
  <c r="AW702" i="5"/>
  <c r="AW708" i="5" s="1"/>
  <c r="AQ623" i="5"/>
  <c r="BJ525" i="5"/>
  <c r="BD525" i="5"/>
  <c r="BB525" i="5"/>
  <c r="U107" i="5"/>
  <c r="T107" i="5" s="1"/>
  <c r="T97" i="5"/>
  <c r="BA529" i="5"/>
  <c r="BA539" i="5" s="1"/>
  <c r="BC522" i="5"/>
  <c r="AS151" i="5"/>
  <c r="BA151" i="5"/>
  <c r="BC151" i="5" s="1"/>
  <c r="BJ590" i="5"/>
  <c r="BJ593" i="5" s="1"/>
  <c r="BJ623" i="5" s="1"/>
  <c r="BD590" i="5"/>
  <c r="BB590" i="5"/>
  <c r="BC318" i="5"/>
  <c r="BB589" i="5"/>
  <c r="BD589" i="5"/>
  <c r="BB33" i="5"/>
  <c r="BD33" i="5"/>
  <c r="BL33" i="5"/>
  <c r="BA462" i="5"/>
  <c r="BC462" i="5" s="1"/>
  <c r="AS462" i="5"/>
  <c r="AM709" i="5"/>
  <c r="AP329" i="5"/>
  <c r="AT329" i="5"/>
  <c r="X329" i="5"/>
  <c r="AA288" i="5"/>
  <c r="X288" i="5"/>
  <c r="AQ288" i="5" s="1"/>
  <c r="AT288" i="5"/>
  <c r="BC599" i="5"/>
  <c r="X78" i="5"/>
  <c r="AQ71" i="5"/>
  <c r="AM261" i="5"/>
  <c r="BC399" i="5"/>
  <c r="AT245" i="5"/>
  <c r="X245" i="5"/>
  <c r="AQ245" i="5" s="1"/>
  <c r="BC386" i="5"/>
  <c r="AS180" i="5"/>
  <c r="BA180" i="5"/>
  <c r="AQ431" i="5"/>
  <c r="BA92" i="5"/>
  <c r="BC92" i="5" s="1"/>
  <c r="AS92" i="5"/>
  <c r="U86" i="5"/>
  <c r="T86" i="5" s="1"/>
  <c r="T56" i="5"/>
  <c r="BB267" i="5"/>
  <c r="BD267" i="5"/>
  <c r="BB389" i="5"/>
  <c r="BJ389" i="5"/>
  <c r="BD389" i="5"/>
  <c r="BD375" i="5"/>
  <c r="BB375" i="5"/>
  <c r="BD367" i="5"/>
  <c r="BL367" i="5"/>
  <c r="BB367" i="5"/>
  <c r="AT218" i="5"/>
  <c r="U222" i="5"/>
  <c r="T222" i="5" s="1"/>
  <c r="X218" i="5"/>
  <c r="BD468" i="5"/>
  <c r="BL468" i="5"/>
  <c r="BB468" i="5"/>
  <c r="BB598" i="5"/>
  <c r="BJ598" i="5"/>
  <c r="BD598" i="5"/>
  <c r="AQ510" i="5"/>
  <c r="BC487" i="5"/>
  <c r="AS173" i="5"/>
  <c r="BA173" i="5"/>
  <c r="BC173" i="5" s="1"/>
  <c r="X145" i="5"/>
  <c r="AQ145" i="5" s="1"/>
  <c r="AT145" i="5"/>
  <c r="U689" i="5"/>
  <c r="X689" i="5" s="1"/>
  <c r="AQ136" i="5"/>
  <c r="BC136" i="5" s="1"/>
  <c r="AT716" i="5"/>
  <c r="BA64" i="5"/>
  <c r="BC64" i="5" s="1"/>
  <c r="AW330" i="5"/>
  <c r="BC493" i="5"/>
  <c r="AT724" i="5"/>
  <c r="AS72" i="5"/>
  <c r="BA72" i="5"/>
  <c r="AQ81" i="5"/>
  <c r="BB140" i="5"/>
  <c r="BD140" i="5"/>
  <c r="BL140" i="5"/>
  <c r="BC277" i="5"/>
  <c r="AS179" i="5"/>
  <c r="BA179" i="5"/>
  <c r="AT186" i="5"/>
  <c r="AM691" i="5"/>
  <c r="AS429" i="5"/>
  <c r="AS431" i="5" s="1"/>
  <c r="BA65" i="5"/>
  <c r="BC65" i="5" s="1"/>
  <c r="AS65" i="5"/>
  <c r="BB396" i="5"/>
  <c r="BD396" i="5"/>
  <c r="AT205" i="5"/>
  <c r="AT215" i="5" s="1"/>
  <c r="AS198" i="5"/>
  <c r="BA198" i="5"/>
  <c r="BD492" i="5"/>
  <c r="BB492" i="5"/>
  <c r="BJ492" i="5"/>
  <c r="AS644" i="5"/>
  <c r="AT148" i="5"/>
  <c r="X148" i="5"/>
  <c r="AQ148" i="5" s="1"/>
  <c r="U692" i="5"/>
  <c r="X692" i="5" s="1"/>
  <c r="AQ692" i="5" s="1"/>
  <c r="T205" i="5"/>
  <c r="U215" i="5"/>
  <c r="T215" i="5" s="1"/>
  <c r="BA537" i="5"/>
  <c r="BC532" i="5"/>
  <c r="BB278" i="5"/>
  <c r="BJ278" i="5"/>
  <c r="BD278" i="5"/>
  <c r="BB160" i="5"/>
  <c r="BD160" i="5"/>
  <c r="AS142" i="5"/>
  <c r="BA142" i="5"/>
  <c r="BC142" i="5" s="1"/>
  <c r="AT706" i="5"/>
  <c r="AS54" i="5"/>
  <c r="BA54" i="5"/>
  <c r="BC54" i="5" s="1"/>
  <c r="BD41" i="5"/>
  <c r="BB41" i="5"/>
  <c r="BL41" i="5"/>
  <c r="X712" i="5"/>
  <c r="AA712" i="5"/>
  <c r="AT710" i="5"/>
  <c r="AS58" i="5"/>
  <c r="AT67" i="5"/>
  <c r="BA58" i="5"/>
  <c r="BD473" i="5"/>
  <c r="BL473" i="5"/>
  <c r="BB473" i="5"/>
  <c r="X220" i="5"/>
  <c r="AQ220" i="5" s="1"/>
  <c r="AT220" i="5"/>
  <c r="BA460" i="5"/>
  <c r="AW477" i="5"/>
  <c r="AW549" i="5" s="1"/>
  <c r="AT249" i="5"/>
  <c r="X249" i="5"/>
  <c r="AQ249" i="5" s="1"/>
  <c r="BB495" i="5"/>
  <c r="BJ495" i="5"/>
  <c r="BD495" i="5"/>
  <c r="BD491" i="5"/>
  <c r="BB491" i="5"/>
  <c r="BJ491" i="5"/>
  <c r="T623" i="5"/>
  <c r="BD167" i="5"/>
  <c r="BB167" i="5"/>
  <c r="BJ167" i="5"/>
  <c r="BD379" i="5"/>
  <c r="BL379" i="5"/>
  <c r="BB379" i="5"/>
  <c r="BB417" i="5"/>
  <c r="BJ417" i="5"/>
  <c r="BD417" i="5"/>
  <c r="AS465" i="5"/>
  <c r="BA465" i="5"/>
  <c r="BC465" i="5" s="1"/>
  <c r="BK533" i="5"/>
  <c r="BB533" i="5"/>
  <c r="BD533" i="5"/>
  <c r="BA499" i="5"/>
  <c r="BC490" i="5"/>
  <c r="BC166" i="5"/>
  <c r="BB43" i="5"/>
  <c r="BL43" i="5"/>
  <c r="BD43" i="5"/>
  <c r="BK426" i="5"/>
  <c r="BB426" i="5"/>
  <c r="BD426" i="5"/>
  <c r="BC374" i="5"/>
  <c r="BA380" i="5"/>
  <c r="AS510" i="5"/>
  <c r="AT752" i="5"/>
  <c r="AT105" i="5"/>
  <c r="AS100" i="5"/>
  <c r="BA100" i="5"/>
  <c r="AS158" i="5"/>
  <c r="AS164" i="5" s="1"/>
  <c r="BA158" i="5"/>
  <c r="AT164" i="5"/>
  <c r="AT754" i="5"/>
  <c r="AS102" i="5"/>
  <c r="BA102" i="5"/>
  <c r="BC102" i="5" s="1"/>
  <c r="BL363" i="5"/>
  <c r="BB363" i="5"/>
  <c r="BD363" i="5"/>
  <c r="AT292" i="5"/>
  <c r="X292" i="5"/>
  <c r="AQ292" i="5" s="1"/>
  <c r="AT266" i="5"/>
  <c r="U272" i="5"/>
  <c r="X266" i="5"/>
  <c r="AT713" i="5"/>
  <c r="AS61" i="5"/>
  <c r="BA61" i="5"/>
  <c r="BC61" i="5" s="1"/>
  <c r="BD546" i="5"/>
  <c r="BB546" i="5"/>
  <c r="AM685" i="5"/>
  <c r="BA63" i="5"/>
  <c r="BC63" i="5" s="1"/>
  <c r="AS63" i="5"/>
  <c r="BD513" i="5"/>
  <c r="BB513" i="5"/>
  <c r="BD515" i="5"/>
  <c r="BB515" i="5"/>
  <c r="AW690" i="5"/>
  <c r="BD534" i="5"/>
  <c r="BB534" i="5"/>
  <c r="BK534" i="5"/>
  <c r="BA321" i="5"/>
  <c r="BC316" i="5"/>
  <c r="U742" i="5"/>
  <c r="AS529" i="5"/>
  <c r="BA93" i="5"/>
  <c r="BC93" i="5" s="1"/>
  <c r="AS93" i="5"/>
  <c r="BC634" i="5"/>
  <c r="BD627" i="5"/>
  <c r="BL627" i="5"/>
  <c r="BL644" i="5" s="1"/>
  <c r="BB627" i="5"/>
  <c r="AT707" i="5"/>
  <c r="BA55" i="5"/>
  <c r="BC55" i="5" s="1"/>
  <c r="BB617" i="5"/>
  <c r="BD617" i="5"/>
  <c r="BC622" i="5"/>
  <c r="AS143" i="5"/>
  <c r="BA143" i="5"/>
  <c r="BC143" i="5" s="1"/>
  <c r="BD270" i="5"/>
  <c r="BK270" i="5"/>
  <c r="BB270" i="5"/>
  <c r="AP327" i="5"/>
  <c r="X327" i="5"/>
  <c r="AT327" i="5"/>
  <c r="AA327" i="5"/>
  <c r="AA330" i="5" s="1"/>
  <c r="AT296" i="5"/>
  <c r="AT732" i="5" s="1"/>
  <c r="AA296" i="5"/>
  <c r="AA301" i="5" s="1"/>
  <c r="X296" i="5"/>
  <c r="X259" i="5"/>
  <c r="AQ259" i="5" s="1"/>
  <c r="AT259" i="5"/>
  <c r="U695" i="5"/>
  <c r="X695" i="5" s="1"/>
  <c r="AQ695" i="5" s="1"/>
  <c r="BB485" i="5"/>
  <c r="BJ485" i="5"/>
  <c r="BD485" i="5"/>
  <c r="AS190" i="5"/>
  <c r="BA190" i="5"/>
  <c r="BC190" i="5" s="1"/>
  <c r="U261" i="5"/>
  <c r="X244" i="5"/>
  <c r="U680" i="5"/>
  <c r="BB416" i="5"/>
  <c r="BJ416" i="5"/>
  <c r="BJ431" i="5" s="1"/>
  <c r="BD416" i="5"/>
  <c r="BA604" i="5"/>
  <c r="BC595" i="5"/>
  <c r="BA402" i="5"/>
  <c r="BC395" i="5"/>
  <c r="BL38" i="5"/>
  <c r="BD38" i="5"/>
  <c r="BB38" i="5"/>
  <c r="AS199" i="5"/>
  <c r="BA199" i="5"/>
  <c r="BC199" i="5" s="1"/>
  <c r="BA82" i="5"/>
  <c r="BC82" i="5" s="1"/>
  <c r="AT623" i="5"/>
  <c r="AT654" i="5" s="1"/>
  <c r="AQ321" i="5"/>
  <c r="U702" i="5"/>
  <c r="BA409" i="5"/>
  <c r="BC404" i="5"/>
  <c r="AM654" i="5"/>
  <c r="BA488" i="5"/>
  <c r="BA518" i="5" s="1"/>
  <c r="BC482" i="5"/>
  <c r="AT746" i="5"/>
  <c r="BA94" i="5"/>
  <c r="BC94" i="5" s="1"/>
  <c r="AS94" i="5"/>
  <c r="BD608" i="5"/>
  <c r="BC615" i="5"/>
  <c r="BB608" i="5"/>
  <c r="BB37" i="5"/>
  <c r="BD37" i="5"/>
  <c r="BL37" i="5"/>
  <c r="X410" i="5"/>
  <c r="BD535" i="5"/>
  <c r="BK535" i="5"/>
  <c r="BB535" i="5"/>
  <c r="AA410" i="5"/>
  <c r="BD159" i="5"/>
  <c r="BB159" i="5"/>
  <c r="X328" i="5"/>
  <c r="AQ328" i="5" s="1"/>
  <c r="AT328" i="5"/>
  <c r="AW307" i="5"/>
  <c r="AW743" i="5" s="1"/>
  <c r="AW749" i="5" s="1"/>
  <c r="AW757" i="5" s="1"/>
  <c r="U307" i="5"/>
  <c r="S307" i="5"/>
  <c r="AM307" i="5"/>
  <c r="AM743" i="5" s="1"/>
  <c r="X248" i="5"/>
  <c r="AQ248" i="5" s="1"/>
  <c r="AT248" i="5"/>
  <c r="U684" i="5"/>
  <c r="X684" i="5" s="1"/>
  <c r="AQ684" i="5" s="1"/>
  <c r="U724" i="5"/>
  <c r="U733" i="5"/>
  <c r="AS191" i="5"/>
  <c r="BA191" i="5"/>
  <c r="BC191" i="5" s="1"/>
  <c r="AW691" i="5"/>
  <c r="BD570" i="5"/>
  <c r="BL570" i="5"/>
  <c r="BB570" i="5"/>
  <c r="BD415" i="5"/>
  <c r="BL415" i="5"/>
  <c r="BB415" i="5"/>
  <c r="AQ402" i="5"/>
  <c r="AT45" i="5"/>
  <c r="BL361" i="5"/>
  <c r="BB361" i="5"/>
  <c r="BD361" i="5"/>
  <c r="AT138" i="5"/>
  <c r="X138" i="5"/>
  <c r="AQ138" i="5" s="1"/>
  <c r="U682" i="5"/>
  <c r="X682" i="5" s="1"/>
  <c r="AQ682" i="5" s="1"/>
  <c r="BB566" i="5"/>
  <c r="BD566" i="5"/>
  <c r="BL566" i="5"/>
  <c r="BL358" i="5"/>
  <c r="BB358" i="5"/>
  <c r="BD358" i="5"/>
  <c r="BD161" i="5"/>
  <c r="BB161" i="5"/>
  <c r="BJ161" i="5"/>
  <c r="BA83" i="5"/>
  <c r="BC83" i="5" s="1"/>
  <c r="AS83" i="5"/>
  <c r="AT308" i="5"/>
  <c r="X308" i="5"/>
  <c r="AQ308" i="5" s="1"/>
  <c r="AT299" i="5"/>
  <c r="AT735" i="5" s="1"/>
  <c r="X299" i="5"/>
  <c r="AQ299" i="5" s="1"/>
  <c r="AT256" i="5"/>
  <c r="X256" i="5"/>
  <c r="AQ256" i="5" s="1"/>
  <c r="AW279" i="5"/>
  <c r="U279" i="5"/>
  <c r="AM279" i="5"/>
  <c r="S279" i="5"/>
  <c r="U281" i="5"/>
  <c r="AM281" i="5"/>
  <c r="AM717" i="5" s="1"/>
  <c r="S281" i="5"/>
  <c r="AW281" i="5"/>
  <c r="AW717" i="5" s="1"/>
  <c r="BD39" i="5"/>
  <c r="BB39" i="5"/>
  <c r="BL39" i="5"/>
  <c r="AT712" i="5"/>
  <c r="BA60" i="5"/>
  <c r="BC60" i="5" s="1"/>
  <c r="AS60" i="5"/>
  <c r="X67" i="5"/>
  <c r="AQ58" i="5"/>
  <c r="AQ67" i="5" s="1"/>
  <c r="AA710" i="5"/>
  <c r="X710" i="5"/>
  <c r="AQ172" i="5"/>
  <c r="AQ175" i="5" s="1"/>
  <c r="AS467" i="5"/>
  <c r="BA467" i="5"/>
  <c r="BC467" i="5" s="1"/>
  <c r="BD170" i="5"/>
  <c r="BB170" i="5"/>
  <c r="BJ170" i="5"/>
  <c r="BD364" i="5"/>
  <c r="BL364" i="5"/>
  <c r="BB364" i="5"/>
  <c r="AP221" i="5"/>
  <c r="AT221" i="5"/>
  <c r="X221" i="5"/>
  <c r="BL356" i="5"/>
  <c r="BB356" i="5"/>
  <c r="BD356" i="5"/>
  <c r="AT477" i="5"/>
  <c r="AS461" i="5"/>
  <c r="BA461" i="5"/>
  <c r="BC461" i="5" s="1"/>
  <c r="BD486" i="5"/>
  <c r="BK486" i="5"/>
  <c r="BB486" i="5"/>
  <c r="BA213" i="5"/>
  <c r="BC208" i="5"/>
  <c r="AA732" i="5"/>
  <c r="X732" i="5"/>
  <c r="AT711" i="5"/>
  <c r="BA59" i="5"/>
  <c r="BC59" i="5" s="1"/>
  <c r="AS59" i="5"/>
  <c r="BB651" i="5"/>
  <c r="BD651" i="5"/>
  <c r="BB596" i="5"/>
  <c r="BJ596" i="5"/>
  <c r="BD596" i="5"/>
  <c r="X752" i="5"/>
  <c r="U756" i="5"/>
  <c r="T756" i="5" s="1"/>
  <c r="U194" i="5"/>
  <c r="T194" i="5" s="1"/>
  <c r="T164" i="5"/>
  <c r="AS189" i="5"/>
  <c r="BA189" i="5"/>
  <c r="AA754" i="5"/>
  <c r="AA756" i="5" s="1"/>
  <c r="AA757" i="5" s="1"/>
  <c r="X754" i="5"/>
  <c r="AT254" i="5"/>
  <c r="X254" i="5"/>
  <c r="AQ254" i="5" s="1"/>
  <c r="AW291" i="5"/>
  <c r="AW727" i="5" s="1"/>
  <c r="U291" i="5"/>
  <c r="AM291" i="5"/>
  <c r="AM727" i="5" s="1"/>
  <c r="S291" i="5"/>
  <c r="AA713" i="5"/>
  <c r="X713" i="5"/>
  <c r="BD572" i="5"/>
  <c r="BL572" i="5"/>
  <c r="BB572" i="5"/>
  <c r="BA181" i="5"/>
  <c r="BC181" i="5" s="1"/>
  <c r="AS181" i="5"/>
  <c r="AW685" i="5"/>
  <c r="BB269" i="5"/>
  <c r="BJ269" i="5"/>
  <c r="BD269" i="5"/>
  <c r="BJ387" i="5"/>
  <c r="BD387" i="5"/>
  <c r="BB387" i="5"/>
  <c r="BB383" i="5"/>
  <c r="BJ383" i="5"/>
  <c r="BD383" i="5"/>
  <c r="BD163" i="5"/>
  <c r="BL163" i="5"/>
  <c r="BB163" i="5"/>
  <c r="AQ518" i="5"/>
  <c r="AT146" i="5"/>
  <c r="X146" i="5"/>
  <c r="AQ146" i="5" s="1"/>
  <c r="U690" i="5"/>
  <c r="X690" i="5" s="1"/>
  <c r="AQ690" i="5" s="1"/>
  <c r="X193" i="5"/>
  <c r="AQ188" i="5"/>
  <c r="BD317" i="5"/>
  <c r="BB317" i="5"/>
  <c r="BK317" i="5"/>
  <c r="AW737" i="5"/>
  <c r="AQ90" i="5"/>
  <c r="AQ97" i="5" s="1"/>
  <c r="AQ107" i="5" s="1"/>
  <c r="X97" i="5"/>
  <c r="X107" i="5" s="1"/>
  <c r="BJ524" i="5"/>
  <c r="BJ539" i="5" s="1"/>
  <c r="BD524" i="5"/>
  <c r="BB524" i="5"/>
  <c r="BC169" i="5"/>
  <c r="BD609" i="5"/>
  <c r="BB609" i="5"/>
  <c r="BK378" i="5"/>
  <c r="BB378" i="5"/>
  <c r="BD378" i="5"/>
  <c r="BA644" i="5"/>
  <c r="BB355" i="5"/>
  <c r="BD355" i="5"/>
  <c r="BL355" i="5"/>
  <c r="BD427" i="5"/>
  <c r="BB427" i="5"/>
  <c r="BK427" i="5"/>
  <c r="BB271" i="5"/>
  <c r="BO271" i="5"/>
  <c r="BD271" i="5"/>
  <c r="BL271" i="5"/>
  <c r="BB407" i="5"/>
  <c r="BD407" i="5"/>
  <c r="BA391" i="5"/>
  <c r="BC382" i="5"/>
  <c r="X755" i="5"/>
  <c r="AP755" i="5"/>
  <c r="AP756" i="5" s="1"/>
  <c r="AP757" i="5" s="1"/>
  <c r="AW153" i="5"/>
  <c r="AT252" i="5"/>
  <c r="X252" i="5"/>
  <c r="AQ252" i="5" s="1"/>
  <c r="AW301" i="5"/>
  <c r="U723" i="5"/>
  <c r="AQ75" i="5"/>
  <c r="BC210" i="5"/>
  <c r="AW261" i="5"/>
  <c r="BA244" i="5"/>
  <c r="AW680" i="5"/>
  <c r="BB508" i="5"/>
  <c r="BF501" i="5"/>
  <c r="BD508" i="5"/>
  <c r="AS604" i="5"/>
  <c r="AQ180" i="5"/>
  <c r="BD400" i="5"/>
  <c r="BF393" i="5"/>
  <c r="BB400" i="5"/>
  <c r="BC588" i="5"/>
  <c r="BA593" i="5"/>
  <c r="AT704" i="5"/>
  <c r="AS52" i="5"/>
  <c r="BA52" i="5"/>
  <c r="BC52" i="5" s="1"/>
  <c r="AQ50" i="5"/>
  <c r="AQ56" i="5" s="1"/>
  <c r="X56" i="5"/>
  <c r="AM742" i="5"/>
  <c r="AM749" i="5" s="1"/>
  <c r="AM757" i="5" s="1"/>
  <c r="AS409" i="5"/>
  <c r="X565" i="5"/>
  <c r="U582" i="5"/>
  <c r="AS488" i="5"/>
  <c r="BD398" i="5"/>
  <c r="BB398" i="5"/>
  <c r="AW222" i="5"/>
  <c r="BK514" i="5"/>
  <c r="BB514" i="5"/>
  <c r="BD514" i="5"/>
  <c r="AM689" i="5"/>
  <c r="BD357" i="5"/>
  <c r="BL357" i="5"/>
  <c r="BB357" i="5"/>
  <c r="U716" i="5"/>
  <c r="AT326" i="5"/>
  <c r="U330" i="5"/>
  <c r="T330" i="5" s="1"/>
  <c r="X326" i="5"/>
  <c r="AT290" i="5"/>
  <c r="AT726" i="5" s="1"/>
  <c r="X290" i="5"/>
  <c r="AQ290" i="5" s="1"/>
  <c r="AT257" i="5"/>
  <c r="X257" i="5"/>
  <c r="AQ257" i="5" s="1"/>
  <c r="AQ72" i="5"/>
  <c r="BK644" i="5"/>
  <c r="BL474" i="5"/>
  <c r="BB474" i="5"/>
  <c r="BD474" i="5"/>
  <c r="BC597" i="5"/>
  <c r="X186" i="5"/>
  <c r="AQ179" i="5"/>
  <c r="X147" i="5"/>
  <c r="AQ147" i="5" s="1"/>
  <c r="AT147" i="5"/>
  <c r="U691" i="5"/>
  <c r="X691" i="5" s="1"/>
  <c r="BB31" i="5"/>
  <c r="BL31" i="5"/>
  <c r="BD31" i="5"/>
  <c r="BC276" i="5"/>
  <c r="AI107" i="15"/>
  <c r="AF121" i="15"/>
  <c r="AF110" i="15"/>
  <c r="G121" i="15"/>
  <c r="AI121" i="15" s="1"/>
  <c r="H114" i="15"/>
  <c r="H121" i="15" s="1"/>
  <c r="S106" i="15"/>
  <c r="N122" i="14"/>
  <c r="L4" i="6"/>
  <c r="W53" i="6"/>
  <c r="Y49" i="6"/>
  <c r="C22" i="6"/>
  <c r="Y22" i="6"/>
  <c r="V11" i="6"/>
  <c r="V4" i="6" s="1"/>
  <c r="Q4" i="6"/>
  <c r="C9" i="6"/>
  <c r="C53" i="6" s="1"/>
  <c r="D53" i="6" s="1"/>
  <c r="AA8" i="6"/>
  <c r="W11" i="6"/>
  <c r="AQ754" i="5" l="1"/>
  <c r="AM313" i="5"/>
  <c r="BB496" i="5"/>
  <c r="AW225" i="5"/>
  <c r="AT549" i="5"/>
  <c r="BA550" i="5" s="1"/>
  <c r="BA431" i="5"/>
  <c r="BC62" i="5"/>
  <c r="BD62" i="5" s="1"/>
  <c r="BC171" i="5"/>
  <c r="BJ171" i="5" s="1"/>
  <c r="BD496" i="5"/>
  <c r="BC189" i="5"/>
  <c r="BD385" i="5"/>
  <c r="AQ219" i="5"/>
  <c r="AQ410" i="5"/>
  <c r="AS105" i="5"/>
  <c r="AS175" i="5"/>
  <c r="AQ221" i="5"/>
  <c r="AA194" i="5"/>
  <c r="AA225" i="5" s="1"/>
  <c r="BD592" i="5"/>
  <c r="AM680" i="5"/>
  <c r="BA175" i="5"/>
  <c r="AM730" i="5"/>
  <c r="AS518" i="5"/>
  <c r="AQ186" i="5"/>
  <c r="AQ194" i="5" s="1"/>
  <c r="AA720" i="5"/>
  <c r="AQ755" i="5"/>
  <c r="AQ713" i="5"/>
  <c r="AQ327" i="5"/>
  <c r="AS539" i="5"/>
  <c r="BB592" i="5"/>
  <c r="AY592" i="5" s="1"/>
  <c r="AY593" i="5" s="1"/>
  <c r="AM301" i="5"/>
  <c r="AQ329" i="5"/>
  <c r="AW117" i="5"/>
  <c r="AQ691" i="5"/>
  <c r="AW313" i="5"/>
  <c r="AS477" i="5"/>
  <c r="AQ712" i="5"/>
  <c r="AS726" i="5"/>
  <c r="BA726" i="5"/>
  <c r="BC726" i="5" s="1"/>
  <c r="BA257" i="5"/>
  <c r="BC257" i="5" s="1"/>
  <c r="AS257" i="5"/>
  <c r="BB189" i="5"/>
  <c r="BD189" i="5"/>
  <c r="BJ60" i="5"/>
  <c r="BD60" i="5"/>
  <c r="BB60" i="5"/>
  <c r="AT279" i="5"/>
  <c r="AP279" i="5"/>
  <c r="AP283" i="5" s="1"/>
  <c r="X279" i="5"/>
  <c r="U283" i="5"/>
  <c r="U715" i="5"/>
  <c r="BD94" i="5"/>
  <c r="BB94" i="5"/>
  <c r="BK94" i="5"/>
  <c r="BB82" i="5"/>
  <c r="BD82" i="5"/>
  <c r="AS259" i="5"/>
  <c r="BA259" i="5"/>
  <c r="BC259" i="5" s="1"/>
  <c r="AT695" i="5"/>
  <c r="BD136" i="5"/>
  <c r="BL136" i="5"/>
  <c r="BB136" i="5"/>
  <c r="BD93" i="5"/>
  <c r="BB93" i="5"/>
  <c r="BJ93" i="5"/>
  <c r="BJ63" i="5"/>
  <c r="BB63" i="5"/>
  <c r="BD63" i="5"/>
  <c r="BK102" i="5"/>
  <c r="BB102" i="5"/>
  <c r="BD102" i="5"/>
  <c r="BB166" i="5"/>
  <c r="BJ166" i="5"/>
  <c r="BD166" i="5"/>
  <c r="AS710" i="5"/>
  <c r="BA710" i="5"/>
  <c r="AS706" i="5"/>
  <c r="BA706" i="5"/>
  <c r="BC706" i="5" s="1"/>
  <c r="AS148" i="5"/>
  <c r="BA148" i="5"/>
  <c r="BC148" i="5" s="1"/>
  <c r="AT692" i="5"/>
  <c r="BD65" i="5"/>
  <c r="BJ65" i="5"/>
  <c r="BB65" i="5"/>
  <c r="BB277" i="5"/>
  <c r="BJ277" i="5"/>
  <c r="BD277" i="5"/>
  <c r="BJ493" i="5"/>
  <c r="BD493" i="5"/>
  <c r="BB493" i="5"/>
  <c r="AQ153" i="5"/>
  <c r="BB173" i="5"/>
  <c r="BJ173" i="5"/>
  <c r="BD173" i="5"/>
  <c r="X222" i="5"/>
  <c r="AQ218" i="5"/>
  <c r="BC188" i="5"/>
  <c r="BA193" i="5"/>
  <c r="BB200" i="5"/>
  <c r="BJ200" i="5"/>
  <c r="BD200" i="5"/>
  <c r="T436" i="5"/>
  <c r="M762" i="5"/>
  <c r="T762" i="5" s="1"/>
  <c r="S762" i="5" s="1"/>
  <c r="AS732" i="5"/>
  <c r="BA732" i="5"/>
  <c r="BD414" i="5"/>
  <c r="BC421" i="5"/>
  <c r="BL414" i="5"/>
  <c r="BL431" i="5" s="1"/>
  <c r="BB414" i="5"/>
  <c r="AQ287" i="5"/>
  <c r="BB642" i="5"/>
  <c r="BD642" i="5"/>
  <c r="BA139" i="5"/>
  <c r="BC139" i="5" s="1"/>
  <c r="AS139" i="5"/>
  <c r="AT683" i="5"/>
  <c r="AS246" i="5"/>
  <c r="BA246" i="5"/>
  <c r="BC246" i="5" s="1"/>
  <c r="BC429" i="5"/>
  <c r="BK424" i="5"/>
  <c r="BB424" i="5"/>
  <c r="BD424" i="5"/>
  <c r="BA582" i="5"/>
  <c r="BD101" i="5"/>
  <c r="BK101" i="5"/>
  <c r="BB101" i="5"/>
  <c r="AS56" i="5"/>
  <c r="BD76" i="5"/>
  <c r="BF69" i="5"/>
  <c r="BB76" i="5"/>
  <c r="BC75" i="5"/>
  <c r="AQ306" i="5"/>
  <c r="BJ275" i="5"/>
  <c r="BD275" i="5"/>
  <c r="BB275" i="5"/>
  <c r="AS97" i="5"/>
  <c r="AS107" i="5" s="1"/>
  <c r="BB274" i="5"/>
  <c r="BJ274" i="5"/>
  <c r="BD274" i="5"/>
  <c r="BD73" i="5"/>
  <c r="BB73" i="5"/>
  <c r="U117" i="5"/>
  <c r="T117" i="5" s="1"/>
  <c r="U225" i="5"/>
  <c r="T225" i="5" s="1"/>
  <c r="BD169" i="5"/>
  <c r="BB169" i="5"/>
  <c r="BJ169" i="5"/>
  <c r="BD208" i="5"/>
  <c r="BC213" i="5"/>
  <c r="BK208" i="5"/>
  <c r="BB208" i="5"/>
  <c r="AS221" i="5"/>
  <c r="BA221" i="5"/>
  <c r="AT281" i="5"/>
  <c r="X281" i="5"/>
  <c r="AQ281" i="5" s="1"/>
  <c r="U717" i="5"/>
  <c r="X717" i="5" s="1"/>
  <c r="AQ717" i="5" s="1"/>
  <c r="BB191" i="5"/>
  <c r="BD191" i="5"/>
  <c r="U708" i="5"/>
  <c r="X702" i="5"/>
  <c r="AQ244" i="5"/>
  <c r="BC244" i="5" s="1"/>
  <c r="BD143" i="5"/>
  <c r="BL143" i="5"/>
  <c r="BB143" i="5"/>
  <c r="AQ266" i="5"/>
  <c r="AQ272" i="5" s="1"/>
  <c r="X272" i="5"/>
  <c r="AS292" i="5"/>
  <c r="BA292" i="5"/>
  <c r="BC292" i="5" s="1"/>
  <c r="BA164" i="5"/>
  <c r="BC158" i="5"/>
  <c r="BB374" i="5"/>
  <c r="BB380" i="5" s="1"/>
  <c r="BC380" i="5"/>
  <c r="BJ374" i="5"/>
  <c r="BJ380" i="5" s="1"/>
  <c r="BJ410" i="5" s="1"/>
  <c r="BD374" i="5"/>
  <c r="AS249" i="5"/>
  <c r="BA249" i="5"/>
  <c r="BC249" i="5" s="1"/>
  <c r="AS147" i="5"/>
  <c r="BA147" i="5"/>
  <c r="BC147" i="5" s="1"/>
  <c r="AT691" i="5"/>
  <c r="BB597" i="5"/>
  <c r="BJ597" i="5"/>
  <c r="BD597" i="5"/>
  <c r="AS326" i="5"/>
  <c r="AT330" i="5"/>
  <c r="BA326" i="5"/>
  <c r="U654" i="5"/>
  <c r="T582" i="5"/>
  <c r="X86" i="5"/>
  <c r="X117" i="5" s="1"/>
  <c r="AS704" i="5"/>
  <c r="BA704" i="5"/>
  <c r="BC704" i="5" s="1"/>
  <c r="AW697" i="5"/>
  <c r="BK210" i="5"/>
  <c r="BB210" i="5"/>
  <c r="BD210" i="5"/>
  <c r="AQ193" i="5"/>
  <c r="AS146" i="5"/>
  <c r="BA146" i="5"/>
  <c r="BC146" i="5" s="1"/>
  <c r="AT690" i="5"/>
  <c r="BD181" i="5"/>
  <c r="BB181" i="5"/>
  <c r="AS254" i="5"/>
  <c r="BA254" i="5"/>
  <c r="BC254" i="5" s="1"/>
  <c r="X756" i="5"/>
  <c r="AQ752" i="5"/>
  <c r="AQ732" i="5"/>
  <c r="BL461" i="5"/>
  <c r="BB461" i="5"/>
  <c r="BD461" i="5"/>
  <c r="BA712" i="5"/>
  <c r="BC712" i="5" s="1"/>
  <c r="AS712" i="5"/>
  <c r="AM294" i="5"/>
  <c r="AM731" i="5" s="1"/>
  <c r="AW283" i="5"/>
  <c r="AW715" i="5"/>
  <c r="AW719" i="5" s="1"/>
  <c r="AS299" i="5"/>
  <c r="BA299" i="5"/>
  <c r="BC299" i="5" s="1"/>
  <c r="BD83" i="5"/>
  <c r="BB83" i="5"/>
  <c r="BA248" i="5"/>
  <c r="BC248" i="5" s="1"/>
  <c r="AS248" i="5"/>
  <c r="AT684" i="5"/>
  <c r="X307" i="5"/>
  <c r="AQ307" i="5" s="1"/>
  <c r="AT307" i="5"/>
  <c r="U743" i="5"/>
  <c r="X743" i="5" s="1"/>
  <c r="AQ743" i="5" s="1"/>
  <c r="BD615" i="5"/>
  <c r="BB615" i="5"/>
  <c r="BN615" i="5"/>
  <c r="BA746" i="5"/>
  <c r="BC746" i="5" s="1"/>
  <c r="AS746" i="5"/>
  <c r="AM698" i="5"/>
  <c r="BC604" i="5"/>
  <c r="BD595" i="5"/>
  <c r="BB595" i="5"/>
  <c r="BJ595" i="5"/>
  <c r="T261" i="5"/>
  <c r="BA296" i="5"/>
  <c r="AS296" i="5"/>
  <c r="AP330" i="5"/>
  <c r="BB55" i="5"/>
  <c r="BD55" i="5"/>
  <c r="BD316" i="5"/>
  <c r="BB316" i="5"/>
  <c r="BC321" i="5"/>
  <c r="BK316" i="5"/>
  <c r="BB61" i="5"/>
  <c r="BD61" i="5"/>
  <c r="BJ61" i="5"/>
  <c r="T272" i="5"/>
  <c r="U709" i="5"/>
  <c r="AT756" i="5"/>
  <c r="BA752" i="5"/>
  <c r="AS752" i="5"/>
  <c r="BC58" i="5"/>
  <c r="BA67" i="5"/>
  <c r="BA186" i="5"/>
  <c r="BC179" i="5"/>
  <c r="BC72" i="5"/>
  <c r="X153" i="5"/>
  <c r="AQ689" i="5"/>
  <c r="BC180" i="5"/>
  <c r="AS245" i="5"/>
  <c r="BA245" i="5"/>
  <c r="BC245" i="5" s="1"/>
  <c r="AQ78" i="5"/>
  <c r="AS288" i="5"/>
  <c r="BA288" i="5"/>
  <c r="BC288" i="5" s="1"/>
  <c r="AS329" i="5"/>
  <c r="BA329" i="5"/>
  <c r="BD462" i="5"/>
  <c r="BL462" i="5"/>
  <c r="BB462" i="5"/>
  <c r="BC529" i="5"/>
  <c r="BB522" i="5"/>
  <c r="BD522" i="5"/>
  <c r="BL522" i="5"/>
  <c r="BL539" i="5" s="1"/>
  <c r="BB91" i="5"/>
  <c r="BD91" i="5"/>
  <c r="BL91" i="5"/>
  <c r="AS193" i="5"/>
  <c r="T435" i="5"/>
  <c r="M761" i="5"/>
  <c r="T761" i="5" s="1"/>
  <c r="S761" i="5" s="1"/>
  <c r="AT309" i="5"/>
  <c r="AT313" i="5" s="1"/>
  <c r="X309" i="5"/>
  <c r="AQ309" i="5" s="1"/>
  <c r="U745" i="5"/>
  <c r="X745" i="5" s="1"/>
  <c r="AQ745" i="5" s="1"/>
  <c r="AQ711" i="5"/>
  <c r="AQ460" i="5"/>
  <c r="AQ477" i="5" s="1"/>
  <c r="AQ549" i="5" s="1"/>
  <c r="X477" i="5"/>
  <c r="X549" i="5" s="1"/>
  <c r="BA287" i="5"/>
  <c r="AS287" i="5"/>
  <c r="BD184" i="5"/>
  <c r="BF177" i="5"/>
  <c r="BB184" i="5"/>
  <c r="BC517" i="5"/>
  <c r="BB512" i="5"/>
  <c r="BD512" i="5"/>
  <c r="BB182" i="5"/>
  <c r="BD182" i="5"/>
  <c r="AT289" i="5"/>
  <c r="X289" i="5"/>
  <c r="AQ289" i="5" s="1"/>
  <c r="U725" i="5"/>
  <c r="X725" i="5" s="1"/>
  <c r="AQ725" i="5" s="1"/>
  <c r="BK431" i="5"/>
  <c r="AT86" i="5"/>
  <c r="AT728" i="5"/>
  <c r="AT723" i="5"/>
  <c r="BA306" i="5"/>
  <c r="AS306" i="5"/>
  <c r="BK103" i="5"/>
  <c r="BB103" i="5"/>
  <c r="BD103" i="5"/>
  <c r="AT107" i="5"/>
  <c r="BK202" i="5"/>
  <c r="BB202" i="5"/>
  <c r="BD202" i="5"/>
  <c r="AQ685" i="5"/>
  <c r="BA280" i="5"/>
  <c r="AS280" i="5"/>
  <c r="AS297" i="5"/>
  <c r="BA297" i="5"/>
  <c r="BB201" i="5"/>
  <c r="BJ201" i="5"/>
  <c r="BD201" i="5"/>
  <c r="BA144" i="5"/>
  <c r="BC144" i="5" s="1"/>
  <c r="AS144" i="5"/>
  <c r="AT688" i="5"/>
  <c r="BA290" i="5"/>
  <c r="BC290" i="5" s="1"/>
  <c r="AS290" i="5"/>
  <c r="X582" i="5"/>
  <c r="AQ565" i="5"/>
  <c r="AQ582" i="5" s="1"/>
  <c r="BA623" i="5"/>
  <c r="AS252" i="5"/>
  <c r="BA252" i="5"/>
  <c r="BC252" i="5" s="1"/>
  <c r="X291" i="5"/>
  <c r="AQ291" i="5" s="1"/>
  <c r="AT291" i="5"/>
  <c r="AA291" i="5"/>
  <c r="U727" i="5"/>
  <c r="BJ59" i="5"/>
  <c r="BD59" i="5"/>
  <c r="BB59" i="5"/>
  <c r="AS549" i="5"/>
  <c r="BL467" i="5"/>
  <c r="BB467" i="5"/>
  <c r="BD467" i="5"/>
  <c r="AQ710" i="5"/>
  <c r="BA735" i="5"/>
  <c r="BC735" i="5" s="1"/>
  <c r="AS735" i="5"/>
  <c r="X733" i="5"/>
  <c r="AA733" i="5"/>
  <c r="AA737" i="5" s="1"/>
  <c r="BD482" i="5"/>
  <c r="BB482" i="5"/>
  <c r="BC488" i="5"/>
  <c r="BJ482" i="5"/>
  <c r="BJ488" i="5" s="1"/>
  <c r="BJ518" i="5" s="1"/>
  <c r="BB404" i="5"/>
  <c r="BD404" i="5"/>
  <c r="BC409" i="5"/>
  <c r="BD199" i="5"/>
  <c r="BL199" i="5"/>
  <c r="BB199" i="5"/>
  <c r="BD190" i="5"/>
  <c r="BB190" i="5"/>
  <c r="AQ296" i="5"/>
  <c r="AM323" i="5"/>
  <c r="AM758" i="5" s="1"/>
  <c r="AM750" i="5"/>
  <c r="BB622" i="5"/>
  <c r="BD622" i="5"/>
  <c r="AS707" i="5"/>
  <c r="BA707" i="5"/>
  <c r="BC707" i="5" s="1"/>
  <c r="BB634" i="5"/>
  <c r="BD634" i="5"/>
  <c r="BC644" i="5"/>
  <c r="AS266" i="5"/>
  <c r="AS272" i="5" s="1"/>
  <c r="AS709" i="5" s="1"/>
  <c r="AT272" i="5"/>
  <c r="BA266" i="5"/>
  <c r="BA754" i="5"/>
  <c r="BC754" i="5" s="1"/>
  <c r="AS754" i="5"/>
  <c r="BA105" i="5"/>
  <c r="BC100" i="5"/>
  <c r="BC499" i="5"/>
  <c r="BB490" i="5"/>
  <c r="BJ490" i="5"/>
  <c r="BD490" i="5"/>
  <c r="BA477" i="5"/>
  <c r="BA549" i="5" s="1"/>
  <c r="BH552" i="5" s="1"/>
  <c r="BC460" i="5"/>
  <c r="BK54" i="5"/>
  <c r="BB54" i="5"/>
  <c r="BD54" i="5"/>
  <c r="BC537" i="5"/>
  <c r="BK532" i="5"/>
  <c r="BK539" i="5" s="1"/>
  <c r="BB532" i="5"/>
  <c r="BD532" i="5"/>
  <c r="BA205" i="5"/>
  <c r="BA215" i="5" s="1"/>
  <c r="BC198" i="5"/>
  <c r="AS186" i="5"/>
  <c r="BD64" i="5"/>
  <c r="BB64" i="5"/>
  <c r="AS145" i="5"/>
  <c r="BA145" i="5"/>
  <c r="BC145" i="5" s="1"/>
  <c r="AT689" i="5"/>
  <c r="BD487" i="5"/>
  <c r="BL487" i="5"/>
  <c r="BB487" i="5"/>
  <c r="AY487" i="5" s="1"/>
  <c r="AY488" i="5" s="1"/>
  <c r="AY518" i="5" s="1"/>
  <c r="AS218" i="5"/>
  <c r="BA218" i="5"/>
  <c r="AT222" i="5"/>
  <c r="BD92" i="5"/>
  <c r="BB92" i="5"/>
  <c r="BJ92" i="5"/>
  <c r="BD399" i="5"/>
  <c r="BB399" i="5"/>
  <c r="AS247" i="5"/>
  <c r="BA247" i="5"/>
  <c r="BC247" i="5" s="1"/>
  <c r="S434" i="5"/>
  <c r="AW434" i="5"/>
  <c r="U434" i="5"/>
  <c r="AS85" i="5"/>
  <c r="U549" i="5"/>
  <c r="T549" i="5" s="1"/>
  <c r="T477" i="5"/>
  <c r="BC172" i="5"/>
  <c r="U294" i="5"/>
  <c r="AT298" i="5"/>
  <c r="AT301" i="5" s="1"/>
  <c r="X298" i="5"/>
  <c r="AQ298" i="5" s="1"/>
  <c r="U734" i="5"/>
  <c r="BD51" i="5"/>
  <c r="BB51" i="5"/>
  <c r="BA714" i="5"/>
  <c r="AS714" i="5"/>
  <c r="BB171" i="5"/>
  <c r="BC81" i="5"/>
  <c r="AS258" i="5"/>
  <c r="BA258" i="5"/>
  <c r="BC258" i="5" s="1"/>
  <c r="AY549" i="5"/>
  <c r="AS251" i="5"/>
  <c r="BA251" i="5"/>
  <c r="BC251" i="5" s="1"/>
  <c r="BA753" i="5"/>
  <c r="BC753" i="5" s="1"/>
  <c r="AS753" i="5"/>
  <c r="AT702" i="5"/>
  <c r="AS623" i="5"/>
  <c r="AS149" i="5"/>
  <c r="BA149" i="5"/>
  <c r="BC149" i="5" s="1"/>
  <c r="AT693" i="5"/>
  <c r="BA78" i="5"/>
  <c r="BC71" i="5"/>
  <c r="BA310" i="5"/>
  <c r="BC310" i="5" s="1"/>
  <c r="AS310" i="5"/>
  <c r="AT250" i="5"/>
  <c r="X250" i="5"/>
  <c r="AQ250" i="5" s="1"/>
  <c r="U686" i="5"/>
  <c r="X686" i="5" s="1"/>
  <c r="AQ686" i="5" s="1"/>
  <c r="BJ53" i="5"/>
  <c r="BD53" i="5"/>
  <c r="BB53" i="5"/>
  <c r="BA97" i="5"/>
  <c r="BC90" i="5"/>
  <c r="X352" i="5"/>
  <c r="U369" i="5"/>
  <c r="BC34" i="5"/>
  <c r="BA45" i="5"/>
  <c r="AQ280" i="5"/>
  <c r="AS410" i="5"/>
  <c r="AQ85" i="5"/>
  <c r="AW730" i="5"/>
  <c r="BA219" i="5"/>
  <c r="BC219" i="5" s="1"/>
  <c r="AS219" i="5"/>
  <c r="AT687" i="5"/>
  <c r="AP716" i="5"/>
  <c r="X716" i="5"/>
  <c r="AQ716" i="5" s="1"/>
  <c r="BJ276" i="5"/>
  <c r="BD276" i="5"/>
  <c r="BB276" i="5"/>
  <c r="X330" i="5"/>
  <c r="AQ326" i="5"/>
  <c r="AQ330" i="5" s="1"/>
  <c r="BB52" i="5"/>
  <c r="BD52" i="5"/>
  <c r="BD588" i="5"/>
  <c r="BB588" i="5"/>
  <c r="BC593" i="5"/>
  <c r="U730" i="5"/>
  <c r="T730" i="5" s="1"/>
  <c r="X723" i="5"/>
  <c r="AW323" i="5"/>
  <c r="AW758" i="5" s="1"/>
  <c r="AW750" i="5"/>
  <c r="BD382" i="5"/>
  <c r="BC391" i="5"/>
  <c r="BB382" i="5"/>
  <c r="BJ382" i="5"/>
  <c r="BA711" i="5"/>
  <c r="AS711" i="5"/>
  <c r="AA719" i="5"/>
  <c r="AM283" i="5"/>
  <c r="AM715" i="5"/>
  <c r="AM719" i="5" s="1"/>
  <c r="AS256" i="5"/>
  <c r="BA256" i="5"/>
  <c r="BC256" i="5" s="1"/>
  <c r="AS308" i="5"/>
  <c r="BA308" i="5"/>
  <c r="BC308" i="5" s="1"/>
  <c r="AS138" i="5"/>
  <c r="BA138" i="5"/>
  <c r="BC138" i="5" s="1"/>
  <c r="AT682" i="5"/>
  <c r="AT117" i="5"/>
  <c r="AA724" i="5"/>
  <c r="X724" i="5"/>
  <c r="BA328" i="5"/>
  <c r="BC328" i="5" s="1"/>
  <c r="AS328" i="5"/>
  <c r="BD395" i="5"/>
  <c r="BB395" i="5"/>
  <c r="BC402" i="5"/>
  <c r="X680" i="5"/>
  <c r="BA327" i="5"/>
  <c r="BC327" i="5" s="1"/>
  <c r="AS327" i="5"/>
  <c r="X742" i="5"/>
  <c r="AS713" i="5"/>
  <c r="BA713" i="5"/>
  <c r="BC713" i="5" s="1"/>
  <c r="AT194" i="5"/>
  <c r="BA410" i="5"/>
  <c r="BB465" i="5"/>
  <c r="BD465" i="5"/>
  <c r="BL465" i="5"/>
  <c r="BA220" i="5"/>
  <c r="BC220" i="5" s="1"/>
  <c r="AS220" i="5"/>
  <c r="AS67" i="5"/>
  <c r="BB142" i="5"/>
  <c r="BD142" i="5"/>
  <c r="BL142" i="5"/>
  <c r="AS205" i="5"/>
  <c r="AS215" i="5" s="1"/>
  <c r="AS724" i="5"/>
  <c r="BA724" i="5"/>
  <c r="AS716" i="5"/>
  <c r="BA716" i="5"/>
  <c r="AT744" i="5"/>
  <c r="BB386" i="5"/>
  <c r="BJ386" i="5"/>
  <c r="BD386" i="5"/>
  <c r="AM697" i="5"/>
  <c r="BB599" i="5"/>
  <c r="BJ599" i="5"/>
  <c r="BD599" i="5"/>
  <c r="AA294" i="5"/>
  <c r="BK318" i="5"/>
  <c r="BB318" i="5"/>
  <c r="BD318" i="5"/>
  <c r="BL151" i="5"/>
  <c r="BB151" i="5"/>
  <c r="BD151" i="5"/>
  <c r="T437" i="5"/>
  <c r="M763" i="5"/>
  <c r="T763" i="5" s="1"/>
  <c r="S763" i="5" s="1"/>
  <c r="BA253" i="5"/>
  <c r="BC253" i="5" s="1"/>
  <c r="AS253" i="5"/>
  <c r="AS150" i="5"/>
  <c r="BA150" i="5"/>
  <c r="BC150" i="5" s="1"/>
  <c r="AT694" i="5"/>
  <c r="BD503" i="5"/>
  <c r="BC510" i="5"/>
  <c r="BB503" i="5"/>
  <c r="AQ714" i="5"/>
  <c r="BC80" i="5"/>
  <c r="BA85" i="5"/>
  <c r="AT153" i="5"/>
  <c r="BA137" i="5"/>
  <c r="AS137" i="5"/>
  <c r="AT681" i="5"/>
  <c r="BD74" i="5"/>
  <c r="BB74" i="5"/>
  <c r="BA255" i="5"/>
  <c r="BC255" i="5" s="1"/>
  <c r="AS255" i="5"/>
  <c r="AS703" i="5"/>
  <c r="BA703" i="5"/>
  <c r="BC703" i="5" s="1"/>
  <c r="BA733" i="5"/>
  <c r="AS733" i="5"/>
  <c r="BL463" i="5"/>
  <c r="BB463" i="5"/>
  <c r="BD463" i="5"/>
  <c r="AW698" i="5"/>
  <c r="AW654" i="5"/>
  <c r="BA655" i="5" s="1"/>
  <c r="BC50" i="5"/>
  <c r="BA56" i="5"/>
  <c r="AS78" i="5"/>
  <c r="U313" i="5"/>
  <c r="BA755" i="5"/>
  <c r="AS755" i="5"/>
  <c r="AS705" i="5"/>
  <c r="BA705" i="5"/>
  <c r="BC705" i="5" s="1"/>
  <c r="BA742" i="5"/>
  <c r="AS742" i="5"/>
  <c r="AT369" i="5"/>
  <c r="BA352" i="5"/>
  <c r="AS352" i="5"/>
  <c r="AS369" i="5" s="1"/>
  <c r="AT680" i="5"/>
  <c r="BC183" i="5"/>
  <c r="AS141" i="5"/>
  <c r="BA141" i="5"/>
  <c r="BC141" i="5" s="1"/>
  <c r="AT685" i="5"/>
  <c r="AQ297" i="5"/>
  <c r="X194" i="5"/>
  <c r="AW294" i="5"/>
  <c r="AW731" i="5" s="1"/>
  <c r="AP222" i="5"/>
  <c r="AP225" i="5" s="1"/>
  <c r="S121" i="15"/>
  <c r="AH121" i="15" s="1"/>
  <c r="AJ121" i="15" s="1"/>
  <c r="AH106" i="15"/>
  <c r="AF124" i="15"/>
  <c r="C11" i="6"/>
  <c r="AB11" i="6" s="1"/>
  <c r="AC11" i="6" s="1"/>
  <c r="W4" i="6"/>
  <c r="BC714" i="5" l="1"/>
  <c r="AS194" i="5"/>
  <c r="BK215" i="5"/>
  <c r="AW738" i="5"/>
  <c r="BJ62" i="5"/>
  <c r="AY709" i="5"/>
  <c r="AT225" i="5"/>
  <c r="BA226" i="5" s="1"/>
  <c r="BJ107" i="5"/>
  <c r="BB62" i="5"/>
  <c r="BD171" i="5"/>
  <c r="BC329" i="5"/>
  <c r="AQ222" i="5"/>
  <c r="U697" i="5"/>
  <c r="BJ499" i="5"/>
  <c r="BA194" i="5"/>
  <c r="BC221" i="5"/>
  <c r="BJ221" i="5" s="1"/>
  <c r="AY623" i="5"/>
  <c r="AM738" i="5"/>
  <c r="AQ86" i="5"/>
  <c r="AQ117" i="5" s="1"/>
  <c r="BB604" i="5"/>
  <c r="AQ756" i="5"/>
  <c r="BC711" i="5"/>
  <c r="BA86" i="5"/>
  <c r="BA117" i="5" s="1"/>
  <c r="BH120" i="5" s="1"/>
  <c r="BB499" i="5"/>
  <c r="BC755" i="5"/>
  <c r="BC716" i="5"/>
  <c r="AQ724" i="5"/>
  <c r="BC724" i="5" s="1"/>
  <c r="BB391" i="5"/>
  <c r="BB593" i="5"/>
  <c r="BA107" i="5"/>
  <c r="AS222" i="5"/>
  <c r="AT294" i="5"/>
  <c r="AT731" i="5" s="1"/>
  <c r="AT323" i="5"/>
  <c r="AT758" i="5" s="1"/>
  <c r="AT750" i="5"/>
  <c r="BD139" i="5"/>
  <c r="BL139" i="5"/>
  <c r="BB139" i="5"/>
  <c r="BC732" i="5"/>
  <c r="AW436" i="5"/>
  <c r="AW762" i="5" s="1"/>
  <c r="U436" i="5"/>
  <c r="S436" i="5"/>
  <c r="BD148" i="5"/>
  <c r="BL148" i="5"/>
  <c r="BB148" i="5"/>
  <c r="BC710" i="5"/>
  <c r="BA695" i="5"/>
  <c r="BC695" i="5" s="1"/>
  <c r="AS695" i="5"/>
  <c r="AP715" i="5"/>
  <c r="AP719" i="5" s="1"/>
  <c r="AP738" i="5" s="1"/>
  <c r="X715" i="5"/>
  <c r="U719" i="5"/>
  <c r="T719" i="5" s="1"/>
  <c r="AS279" i="5"/>
  <c r="BA279" i="5"/>
  <c r="AT283" i="5"/>
  <c r="AT720" i="5" s="1"/>
  <c r="AT715" i="5"/>
  <c r="AS685" i="5"/>
  <c r="BA685" i="5"/>
  <c r="BC685" i="5" s="1"/>
  <c r="BJ327" i="5"/>
  <c r="BD327" i="5"/>
  <c r="BB327" i="5"/>
  <c r="BC623" i="5"/>
  <c r="BD593" i="5"/>
  <c r="AW435" i="5"/>
  <c r="AW761" i="5" s="1"/>
  <c r="S435" i="5"/>
  <c r="U435" i="5"/>
  <c r="BC67" i="5"/>
  <c r="BB58" i="5"/>
  <c r="BB67" i="5" s="1"/>
  <c r="BD58" i="5"/>
  <c r="BJ58" i="5"/>
  <c r="BJ67" i="5" s="1"/>
  <c r="BL254" i="5"/>
  <c r="BB254" i="5"/>
  <c r="BD254" i="5"/>
  <c r="AQ709" i="5"/>
  <c r="BD141" i="5"/>
  <c r="BL141" i="5"/>
  <c r="BB141" i="5"/>
  <c r="BA681" i="5"/>
  <c r="BC681" i="5" s="1"/>
  <c r="AS681" i="5"/>
  <c r="BD510" i="5"/>
  <c r="BN510" i="5"/>
  <c r="BB510" i="5"/>
  <c r="S437" i="5"/>
  <c r="U437" i="5"/>
  <c r="AW437" i="5"/>
  <c r="AW763" i="5" s="1"/>
  <c r="AQ742" i="5"/>
  <c r="AQ749" i="5" s="1"/>
  <c r="AQ757" i="5" s="1"/>
  <c r="X749" i="5"/>
  <c r="X757" i="5" s="1"/>
  <c r="X697" i="5"/>
  <c r="AQ680" i="5"/>
  <c r="AQ697" i="5" s="1"/>
  <c r="BD328" i="5"/>
  <c r="BL328" i="5"/>
  <c r="BB328" i="5"/>
  <c r="BA682" i="5"/>
  <c r="BC682" i="5" s="1"/>
  <c r="AS682" i="5"/>
  <c r="AM720" i="5"/>
  <c r="AM302" i="5"/>
  <c r="BB711" i="5"/>
  <c r="BJ711" i="5"/>
  <c r="BD711" i="5"/>
  <c r="BC392" i="5"/>
  <c r="BD391" i="5"/>
  <c r="BF381" i="5"/>
  <c r="AQ723" i="5"/>
  <c r="AQ352" i="5"/>
  <c r="AQ369" i="5" s="1"/>
  <c r="X369" i="5"/>
  <c r="BA250" i="5"/>
  <c r="BC250" i="5" s="1"/>
  <c r="AS250" i="5"/>
  <c r="AT686" i="5"/>
  <c r="AS654" i="5"/>
  <c r="BD753" i="5"/>
  <c r="BB753" i="5"/>
  <c r="BK753" i="5"/>
  <c r="BL258" i="5"/>
  <c r="BB258" i="5"/>
  <c r="BD258" i="5"/>
  <c r="BA298" i="5"/>
  <c r="BC298" i="5" s="1"/>
  <c r="AS298" i="5"/>
  <c r="AT734" i="5"/>
  <c r="AW760" i="5"/>
  <c r="AS689" i="5"/>
  <c r="BA689" i="5"/>
  <c r="BC689" i="5" s="1"/>
  <c r="BB537" i="5"/>
  <c r="BD537" i="5"/>
  <c r="AT709" i="5"/>
  <c r="X301" i="5"/>
  <c r="BD409" i="5"/>
  <c r="BB409" i="5"/>
  <c r="BC518" i="5"/>
  <c r="BD518" i="5" s="1"/>
  <c r="BD488" i="5"/>
  <c r="AQ733" i="5"/>
  <c r="BC733" i="5" s="1"/>
  <c r="AA727" i="5"/>
  <c r="AA730" i="5" s="1"/>
  <c r="AA738" i="5" s="1"/>
  <c r="X727" i="5"/>
  <c r="X730" i="5" s="1"/>
  <c r="BD252" i="5"/>
  <c r="BL252" i="5"/>
  <c r="BB252" i="5"/>
  <c r="X654" i="5"/>
  <c r="BA688" i="5"/>
  <c r="BC688" i="5" s="1"/>
  <c r="AS688" i="5"/>
  <c r="BB517" i="5"/>
  <c r="BD517" i="5"/>
  <c r="BD245" i="5"/>
  <c r="BL245" i="5"/>
  <c r="BB245" i="5"/>
  <c r="AS756" i="5"/>
  <c r="BK746" i="5"/>
  <c r="BB746" i="5"/>
  <c r="BD746" i="5"/>
  <c r="BA684" i="5"/>
  <c r="BC684" i="5" s="1"/>
  <c r="AS684" i="5"/>
  <c r="AW720" i="5"/>
  <c r="AW302" i="5"/>
  <c r="BD146" i="5"/>
  <c r="BL146" i="5"/>
  <c r="BB146" i="5"/>
  <c r="BL249" i="5"/>
  <c r="BB249" i="5"/>
  <c r="BD249" i="5"/>
  <c r="BC410" i="5"/>
  <c r="BD410" i="5" s="1"/>
  <c r="BD380" i="5"/>
  <c r="BD292" i="5"/>
  <c r="BF285" i="5"/>
  <c r="BB292" i="5"/>
  <c r="BO292" i="5"/>
  <c r="X261" i="5"/>
  <c r="AS281" i="5"/>
  <c r="BA281" i="5"/>
  <c r="BC281" i="5" s="1"/>
  <c r="AT717" i="5"/>
  <c r="X313" i="5"/>
  <c r="BB246" i="5"/>
  <c r="BD246" i="5"/>
  <c r="BL246" i="5"/>
  <c r="X294" i="5"/>
  <c r="X731" i="5" s="1"/>
  <c r="BB188" i="5"/>
  <c r="BC193" i="5"/>
  <c r="BD188" i="5"/>
  <c r="AQ225" i="5"/>
  <c r="BB259" i="5"/>
  <c r="BO259" i="5"/>
  <c r="BD259" i="5"/>
  <c r="BL259" i="5"/>
  <c r="T283" i="5"/>
  <c r="U720" i="5"/>
  <c r="BD726" i="5"/>
  <c r="BB726" i="5"/>
  <c r="BA680" i="5"/>
  <c r="AS680" i="5"/>
  <c r="BD150" i="5"/>
  <c r="BL150" i="5"/>
  <c r="BB150" i="5"/>
  <c r="AY739" i="5"/>
  <c r="AY654" i="5"/>
  <c r="BC78" i="5"/>
  <c r="BB71" i="5"/>
  <c r="BD71" i="5"/>
  <c r="BB714" i="5"/>
  <c r="BJ714" i="5"/>
  <c r="BD714" i="5"/>
  <c r="BC266" i="5"/>
  <c r="BA272" i="5"/>
  <c r="BL244" i="5"/>
  <c r="BB244" i="5"/>
  <c r="BC261" i="5"/>
  <c r="BD244" i="5"/>
  <c r="BB529" i="5"/>
  <c r="BD529" i="5"/>
  <c r="BC539" i="5"/>
  <c r="BC186" i="5"/>
  <c r="BB179" i="5"/>
  <c r="BD179" i="5"/>
  <c r="BE321" i="5"/>
  <c r="BD321" i="5"/>
  <c r="BB321" i="5"/>
  <c r="BJ712" i="5"/>
  <c r="BD712" i="5"/>
  <c r="BB712" i="5"/>
  <c r="BA690" i="5"/>
  <c r="BC690" i="5" s="1"/>
  <c r="AS690" i="5"/>
  <c r="BC326" i="5"/>
  <c r="BA330" i="5"/>
  <c r="BA654" i="5"/>
  <c r="BC56" i="5"/>
  <c r="BB50" i="5"/>
  <c r="BB56" i="5" s="1"/>
  <c r="BD50" i="5"/>
  <c r="BJ50" i="5"/>
  <c r="BJ56" i="5" s="1"/>
  <c r="BJ86" i="5" s="1"/>
  <c r="AS153" i="5"/>
  <c r="AS698" i="5" s="1"/>
  <c r="BC85" i="5"/>
  <c r="BD80" i="5"/>
  <c r="BB80" i="5"/>
  <c r="AA731" i="5"/>
  <c r="AA302" i="5"/>
  <c r="AM767" i="5"/>
  <c r="BA744" i="5"/>
  <c r="BC744" i="5" s="1"/>
  <c r="AS744" i="5"/>
  <c r="BD716" i="5"/>
  <c r="BJ716" i="5"/>
  <c r="BB716" i="5"/>
  <c r="U749" i="5"/>
  <c r="T697" i="5"/>
  <c r="BL138" i="5"/>
  <c r="BB138" i="5"/>
  <c r="BD138" i="5"/>
  <c r="BL256" i="5"/>
  <c r="BB256" i="5"/>
  <c r="BD256" i="5"/>
  <c r="BJ219" i="5"/>
  <c r="BD219" i="5"/>
  <c r="BB219" i="5"/>
  <c r="BL34" i="5"/>
  <c r="BL45" i="5" s="1"/>
  <c r="BB34" i="5"/>
  <c r="BD34" i="5"/>
  <c r="BC45" i="5"/>
  <c r="BD90" i="5"/>
  <c r="BL90" i="5"/>
  <c r="BL107" i="5" s="1"/>
  <c r="BB90" i="5"/>
  <c r="BC97" i="5"/>
  <c r="AS693" i="5"/>
  <c r="BA693" i="5"/>
  <c r="BC693" i="5" s="1"/>
  <c r="BL251" i="5"/>
  <c r="BB251" i="5"/>
  <c r="BD251" i="5"/>
  <c r="T294" i="5"/>
  <c r="U731" i="5"/>
  <c r="BB145" i="5"/>
  <c r="BD145" i="5"/>
  <c r="BL145" i="5"/>
  <c r="BB460" i="5"/>
  <c r="BC477" i="5"/>
  <c r="BD460" i="5"/>
  <c r="BL460" i="5"/>
  <c r="BL477" i="5" s="1"/>
  <c r="AQ301" i="5"/>
  <c r="BB488" i="5"/>
  <c r="BC280" i="5"/>
  <c r="BA723" i="5"/>
  <c r="AS723" i="5"/>
  <c r="AS309" i="5"/>
  <c r="BA309" i="5"/>
  <c r="BC309" i="5" s="1"/>
  <c r="AT745" i="5"/>
  <c r="BB288" i="5"/>
  <c r="BD288" i="5"/>
  <c r="AS261" i="5"/>
  <c r="X225" i="5"/>
  <c r="AQ228" i="5" s="1"/>
  <c r="BC752" i="5"/>
  <c r="BA756" i="5"/>
  <c r="AS301" i="5"/>
  <c r="BF594" i="5"/>
  <c r="BC661" i="5"/>
  <c r="BB299" i="5"/>
  <c r="BD299" i="5"/>
  <c r="BD704" i="5"/>
  <c r="BB704" i="5"/>
  <c r="T654" i="5"/>
  <c r="AS330" i="5"/>
  <c r="BA691" i="5"/>
  <c r="BC691" i="5" s="1"/>
  <c r="AS691" i="5"/>
  <c r="AQ702" i="5"/>
  <c r="AQ708" i="5" s="1"/>
  <c r="X708" i="5"/>
  <c r="BB221" i="5"/>
  <c r="AQ313" i="5"/>
  <c r="BA683" i="5"/>
  <c r="BC683" i="5" s="1"/>
  <c r="AS683" i="5"/>
  <c r="AQ294" i="5"/>
  <c r="AQ731" i="5" s="1"/>
  <c r="BD421" i="5"/>
  <c r="BB421" i="5"/>
  <c r="BC431" i="5"/>
  <c r="BJ215" i="5"/>
  <c r="BD706" i="5"/>
  <c r="BK706" i="5"/>
  <c r="BB706" i="5"/>
  <c r="AQ279" i="5"/>
  <c r="AQ283" i="5" s="1"/>
  <c r="AQ720" i="5" s="1"/>
  <c r="X283" i="5"/>
  <c r="X720" i="5" s="1"/>
  <c r="BD220" i="5"/>
  <c r="BL220" i="5"/>
  <c r="BB220" i="5"/>
  <c r="BB308" i="5"/>
  <c r="BD308" i="5"/>
  <c r="BJ308" i="5"/>
  <c r="BA687" i="5"/>
  <c r="BC687" i="5" s="1"/>
  <c r="AS687" i="5"/>
  <c r="T369" i="5"/>
  <c r="U438" i="5"/>
  <c r="U441" i="5" s="1"/>
  <c r="T441" i="5" s="1"/>
  <c r="X434" i="5"/>
  <c r="AT434" i="5"/>
  <c r="U760" i="5"/>
  <c r="BD100" i="5"/>
  <c r="BC105" i="5"/>
  <c r="BK100" i="5"/>
  <c r="BK107" i="5" s="1"/>
  <c r="BB100" i="5"/>
  <c r="AQ654" i="5"/>
  <c r="BC306" i="5"/>
  <c r="AS289" i="5"/>
  <c r="BA289" i="5"/>
  <c r="BC289" i="5" s="1"/>
  <c r="AT725" i="5"/>
  <c r="BD329" i="5"/>
  <c r="BJ329" i="5"/>
  <c r="BB329" i="5"/>
  <c r="BB180" i="5"/>
  <c r="BD180" i="5"/>
  <c r="AQ261" i="5"/>
  <c r="BD429" i="5"/>
  <c r="BB429" i="5"/>
  <c r="BE429" i="5"/>
  <c r="BA369" i="5"/>
  <c r="BK755" i="5"/>
  <c r="BB755" i="5"/>
  <c r="BD755" i="5"/>
  <c r="BD255" i="5"/>
  <c r="BL255" i="5"/>
  <c r="BB255" i="5"/>
  <c r="BB183" i="5"/>
  <c r="BD183" i="5"/>
  <c r="BD705" i="5"/>
  <c r="BB705" i="5"/>
  <c r="BJ705" i="5"/>
  <c r="T313" i="5"/>
  <c r="U323" i="5"/>
  <c r="U750" i="5"/>
  <c r="BD703" i="5"/>
  <c r="BB703" i="5"/>
  <c r="BC137" i="5"/>
  <c r="BA153" i="5"/>
  <c r="BA694" i="5"/>
  <c r="BC694" i="5" s="1"/>
  <c r="AS694" i="5"/>
  <c r="BD253" i="5"/>
  <c r="BL253" i="5"/>
  <c r="BB253" i="5"/>
  <c r="BD713" i="5"/>
  <c r="BJ713" i="5"/>
  <c r="BB713" i="5"/>
  <c r="BN402" i="5"/>
  <c r="BD402" i="5"/>
  <c r="BB402" i="5"/>
  <c r="BB410" i="5" s="1"/>
  <c r="BJ391" i="5"/>
  <c r="BK310" i="5"/>
  <c r="BK323" i="5" s="1"/>
  <c r="BB310" i="5"/>
  <c r="BD310" i="5"/>
  <c r="BB149" i="5"/>
  <c r="BD149" i="5"/>
  <c r="BL149" i="5"/>
  <c r="AS702" i="5"/>
  <c r="AS708" i="5" s="1"/>
  <c r="AT708" i="5"/>
  <c r="BA702" i="5"/>
  <c r="BD81" i="5"/>
  <c r="BB81" i="5"/>
  <c r="X734" i="5"/>
  <c r="AQ734" i="5" s="1"/>
  <c r="AQ737" i="5" s="1"/>
  <c r="U737" i="5"/>
  <c r="T737" i="5" s="1"/>
  <c r="BD172" i="5"/>
  <c r="BB172" i="5"/>
  <c r="BB175" i="5" s="1"/>
  <c r="BJ172" i="5"/>
  <c r="BJ175" i="5" s="1"/>
  <c r="BD247" i="5"/>
  <c r="BL247" i="5"/>
  <c r="BB247" i="5"/>
  <c r="BC218" i="5"/>
  <c r="BA222" i="5"/>
  <c r="BL198" i="5"/>
  <c r="BL215" i="5" s="1"/>
  <c r="BB198" i="5"/>
  <c r="BC205" i="5"/>
  <c r="BD198" i="5"/>
  <c r="BF489" i="5"/>
  <c r="BC556" i="5"/>
  <c r="BK754" i="5"/>
  <c r="BB754" i="5"/>
  <c r="BD754" i="5"/>
  <c r="BB644" i="5"/>
  <c r="BD644" i="5"/>
  <c r="BD707" i="5"/>
  <c r="BL707" i="5"/>
  <c r="BB707" i="5"/>
  <c r="BB735" i="5"/>
  <c r="BD735" i="5"/>
  <c r="BA291" i="5"/>
  <c r="BC291" i="5" s="1"/>
  <c r="AS291" i="5"/>
  <c r="AS294" i="5" s="1"/>
  <c r="AS731" i="5" s="1"/>
  <c r="AT727" i="5"/>
  <c r="BD290" i="5"/>
  <c r="BB290" i="5"/>
  <c r="BD144" i="5"/>
  <c r="BL144" i="5"/>
  <c r="BB144" i="5"/>
  <c r="BC297" i="5"/>
  <c r="BA728" i="5"/>
  <c r="BC728" i="5" s="1"/>
  <c r="AS728" i="5"/>
  <c r="BA294" i="5"/>
  <c r="BA731" i="5" s="1"/>
  <c r="BC287" i="5"/>
  <c r="AT261" i="5"/>
  <c r="BD72" i="5"/>
  <c r="BB72" i="5"/>
  <c r="U302" i="5"/>
  <c r="BC296" i="5"/>
  <c r="BJ604" i="5"/>
  <c r="BA307" i="5"/>
  <c r="BC307" i="5" s="1"/>
  <c r="AS307" i="5"/>
  <c r="AS313" i="5" s="1"/>
  <c r="AT743" i="5"/>
  <c r="BD248" i="5"/>
  <c r="BL248" i="5"/>
  <c r="BB248" i="5"/>
  <c r="U698" i="5"/>
  <c r="BB147" i="5"/>
  <c r="BD147" i="5"/>
  <c r="BL147" i="5"/>
  <c r="BB158" i="5"/>
  <c r="BB164" i="5" s="1"/>
  <c r="BJ158" i="5"/>
  <c r="BJ164" i="5" s="1"/>
  <c r="BJ194" i="5" s="1"/>
  <c r="BD158" i="5"/>
  <c r="BC164" i="5"/>
  <c r="X302" i="5"/>
  <c r="X739" i="5" s="1"/>
  <c r="X709" i="5"/>
  <c r="T708" i="5"/>
  <c r="BE213" i="5"/>
  <c r="BD213" i="5"/>
  <c r="BB213" i="5"/>
  <c r="BD75" i="5"/>
  <c r="BB75" i="5"/>
  <c r="AS86" i="5"/>
  <c r="AS117" i="5" s="1"/>
  <c r="BC565" i="5"/>
  <c r="BA692" i="5"/>
  <c r="BC692" i="5" s="1"/>
  <c r="AS692" i="5"/>
  <c r="BC175" i="5"/>
  <c r="AP302" i="5"/>
  <c r="AP720" i="5"/>
  <c r="BD257" i="5"/>
  <c r="BL257" i="5"/>
  <c r="BB257" i="5"/>
  <c r="AJ106" i="15"/>
  <c r="AH107" i="15"/>
  <c r="AJ107" i="15" s="1"/>
  <c r="AI110" i="15"/>
  <c r="AJ110" i="15" s="1"/>
  <c r="AQ698" i="5" l="1"/>
  <c r="BA261" i="5"/>
  <c r="AT730" i="5"/>
  <c r="BB623" i="5"/>
  <c r="BD221" i="5"/>
  <c r="BD724" i="5"/>
  <c r="BB724" i="5"/>
  <c r="BA301" i="5"/>
  <c r="AS225" i="5"/>
  <c r="AW438" i="5"/>
  <c r="U738" i="5"/>
  <c r="T738" i="5" s="1"/>
  <c r="BC742" i="5"/>
  <c r="BB518" i="5"/>
  <c r="AS323" i="5"/>
  <c r="AS758" i="5" s="1"/>
  <c r="AS750" i="5"/>
  <c r="BL692" i="5"/>
  <c r="BB692" i="5"/>
  <c r="BD692" i="5"/>
  <c r="BB664" i="5"/>
  <c r="BC215" i="5"/>
  <c r="BD205" i="5"/>
  <c r="BB205" i="5"/>
  <c r="BD694" i="5"/>
  <c r="BL694" i="5"/>
  <c r="BB694" i="5"/>
  <c r="BP105" i="5"/>
  <c r="BD105" i="5"/>
  <c r="BB105" i="5"/>
  <c r="BC756" i="5"/>
  <c r="BB752" i="5"/>
  <c r="BK752" i="5"/>
  <c r="BD752" i="5"/>
  <c r="BC272" i="5"/>
  <c r="BP56" i="5" s="1"/>
  <c r="BD266" i="5"/>
  <c r="BB266" i="5"/>
  <c r="BB272" i="5" s="1"/>
  <c r="BJ266" i="5"/>
  <c r="BJ272" i="5" s="1"/>
  <c r="BJ302" i="5" s="1"/>
  <c r="AW739" i="5"/>
  <c r="AW333" i="5"/>
  <c r="BL688" i="5"/>
  <c r="BB688" i="5"/>
  <c r="BD688" i="5"/>
  <c r="AW765" i="5"/>
  <c r="AW441" i="5"/>
  <c r="AW769" i="5" s="1"/>
  <c r="BA686" i="5"/>
  <c r="BC686" i="5" s="1"/>
  <c r="AS686" i="5"/>
  <c r="AS697" i="5" s="1"/>
  <c r="BB682" i="5"/>
  <c r="BD682" i="5"/>
  <c r="BL682" i="5"/>
  <c r="BB733" i="5"/>
  <c r="BD733" i="5"/>
  <c r="AQ715" i="5"/>
  <c r="AQ719" i="5" s="1"/>
  <c r="X719" i="5"/>
  <c r="AP333" i="5"/>
  <c r="AP739" i="5"/>
  <c r="BC582" i="5"/>
  <c r="BD565" i="5"/>
  <c r="BL565" i="5"/>
  <c r="BL582" i="5" s="1"/>
  <c r="BB565" i="5"/>
  <c r="BD164" i="5"/>
  <c r="BC194" i="5"/>
  <c r="BD194" i="5" s="1"/>
  <c r="BB296" i="5"/>
  <c r="BC301" i="5"/>
  <c r="BD296" i="5"/>
  <c r="BD291" i="5"/>
  <c r="BB291" i="5"/>
  <c r="BF556" i="5"/>
  <c r="BA556" i="5"/>
  <c r="BA225" i="5"/>
  <c r="BH228" i="5" s="1"/>
  <c r="T438" i="5"/>
  <c r="U765" i="5"/>
  <c r="BB687" i="5"/>
  <c r="BD687" i="5"/>
  <c r="BL687" i="5"/>
  <c r="BL683" i="5"/>
  <c r="BB683" i="5"/>
  <c r="BD683" i="5"/>
  <c r="AS745" i="5"/>
  <c r="BA745" i="5"/>
  <c r="BC745" i="5" s="1"/>
  <c r="AA333" i="5"/>
  <c r="AA739" i="5"/>
  <c r="BB85" i="5"/>
  <c r="BD85" i="5"/>
  <c r="BA698" i="5"/>
  <c r="BA697" i="5"/>
  <c r="BC680" i="5"/>
  <c r="X323" i="5"/>
  <c r="X758" i="5" s="1"/>
  <c r="X750" i="5"/>
  <c r="BD689" i="5"/>
  <c r="BL689" i="5"/>
  <c r="BB689" i="5"/>
  <c r="BA734" i="5"/>
  <c r="AS734" i="5"/>
  <c r="AS737" i="5" s="1"/>
  <c r="AT737" i="5"/>
  <c r="AM739" i="5"/>
  <c r="AM333" i="5"/>
  <c r="AM769" i="5" s="1"/>
  <c r="AM771" i="5" s="1"/>
  <c r="AT437" i="5"/>
  <c r="X437" i="5"/>
  <c r="AP437" i="5"/>
  <c r="U763" i="5"/>
  <c r="BD67" i="5"/>
  <c r="BF57" i="5"/>
  <c r="BC124" i="5"/>
  <c r="BD685" i="5"/>
  <c r="BL685" i="5"/>
  <c r="BB685" i="5"/>
  <c r="BC279" i="5"/>
  <c r="BA283" i="5"/>
  <c r="BA720" i="5" s="1"/>
  <c r="BB710" i="5"/>
  <c r="BJ710" i="5"/>
  <c r="BD710" i="5"/>
  <c r="BB732" i="5"/>
  <c r="BD732" i="5"/>
  <c r="BD297" i="5"/>
  <c r="BB297" i="5"/>
  <c r="BD289" i="5"/>
  <c r="BB289" i="5"/>
  <c r="BC330" i="5"/>
  <c r="BK326" i="5"/>
  <c r="BB326" i="5"/>
  <c r="BD326" i="5"/>
  <c r="BC338" i="5"/>
  <c r="BB261" i="5"/>
  <c r="BF239" i="5"/>
  <c r="BD261" i="5"/>
  <c r="BB281" i="5"/>
  <c r="BJ281" i="5"/>
  <c r="BD281" i="5"/>
  <c r="BF165" i="5"/>
  <c r="BD175" i="5"/>
  <c r="BC232" i="5"/>
  <c r="BC352" i="5"/>
  <c r="BD306" i="5"/>
  <c r="BL306" i="5"/>
  <c r="BB306" i="5"/>
  <c r="BC313" i="5"/>
  <c r="X760" i="5"/>
  <c r="AQ323" i="5"/>
  <c r="AQ758" i="5" s="1"/>
  <c r="AQ750" i="5"/>
  <c r="BB691" i="5"/>
  <c r="BD691" i="5"/>
  <c r="BL691" i="5"/>
  <c r="BB309" i="5"/>
  <c r="BD309" i="5"/>
  <c r="BJ309" i="5"/>
  <c r="BJ323" i="5" s="1"/>
  <c r="BC723" i="5"/>
  <c r="BC554" i="5"/>
  <c r="BC549" i="5"/>
  <c r="BF455" i="5"/>
  <c r="BB477" i="5"/>
  <c r="BC107" i="5"/>
  <c r="BB97" i="5"/>
  <c r="BD97" i="5"/>
  <c r="BC122" i="5"/>
  <c r="BB45" i="5"/>
  <c r="BD45" i="5"/>
  <c r="BF23" i="5"/>
  <c r="U757" i="5"/>
  <c r="T757" i="5" s="1"/>
  <c r="T749" i="5"/>
  <c r="BC86" i="5"/>
  <c r="BD86" i="5" s="1"/>
  <c r="BD56" i="5"/>
  <c r="BH657" i="5"/>
  <c r="BD690" i="5"/>
  <c r="BL690" i="5"/>
  <c r="BB690" i="5"/>
  <c r="BB78" i="5"/>
  <c r="BN78" i="5"/>
  <c r="BD78" i="5"/>
  <c r="AT697" i="5"/>
  <c r="BD193" i="5"/>
  <c r="BB193" i="5"/>
  <c r="X333" i="5"/>
  <c r="X698" i="5"/>
  <c r="AT302" i="5"/>
  <c r="AT739" i="5" s="1"/>
  <c r="BD250" i="5"/>
  <c r="BL250" i="5"/>
  <c r="BL261" i="5" s="1"/>
  <c r="BB250" i="5"/>
  <c r="AQ302" i="5"/>
  <c r="AQ739" i="5" s="1"/>
  <c r="AP435" i="5"/>
  <c r="AP438" i="5" s="1"/>
  <c r="AT435" i="5"/>
  <c r="AA435" i="5"/>
  <c r="AA438" i="5" s="1"/>
  <c r="X435" i="5"/>
  <c r="U761" i="5"/>
  <c r="BD623" i="5"/>
  <c r="AS283" i="5"/>
  <c r="X436" i="5"/>
  <c r="AQ436" i="5" s="1"/>
  <c r="AT436" i="5"/>
  <c r="U762" i="5"/>
  <c r="X762" i="5" s="1"/>
  <c r="AQ762" i="5" s="1"/>
  <c r="BA743" i="5"/>
  <c r="AS743" i="5"/>
  <c r="AT749" i="5"/>
  <c r="AT757" i="5" s="1"/>
  <c r="BC222" i="5"/>
  <c r="BK218" i="5"/>
  <c r="BB218" i="5"/>
  <c r="BD218" i="5"/>
  <c r="AQ434" i="5"/>
  <c r="X438" i="5"/>
  <c r="X765" i="5" s="1"/>
  <c r="BB431" i="5"/>
  <c r="BD431" i="5"/>
  <c r="BD693" i="5"/>
  <c r="BL693" i="5"/>
  <c r="BB693" i="5"/>
  <c r="BB539" i="5"/>
  <c r="BD539" i="5"/>
  <c r="BD307" i="5"/>
  <c r="BL307" i="5"/>
  <c r="BB307" i="5"/>
  <c r="BF721" i="5"/>
  <c r="BB728" i="5"/>
  <c r="BD728" i="5"/>
  <c r="BD137" i="5"/>
  <c r="BL137" i="5"/>
  <c r="BL153" i="5" s="1"/>
  <c r="BB137" i="5"/>
  <c r="BC153" i="5"/>
  <c r="T302" i="5"/>
  <c r="U739" i="5"/>
  <c r="U333" i="5"/>
  <c r="T333" i="5" s="1"/>
  <c r="BD287" i="5"/>
  <c r="BC294" i="5"/>
  <c r="BP78" i="5" s="1"/>
  <c r="BB287" i="5"/>
  <c r="BA727" i="5"/>
  <c r="AS727" i="5"/>
  <c r="BA708" i="5"/>
  <c r="BC702" i="5"/>
  <c r="T323" i="5"/>
  <c r="U758" i="5"/>
  <c r="AS725" i="5"/>
  <c r="BA725" i="5"/>
  <c r="BC725" i="5" s="1"/>
  <c r="BA313" i="5"/>
  <c r="AS434" i="5"/>
  <c r="BA434" i="5"/>
  <c r="AT760" i="5"/>
  <c r="BF661" i="5"/>
  <c r="BA661" i="5"/>
  <c r="BO280" i="5"/>
  <c r="BJ280" i="5"/>
  <c r="BD280" i="5"/>
  <c r="BB280" i="5"/>
  <c r="BJ744" i="5"/>
  <c r="BD744" i="5"/>
  <c r="BB744" i="5"/>
  <c r="BB742" i="5"/>
  <c r="BD742" i="5"/>
  <c r="BL742" i="5"/>
  <c r="BB186" i="5"/>
  <c r="BN186" i="5"/>
  <c r="BD186" i="5"/>
  <c r="BA709" i="5"/>
  <c r="AS717" i="5"/>
  <c r="BA717" i="5"/>
  <c r="BC717" i="5" s="1"/>
  <c r="X737" i="5"/>
  <c r="X738" i="5" s="1"/>
  <c r="BL684" i="5"/>
  <c r="BB684" i="5"/>
  <c r="BD684" i="5"/>
  <c r="BK757" i="5"/>
  <c r="AQ727" i="5"/>
  <c r="AQ730" i="5" s="1"/>
  <c r="AQ738" i="5" s="1"/>
  <c r="AW764" i="5"/>
  <c r="AW767" i="5" s="1"/>
  <c r="BD298" i="5"/>
  <c r="BB298" i="5"/>
  <c r="BB709" i="5"/>
  <c r="BB681" i="5"/>
  <c r="BL681" i="5"/>
  <c r="BD681" i="5"/>
  <c r="BA715" i="5"/>
  <c r="AS715" i="5"/>
  <c r="AT719" i="5"/>
  <c r="BD695" i="5"/>
  <c r="BL695" i="5"/>
  <c r="BB695" i="5"/>
  <c r="AT698" i="5"/>
  <c r="AS730" i="5" l="1"/>
  <c r="BB194" i="5"/>
  <c r="AQ437" i="5"/>
  <c r="AT438" i="5"/>
  <c r="AQ336" i="5"/>
  <c r="U769" i="5"/>
  <c r="AT333" i="5"/>
  <c r="BA334" i="5" s="1"/>
  <c r="AT738" i="5"/>
  <c r="AS749" i="5"/>
  <c r="AS757" i="5" s="1"/>
  <c r="AQ435" i="5"/>
  <c r="BB86" i="5"/>
  <c r="BL323" i="5"/>
  <c r="AT765" i="5"/>
  <c r="AT441" i="5"/>
  <c r="BD153" i="5"/>
  <c r="BC230" i="5"/>
  <c r="BC225" i="5"/>
  <c r="BB153" i="5"/>
  <c r="BF131" i="5"/>
  <c r="BC126" i="5"/>
  <c r="BF122" i="5"/>
  <c r="BA122" i="5"/>
  <c r="BC125" i="5"/>
  <c r="X441" i="5"/>
  <c r="X769" i="5" s="1"/>
  <c r="BA760" i="5"/>
  <c r="AS760" i="5"/>
  <c r="BA323" i="5"/>
  <c r="BA758" i="5" s="1"/>
  <c r="BA750" i="5"/>
  <c r="BC727" i="5"/>
  <c r="AQ438" i="5"/>
  <c r="AP761" i="5"/>
  <c r="AA761" i="5"/>
  <c r="AA764" i="5" s="1"/>
  <c r="AA767" i="5" s="1"/>
  <c r="X761" i="5"/>
  <c r="AP765" i="5"/>
  <c r="AP441" i="5"/>
  <c r="AP769" i="5" s="1"/>
  <c r="BC117" i="5"/>
  <c r="BB107" i="5"/>
  <c r="BD107" i="5"/>
  <c r="BF554" i="5"/>
  <c r="BC557" i="5"/>
  <c r="BA554" i="5"/>
  <c r="BC558" i="5"/>
  <c r="U764" i="5"/>
  <c r="T764" i="5" s="1"/>
  <c r="BF232" i="5"/>
  <c r="BA232" i="5"/>
  <c r="BD279" i="5"/>
  <c r="BB279" i="5"/>
  <c r="BB283" i="5" s="1"/>
  <c r="BB720" i="5" s="1"/>
  <c r="BO279" i="5"/>
  <c r="BJ279" i="5"/>
  <c r="BJ283" i="5" s="1"/>
  <c r="BC283" i="5"/>
  <c r="BF124" i="5"/>
  <c r="BA124" i="5"/>
  <c r="AS437" i="5"/>
  <c r="BA437" i="5"/>
  <c r="BC437" i="5" s="1"/>
  <c r="AT763" i="5"/>
  <c r="BD745" i="5"/>
  <c r="BJ745" i="5"/>
  <c r="BJ757" i="5" s="1"/>
  <c r="BB745" i="5"/>
  <c r="BC715" i="5"/>
  <c r="BA719" i="5"/>
  <c r="AQ760" i="5"/>
  <c r="BD301" i="5"/>
  <c r="BB301" i="5"/>
  <c r="BA302" i="5"/>
  <c r="BD725" i="5"/>
  <c r="BB725" i="5"/>
  <c r="BD702" i="5"/>
  <c r="BC708" i="5"/>
  <c r="BB702" i="5"/>
  <c r="BB708" i="5" s="1"/>
  <c r="BJ702" i="5"/>
  <c r="BJ708" i="5" s="1"/>
  <c r="BJ738" i="5" s="1"/>
  <c r="BC743" i="5"/>
  <c r="BA749" i="5"/>
  <c r="BA757" i="5" s="1"/>
  <c r="AS720" i="5"/>
  <c r="AS302" i="5"/>
  <c r="BB549" i="5"/>
  <c r="BD723" i="5"/>
  <c r="BB723" i="5"/>
  <c r="BC323" i="5"/>
  <c r="BD313" i="5"/>
  <c r="BB313" i="5"/>
  <c r="BB750" i="5" s="1"/>
  <c r="BC750" i="5"/>
  <c r="AQ333" i="5"/>
  <c r="AP763" i="5"/>
  <c r="X763" i="5"/>
  <c r="BB680" i="5"/>
  <c r="BC697" i="5"/>
  <c r="BD680" i="5"/>
  <c r="BL680" i="5"/>
  <c r="AS436" i="5"/>
  <c r="BA436" i="5"/>
  <c r="BC436" i="5" s="1"/>
  <c r="AT762" i="5"/>
  <c r="AS435" i="5"/>
  <c r="BA435" i="5"/>
  <c r="BC435" i="5" s="1"/>
  <c r="AT761" i="5"/>
  <c r="BC552" i="5"/>
  <c r="BD549" i="5"/>
  <c r="AW771" i="5"/>
  <c r="AW770" i="5"/>
  <c r="BB215" i="5"/>
  <c r="BD215" i="5"/>
  <c r="AS719" i="5"/>
  <c r="AS738" i="5" s="1"/>
  <c r="BD717" i="5"/>
  <c r="BJ717" i="5"/>
  <c r="BB717" i="5"/>
  <c r="BC434" i="5"/>
  <c r="BN294" i="5"/>
  <c r="BD294" i="5"/>
  <c r="BB294" i="5"/>
  <c r="BB731" i="5" s="1"/>
  <c r="BC731" i="5"/>
  <c r="BB222" i="5"/>
  <c r="BD222" i="5"/>
  <c r="AA765" i="5"/>
  <c r="AA441" i="5"/>
  <c r="AA769" i="5" s="1"/>
  <c r="BP97" i="5"/>
  <c r="BA730" i="5"/>
  <c r="BC369" i="5"/>
  <c r="BP45" i="5" s="1"/>
  <c r="BD352" i="5"/>
  <c r="BL352" i="5"/>
  <c r="BL369" i="5" s="1"/>
  <c r="BB352" i="5"/>
  <c r="BF338" i="5"/>
  <c r="BA338" i="5"/>
  <c r="BB330" i="5"/>
  <c r="BD330" i="5"/>
  <c r="BC734" i="5"/>
  <c r="BA737" i="5"/>
  <c r="BP85" i="5"/>
  <c r="U768" i="5"/>
  <c r="BC659" i="5"/>
  <c r="BC654" i="5"/>
  <c r="BB582" i="5"/>
  <c r="BF560" i="5"/>
  <c r="BD686" i="5"/>
  <c r="BL686" i="5"/>
  <c r="BB686" i="5"/>
  <c r="BC302" i="5"/>
  <c r="BD272" i="5"/>
  <c r="BC709" i="5"/>
  <c r="BD756" i="5"/>
  <c r="BB756" i="5"/>
  <c r="AT764" i="5" l="1"/>
  <c r="AT767" i="5" s="1"/>
  <c r="BA738" i="5"/>
  <c r="AQ763" i="5"/>
  <c r="AA771" i="5"/>
  <c r="BA438" i="5"/>
  <c r="BB302" i="5"/>
  <c r="BB739" i="5" s="1"/>
  <c r="AS438" i="5"/>
  <c r="AS765" i="5" s="1"/>
  <c r="BL697" i="5"/>
  <c r="BB117" i="5"/>
  <c r="AQ761" i="5"/>
  <c r="U767" i="5"/>
  <c r="T767" i="5" s="1"/>
  <c r="BC698" i="5"/>
  <c r="AS441" i="5"/>
  <c r="BF552" i="5"/>
  <c r="BA552" i="5"/>
  <c r="BD743" i="5"/>
  <c r="BB743" i="5"/>
  <c r="BL743" i="5"/>
  <c r="BL757" i="5" s="1"/>
  <c r="BC749" i="5"/>
  <c r="X764" i="5"/>
  <c r="X767" i="5" s="1"/>
  <c r="X771" i="5" s="1"/>
  <c r="BB727" i="5"/>
  <c r="BD727" i="5"/>
  <c r="BB225" i="5"/>
  <c r="BA442" i="5"/>
  <c r="AT769" i="5"/>
  <c r="BB654" i="5"/>
  <c r="BK434" i="5"/>
  <c r="BB434" i="5"/>
  <c r="BD434" i="5"/>
  <c r="BC438" i="5"/>
  <c r="BA762" i="5"/>
  <c r="BC762" i="5" s="1"/>
  <c r="BC774" i="5" s="1"/>
  <c r="AS762" i="5"/>
  <c r="BC730" i="5"/>
  <c r="AS739" i="5"/>
  <c r="AS333" i="5"/>
  <c r="U771" i="5"/>
  <c r="BB437" i="5"/>
  <c r="BJ437" i="5"/>
  <c r="BD437" i="5"/>
  <c r="BD283" i="5"/>
  <c r="BF273" i="5"/>
  <c r="BC340" i="5"/>
  <c r="BC720" i="5"/>
  <c r="BP67" i="5"/>
  <c r="BD720" i="5"/>
  <c r="BD117" i="5"/>
  <c r="BC120" i="5"/>
  <c r="BC760" i="5"/>
  <c r="BD225" i="5"/>
  <c r="BC228" i="5"/>
  <c r="BA739" i="5"/>
  <c r="BA333" i="5"/>
  <c r="BH336" i="5" s="1"/>
  <c r="BA765" i="5"/>
  <c r="BA441" i="5"/>
  <c r="AS761" i="5"/>
  <c r="BA761" i="5"/>
  <c r="BC761" i="5" s="1"/>
  <c r="BD436" i="5"/>
  <c r="BL436" i="5"/>
  <c r="BB436" i="5"/>
  <c r="BD697" i="5"/>
  <c r="BB697" i="5"/>
  <c r="BF675" i="5"/>
  <c r="AP764" i="5"/>
  <c r="AP767" i="5" s="1"/>
  <c r="AP771" i="5" s="1"/>
  <c r="BF230" i="5"/>
  <c r="BC233" i="5"/>
  <c r="BC234" i="5" s="1"/>
  <c r="BA230" i="5"/>
  <c r="BD302" i="5"/>
  <c r="BC333" i="5"/>
  <c r="BC739" i="5"/>
  <c r="AS763" i="5"/>
  <c r="BA763" i="5"/>
  <c r="BC763" i="5" s="1"/>
  <c r="BD654" i="5"/>
  <c r="BC657" i="5"/>
  <c r="BB734" i="5"/>
  <c r="BD734" i="5"/>
  <c r="BC737" i="5"/>
  <c r="BC662" i="5"/>
  <c r="BF659" i="5"/>
  <c r="BA659" i="5"/>
  <c r="BC663" i="5"/>
  <c r="BC441" i="5"/>
  <c r="BC769" i="5" s="1"/>
  <c r="BC446" i="5"/>
  <c r="BD369" i="5"/>
  <c r="BB369" i="5"/>
  <c r="BF347" i="5"/>
  <c r="BD435" i="5"/>
  <c r="BB435" i="5"/>
  <c r="BJ435" i="5"/>
  <c r="BC448" i="5"/>
  <c r="BB323" i="5"/>
  <c r="BB758" i="5" s="1"/>
  <c r="BD323" i="5"/>
  <c r="BC758" i="5"/>
  <c r="BO708" i="5"/>
  <c r="BD708" i="5"/>
  <c r="BD700" i="5"/>
  <c r="AQ764" i="5"/>
  <c r="AQ767" i="5" s="1"/>
  <c r="BJ715" i="5"/>
  <c r="BJ719" i="5" s="1"/>
  <c r="BD715" i="5"/>
  <c r="BB715" i="5"/>
  <c r="BB719" i="5" s="1"/>
  <c r="BC719" i="5"/>
  <c r="BC738" i="5" s="1"/>
  <c r="BD738" i="5" s="1"/>
  <c r="AQ765" i="5"/>
  <c r="AQ441" i="5"/>
  <c r="AQ769" i="5" s="1"/>
  <c r="BB333" i="5" l="1"/>
  <c r="AS764" i="5"/>
  <c r="AS767" i="5" s="1"/>
  <c r="AS771" i="5" s="1"/>
  <c r="BD333" i="5"/>
  <c r="BC336" i="5"/>
  <c r="BF228" i="5"/>
  <c r="BA228" i="5"/>
  <c r="BA120" i="5"/>
  <c r="BF120" i="5"/>
  <c r="AT771" i="5"/>
  <c r="AT770" i="5"/>
  <c r="BE720" i="5"/>
  <c r="BO719" i="5"/>
  <c r="BG720" i="5"/>
  <c r="BD719" i="5"/>
  <c r="BF709" i="5"/>
  <c r="BC776" i="5"/>
  <c r="BF448" i="5"/>
  <c r="BA448" i="5"/>
  <c r="BC668" i="5"/>
  <c r="BA668" i="5" s="1"/>
  <c r="BC444" i="5"/>
  <c r="BD441" i="5"/>
  <c r="BD763" i="5"/>
  <c r="BJ763" i="5"/>
  <c r="BB763" i="5"/>
  <c r="BD761" i="5"/>
  <c r="BB761" i="5"/>
  <c r="BJ761" i="5"/>
  <c r="BP117" i="5"/>
  <c r="BD762" i="5"/>
  <c r="BL762" i="5"/>
  <c r="BB762" i="5"/>
  <c r="AQ768" i="5"/>
  <c r="AQ770" i="5" s="1"/>
  <c r="X770" i="5"/>
  <c r="BC450" i="5"/>
  <c r="BF446" i="5"/>
  <c r="BA446" i="5"/>
  <c r="BC449" i="5"/>
  <c r="AQ771" i="5"/>
  <c r="BF657" i="5"/>
  <c r="BC664" i="5"/>
  <c r="BA657" i="5"/>
  <c r="BD760" i="5"/>
  <c r="BB760" i="5"/>
  <c r="BC764" i="5"/>
  <c r="BK760" i="5"/>
  <c r="BF340" i="5"/>
  <c r="BA340" i="5"/>
  <c r="BC341" i="5"/>
  <c r="BC342" i="5" s="1"/>
  <c r="BB438" i="5"/>
  <c r="BB765" i="5" s="1"/>
  <c r="BD438" i="5"/>
  <c r="BC765" i="5"/>
  <c r="BP114" i="5"/>
  <c r="BQ117" i="5" s="1"/>
  <c r="BC757" i="5"/>
  <c r="BB749" i="5"/>
  <c r="BD749" i="5"/>
  <c r="BF774" i="5"/>
  <c r="BA774" i="5"/>
  <c r="BC666" i="5"/>
  <c r="BB737" i="5"/>
  <c r="BD737" i="5"/>
  <c r="BH444" i="5"/>
  <c r="BA769" i="5"/>
  <c r="BA764" i="5"/>
  <c r="BA767" i="5" s="1"/>
  <c r="BH772" i="5" s="1"/>
  <c r="BF720" i="5"/>
  <c r="BB730" i="5"/>
  <c r="BN730" i="5"/>
  <c r="BD721" i="5"/>
  <c r="BD730" i="5"/>
  <c r="BB698" i="5"/>
  <c r="BA771" i="5" l="1"/>
  <c r="BB738" i="5"/>
  <c r="BD764" i="5"/>
  <c r="BB764" i="5"/>
  <c r="BA444" i="5"/>
  <c r="BF444" i="5"/>
  <c r="BC777" i="5"/>
  <c r="BA777" i="5" s="1"/>
  <c r="BF776" i="5"/>
  <c r="BA776" i="5"/>
  <c r="BA336" i="5"/>
  <c r="BF336" i="5"/>
  <c r="BA666" i="5"/>
  <c r="BC669" i="5"/>
  <c r="BC670" i="5"/>
  <c r="BA664" i="5"/>
  <c r="BF664" i="5"/>
  <c r="BF3" i="5"/>
  <c r="BB757" i="5"/>
  <c r="BD757" i="5"/>
  <c r="BB441" i="5"/>
  <c r="BB769" i="5" s="1"/>
  <c r="BC767" i="5"/>
  <c r="BB767" i="5" l="1"/>
  <c r="BC772" i="5"/>
  <c r="BD767" i="5"/>
  <c r="BC768" i="5"/>
  <c r="BC771" i="5"/>
  <c r="BG4" i="5"/>
  <c r="AW3" i="5"/>
  <c r="BB771" i="5"/>
  <c r="BA772" i="5" l="1"/>
  <c r="BF772" i="5"/>
  <c r="V3" i="13" l="1"/>
  <c r="AH6" i="14"/>
  <c r="I24" i="14" l="1"/>
  <c r="Q24" i="14" s="1"/>
  <c r="R24" i="14" s="1"/>
  <c r="I25" i="14" l="1"/>
  <c r="Q25" i="14" s="1"/>
  <c r="R25" i="14" s="1"/>
  <c r="I26" i="14"/>
  <c r="Q26" i="14" s="1"/>
  <c r="R26" i="14" s="1"/>
  <c r="I23" i="14" l="1"/>
  <c r="I104" i="14"/>
  <c r="Q23" i="14" l="1"/>
  <c r="I22" i="14"/>
  <c r="AB13" i="14" l="1"/>
  <c r="R23" i="14"/>
  <c r="Q22" i="14"/>
  <c r="R22" i="14" l="1"/>
  <c r="Q19" i="14"/>
  <c r="Q122" i="14" l="1"/>
  <c r="R122" i="14" s="1"/>
  <c r="R19" i="14"/>
  <c r="K47" i="13" l="1"/>
  <c r="K50" i="13"/>
  <c r="J214" i="13" l="1"/>
  <c r="L50" i="13"/>
  <c r="P50" i="13" s="1"/>
  <c r="K46" i="13"/>
  <c r="L47" i="13"/>
  <c r="P47" i="13" s="1"/>
  <c r="J213" i="13"/>
  <c r="J212" i="13" l="1"/>
  <c r="L46" i="13"/>
  <c r="K48" i="13"/>
  <c r="Q44" i="13"/>
  <c r="I39" i="12" l="1"/>
  <c r="P46" i="13"/>
  <c r="J211" i="13"/>
  <c r="L48" i="13"/>
  <c r="P48" i="13" s="1"/>
  <c r="K44" i="13"/>
  <c r="L44" i="13" l="1"/>
  <c r="P44" i="13" s="1"/>
  <c r="J210" i="13"/>
  <c r="I237" i="12"/>
  <c r="J39" i="12"/>
  <c r="I236" i="12" l="1"/>
  <c r="N39" i="12"/>
  <c r="V4" i="13" l="1"/>
  <c r="I103" i="14" l="1"/>
  <c r="C100" i="14"/>
  <c r="I100" i="14" s="1"/>
  <c r="I99" i="14" s="1"/>
  <c r="I102" i="14" s="1"/>
  <c r="I96" i="14" s="1"/>
  <c r="AH7" i="14"/>
  <c r="I95" i="14" l="1"/>
  <c r="I108" i="14" s="1"/>
  <c r="T96" i="14"/>
  <c r="I93" i="14"/>
  <c r="J5" i="12"/>
  <c r="G4" i="14" l="1"/>
  <c r="G7" i="14" s="1"/>
  <c r="I106" i="14"/>
  <c r="G5" i="14" s="1"/>
  <c r="AB6" i="14"/>
  <c r="J6" i="12"/>
  <c r="L6" i="12" s="1"/>
  <c r="L5" i="12"/>
  <c r="N5" i="12" l="1"/>
  <c r="O5" i="12" s="1"/>
  <c r="L211" i="12"/>
  <c r="N6" i="12"/>
  <c r="L212" i="12"/>
  <c r="AB7" i="14"/>
  <c r="Z40" i="14"/>
  <c r="Z41" i="14" l="1"/>
  <c r="D37" i="7" l="1"/>
  <c r="D35" i="7" l="1"/>
  <c r="T37" i="7"/>
  <c r="T35" i="7" s="1"/>
  <c r="F37" i="7"/>
  <c r="F35" i="7" s="1"/>
  <c r="R37" i="7"/>
  <c r="E37" i="7"/>
  <c r="E35" i="7" s="1"/>
  <c r="R35" i="7" l="1"/>
  <c r="G37" i="7"/>
  <c r="I37" i="7"/>
  <c r="I35" i="7" s="1"/>
  <c r="N37" i="7"/>
  <c r="N35" i="7" s="1"/>
  <c r="O37" i="7"/>
  <c r="O35" i="7" s="1"/>
  <c r="M37" i="7"/>
  <c r="G35" i="7" l="1"/>
  <c r="P37" i="7"/>
  <c r="P35" i="7" s="1"/>
  <c r="M35" i="7"/>
  <c r="S37" i="7"/>
  <c r="J37" i="7"/>
  <c r="J35" i="7" s="1"/>
  <c r="S35" i="7" l="1"/>
  <c r="U37" i="7"/>
  <c r="U35" i="7" s="1"/>
  <c r="H37" i="7" l="1"/>
  <c r="X37" i="7" l="1"/>
  <c r="X36" i="7" s="1"/>
  <c r="H35" i="7"/>
  <c r="K37" i="7"/>
  <c r="K35" i="7" l="1"/>
  <c r="L37" i="7"/>
  <c r="V37" i="7"/>
  <c r="Q37" i="7" l="1"/>
  <c r="Q35" i="7" s="1"/>
  <c r="L35" i="7"/>
  <c r="C37" i="7"/>
  <c r="C35" i="7" s="1"/>
  <c r="V35" i="7"/>
  <c r="I38" i="12" l="1"/>
  <c r="P22" i="12" l="1"/>
  <c r="J38" i="12"/>
  <c r="L38" i="12" s="1"/>
  <c r="I234" i="12"/>
  <c r="K42" i="13"/>
  <c r="J197" i="13" l="1"/>
  <c r="L42" i="13"/>
  <c r="P42" i="13" s="1"/>
  <c r="T18" i="7"/>
  <c r="S18" i="7"/>
  <c r="O18" i="7"/>
  <c r="N18" i="7"/>
  <c r="D18" i="7"/>
  <c r="S19" i="7"/>
  <c r="M19" i="7"/>
  <c r="J19" i="7"/>
  <c r="H19" i="7"/>
  <c r="F19" i="7"/>
  <c r="D19" i="7"/>
  <c r="R19" i="7"/>
  <c r="J18" i="7"/>
  <c r="F18" i="7"/>
  <c r="T17" i="7"/>
  <c r="S17" i="7"/>
  <c r="R17" i="7"/>
  <c r="U17" i="7" s="1"/>
  <c r="O17" i="7"/>
  <c r="N17" i="7"/>
  <c r="M17" i="7"/>
  <c r="J17" i="7"/>
  <c r="I17" i="7"/>
  <c r="H17" i="7"/>
  <c r="F17" i="7"/>
  <c r="E17" i="7"/>
  <c r="D17" i="7"/>
  <c r="T10" i="7"/>
  <c r="S10" i="7"/>
  <c r="R10" i="7"/>
  <c r="O10" i="7"/>
  <c r="N10" i="7"/>
  <c r="M10" i="7"/>
  <c r="J10" i="7"/>
  <c r="I10" i="7"/>
  <c r="K10" i="7" s="1"/>
  <c r="H10" i="7"/>
  <c r="F10" i="7"/>
  <c r="E10" i="7"/>
  <c r="D10" i="7"/>
  <c r="G10" i="7" s="1"/>
  <c r="T9" i="7"/>
  <c r="S9" i="7"/>
  <c r="R9" i="7"/>
  <c r="U9" i="7" s="1"/>
  <c r="O9" i="7"/>
  <c r="N9" i="7"/>
  <c r="M9" i="7"/>
  <c r="J9" i="7"/>
  <c r="I9" i="7"/>
  <c r="H9" i="7"/>
  <c r="F9" i="7"/>
  <c r="E9" i="7"/>
  <c r="D9" i="7"/>
  <c r="G9" i="7" s="1"/>
  <c r="T8" i="7"/>
  <c r="S8" i="7"/>
  <c r="R8" i="7"/>
  <c r="O8" i="7"/>
  <c r="N8" i="7"/>
  <c r="M8" i="7"/>
  <c r="J8" i="7"/>
  <c r="I8" i="7"/>
  <c r="H8" i="7"/>
  <c r="F8" i="7"/>
  <c r="E8" i="7"/>
  <c r="D8" i="7"/>
  <c r="U8" i="7" l="1"/>
  <c r="U10" i="7"/>
  <c r="K17" i="7"/>
  <c r="P8" i="7"/>
  <c r="P17" i="7"/>
  <c r="K8" i="7"/>
  <c r="K9" i="7"/>
  <c r="L9" i="7" s="1"/>
  <c r="Q9" i="7" s="1"/>
  <c r="P9" i="7"/>
  <c r="L10" i="7"/>
  <c r="P10" i="7"/>
  <c r="V10" i="7" s="1"/>
  <c r="C10" i="7" s="1"/>
  <c r="G17" i="7"/>
  <c r="G8" i="7"/>
  <c r="M18" i="7"/>
  <c r="P18" i="7" s="1"/>
  <c r="O19" i="7"/>
  <c r="T19" i="7"/>
  <c r="U19" i="7" s="1"/>
  <c r="H18" i="7"/>
  <c r="S16" i="7"/>
  <c r="S14" i="7" s="1"/>
  <c r="T16" i="7"/>
  <c r="D16" i="7"/>
  <c r="I16" i="7"/>
  <c r="O16" i="7"/>
  <c r="O14" i="7" s="1"/>
  <c r="J16" i="7"/>
  <c r="J14" i="7" s="1"/>
  <c r="F16" i="7"/>
  <c r="F14" i="7" s="1"/>
  <c r="I18" i="7"/>
  <c r="M16" i="7"/>
  <c r="N16" i="7"/>
  <c r="E18" i="7"/>
  <c r="G18" i="7" s="1"/>
  <c r="R18" i="7"/>
  <c r="U18" i="7" s="1"/>
  <c r="E19" i="7"/>
  <c r="G19" i="7" s="1"/>
  <c r="I19" i="7"/>
  <c r="K19" i="7" s="1"/>
  <c r="N19" i="7"/>
  <c r="P19" i="7" s="1"/>
  <c r="T14" i="7" l="1"/>
  <c r="L19" i="7"/>
  <c r="Q19" i="7" s="1"/>
  <c r="V19" i="7"/>
  <c r="C19" i="7" s="1"/>
  <c r="I14" i="7"/>
  <c r="V17" i="7"/>
  <c r="C17" i="7" s="1"/>
  <c r="L17" i="7"/>
  <c r="Q17" i="7" s="1"/>
  <c r="D14" i="7"/>
  <c r="K18" i="7"/>
  <c r="L18" i="7" s="1"/>
  <c r="Q18" i="7" s="1"/>
  <c r="N14" i="7"/>
  <c r="Q10" i="7"/>
  <c r="P16" i="7"/>
  <c r="M14" i="7"/>
  <c r="P14" i="7" s="1"/>
  <c r="L8" i="7"/>
  <c r="V8" i="7"/>
  <c r="C8" i="7" s="1"/>
  <c r="V9" i="7"/>
  <c r="C9" i="7" s="1"/>
  <c r="Q8" i="7"/>
  <c r="R16" i="7"/>
  <c r="H16" i="7"/>
  <c r="U16" i="7" l="1"/>
  <c r="R14" i="7"/>
  <c r="U14" i="7" s="1"/>
  <c r="V18" i="7"/>
  <c r="C18" i="7" s="1"/>
  <c r="C21" i="7" s="1"/>
  <c r="H14" i="7"/>
  <c r="K14" i="7" s="1"/>
  <c r="K16" i="7"/>
  <c r="E16" i="7" l="1"/>
  <c r="D7" i="7"/>
  <c r="D5" i="7" l="1"/>
  <c r="D31" i="7"/>
  <c r="E14" i="7"/>
  <c r="G14" i="7" s="1"/>
  <c r="G16" i="7"/>
  <c r="S51" i="7" l="1"/>
  <c r="V14" i="7"/>
  <c r="L14" i="7"/>
  <c r="Q14" i="7" s="1"/>
  <c r="L16" i="7"/>
  <c r="Q16" i="7" s="1"/>
  <c r="V16" i="7"/>
  <c r="C16" i="7" s="1"/>
  <c r="D23" i="7"/>
  <c r="D3" i="7"/>
  <c r="C14" i="7" l="1"/>
  <c r="A3" i="7" s="1"/>
  <c r="F7" i="7" l="1"/>
  <c r="T7" i="7"/>
  <c r="O7" i="7"/>
  <c r="I7" i="7"/>
  <c r="E7" i="7"/>
  <c r="J7" i="7"/>
  <c r="M7" i="7"/>
  <c r="T31" i="7" l="1"/>
  <c r="T49" i="7" s="1"/>
  <c r="T5" i="7"/>
  <c r="E5" i="7"/>
  <c r="E31" i="7"/>
  <c r="G7" i="7"/>
  <c r="F5" i="7"/>
  <c r="F31" i="7"/>
  <c r="I31" i="7"/>
  <c r="I5" i="7"/>
  <c r="J5" i="7"/>
  <c r="J31" i="7"/>
  <c r="M31" i="7"/>
  <c r="M5" i="7"/>
  <c r="O31" i="7"/>
  <c r="O5" i="7"/>
  <c r="S7" i="7"/>
  <c r="N7" i="7"/>
  <c r="R7" i="7"/>
  <c r="H7" i="7"/>
  <c r="G31" i="7" l="1"/>
  <c r="P7" i="7"/>
  <c r="N31" i="7"/>
  <c r="P31" i="7" s="1"/>
  <c r="N5" i="7"/>
  <c r="O23" i="7"/>
  <c r="O3" i="7"/>
  <c r="E23" i="7"/>
  <c r="E3" i="7"/>
  <c r="G5" i="7"/>
  <c r="R5" i="7"/>
  <c r="U7" i="7"/>
  <c r="R31" i="7"/>
  <c r="H5" i="7"/>
  <c r="K7" i="7"/>
  <c r="L7" i="7" s="1"/>
  <c r="Q7" i="7" s="1"/>
  <c r="H31" i="7"/>
  <c r="K31" i="7" s="1"/>
  <c r="L31" i="7" s="1"/>
  <c r="S31" i="7"/>
  <c r="S49" i="7" s="1"/>
  <c r="S5" i="7"/>
  <c r="J3" i="7"/>
  <c r="J23" i="7"/>
  <c r="F3" i="7"/>
  <c r="F23" i="7"/>
  <c r="T3" i="7"/>
  <c r="T23" i="7"/>
  <c r="M3" i="7"/>
  <c r="M23" i="7"/>
  <c r="P5" i="7"/>
  <c r="I23" i="7"/>
  <c r="I3" i="7"/>
  <c r="V7" i="7" l="1"/>
  <c r="C7" i="7" s="1"/>
  <c r="R23" i="7"/>
  <c r="U5" i="7"/>
  <c r="R3" i="7"/>
  <c r="C3" i="7"/>
  <c r="C2" i="7"/>
  <c r="C51" i="7"/>
  <c r="D51" i="7" s="1"/>
  <c r="S23" i="7"/>
  <c r="S3" i="7"/>
  <c r="K5" i="7"/>
  <c r="H3" i="7"/>
  <c r="H23" i="7"/>
  <c r="K23" i="7" s="1"/>
  <c r="V5" i="7"/>
  <c r="L5" i="7"/>
  <c r="U31" i="7"/>
  <c r="N23" i="7"/>
  <c r="P23" i="7" s="1"/>
  <c r="N3" i="7"/>
  <c r="Q31" i="7"/>
  <c r="G23" i="7"/>
  <c r="L23" i="7" l="1"/>
  <c r="Q23" i="7" s="1"/>
  <c r="C5" i="7"/>
  <c r="V24" i="7"/>
  <c r="U49" i="7"/>
  <c r="V31" i="7"/>
  <c r="Q5" i="7"/>
  <c r="U23" i="7"/>
  <c r="V23" i="7" s="1"/>
  <c r="C23" i="7" s="1"/>
  <c r="C24" i="7" s="1"/>
  <c r="A2" i="7" l="1"/>
  <c r="C31" i="7"/>
  <c r="V49" i="7"/>
  <c r="X5" i="7" l="1"/>
  <c r="X14" i="7" l="1"/>
  <c r="D1" i="7" l="1"/>
  <c r="D2" i="7"/>
  <c r="D8" i="12" l="1"/>
  <c r="M3" i="13" l="1"/>
  <c r="M4" i="13" l="1"/>
  <c r="M52" i="13" s="1"/>
  <c r="T25" i="7" l="1"/>
  <c r="T34" i="7" s="1"/>
  <c r="T38" i="7" s="1"/>
  <c r="I25" i="7"/>
  <c r="I34" i="7" s="1"/>
  <c r="I38" i="7" s="1"/>
  <c r="F25" i="7"/>
  <c r="F34" i="7" s="1"/>
  <c r="F38" i="7" s="1"/>
  <c r="O25" i="7"/>
  <c r="O34" i="7" s="1"/>
  <c r="O38" i="7" s="1"/>
  <c r="S25" i="7"/>
  <c r="S34" i="7" s="1"/>
  <c r="S38" i="7" s="1"/>
  <c r="E25" i="7"/>
  <c r="E34" i="7" s="1"/>
  <c r="E38" i="7" s="1"/>
  <c r="M25" i="7"/>
  <c r="R25" i="7"/>
  <c r="D25" i="7"/>
  <c r="N25" i="7"/>
  <c r="N34" i="7" s="1"/>
  <c r="N38" i="7" s="1"/>
  <c r="H25" i="7"/>
  <c r="J25" i="7"/>
  <c r="J34" i="7" s="1"/>
  <c r="J38" i="7" s="1"/>
  <c r="R34" i="7" l="1"/>
  <c r="R38" i="7" s="1"/>
  <c r="U25" i="7"/>
  <c r="U34" i="7" s="1"/>
  <c r="U38" i="7" s="1"/>
  <c r="K25" i="7"/>
  <c r="K34" i="7" s="1"/>
  <c r="K38" i="7" s="1"/>
  <c r="H34" i="7"/>
  <c r="H38" i="7" s="1"/>
  <c r="M34" i="7"/>
  <c r="M38" i="7" s="1"/>
  <c r="P25" i="7"/>
  <c r="P34" i="7" s="1"/>
  <c r="P38" i="7" s="1"/>
  <c r="D34" i="7"/>
  <c r="D38" i="7" s="1"/>
  <c r="G25" i="7"/>
  <c r="V25" i="7" l="1"/>
  <c r="L25" i="7"/>
  <c r="Q25" i="7" s="1"/>
  <c r="G34" i="7"/>
  <c r="X25" i="7"/>
  <c r="L34" i="7" l="1"/>
  <c r="G38" i="7"/>
  <c r="C25" i="7"/>
  <c r="C34" i="7" s="1"/>
  <c r="V34" i="7"/>
  <c r="V38" i="7" s="1"/>
  <c r="A35" i="7" l="1"/>
  <c r="C38" i="7"/>
  <c r="Q34" i="7"/>
  <c r="Q38" i="7" s="1"/>
  <c r="L38" i="7"/>
  <c r="E8" i="12" l="1"/>
  <c r="G8" i="12" s="1"/>
  <c r="E8" i="13"/>
  <c r="W80" i="14" l="1"/>
  <c r="AC40" i="14"/>
  <c r="I84" i="14" l="1"/>
  <c r="I77" i="14" s="1"/>
  <c r="AB9" i="14" l="1"/>
  <c r="I19" i="14"/>
  <c r="I122" i="14" s="1"/>
  <c r="M126" i="14" l="1"/>
  <c r="T122" i="14"/>
  <c r="R123" i="14"/>
  <c r="AB87" i="14"/>
  <c r="AA29" i="14" s="1"/>
  <c r="Z43" i="14" l="1"/>
  <c r="Z44" i="14" s="1"/>
  <c r="M181" i="13" l="1"/>
  <c r="K208" i="12"/>
  <c r="M186" i="13" l="1"/>
  <c r="V186" i="13" s="1"/>
  <c r="M194" i="13"/>
  <c r="V194" i="13" s="1"/>
  <c r="M204" i="13"/>
  <c r="V204" i="13" s="1"/>
  <c r="M191" i="13"/>
  <c r="V191" i="13" s="1"/>
  <c r="M189" i="13"/>
  <c r="V189" i="13" s="1"/>
  <c r="M213" i="13"/>
  <c r="V213" i="13" s="1"/>
  <c r="M214" i="13"/>
  <c r="V214" i="13" s="1"/>
  <c r="M205" i="13"/>
  <c r="V205" i="13" s="1"/>
  <c r="M207" i="13"/>
  <c r="V207" i="13" s="1"/>
  <c r="M198" i="13"/>
  <c r="V198" i="13" s="1"/>
  <c r="M188" i="13"/>
  <c r="V188" i="13" s="1"/>
  <c r="M203" i="13"/>
  <c r="V203" i="13" s="1"/>
  <c r="M206" i="13"/>
  <c r="V206" i="13" s="1"/>
  <c r="M196" i="13"/>
  <c r="V196" i="13" s="1"/>
  <c r="M212" i="13"/>
  <c r="V212" i="13" s="1"/>
  <c r="M190" i="13"/>
  <c r="V190" i="13" s="1"/>
  <c r="M210" i="13"/>
  <c r="M200" i="13"/>
  <c r="V200" i="13" s="1"/>
  <c r="M187" i="13"/>
  <c r="V187" i="13" s="1"/>
  <c r="M193" i="13"/>
  <c r="V193" i="13" s="1"/>
  <c r="M192" i="13"/>
  <c r="V192" i="13" s="1"/>
  <c r="M195" i="13"/>
  <c r="V195" i="13" s="1"/>
  <c r="M211" i="13"/>
  <c r="V211" i="13" s="1"/>
  <c r="M199" i="13"/>
  <c r="V199" i="13" s="1"/>
  <c r="M197" i="13"/>
  <c r="V197" i="13" s="1"/>
  <c r="L181" i="13"/>
  <c r="J208" i="12"/>
  <c r="K227" i="12"/>
  <c r="Q227" i="12" s="1"/>
  <c r="K232" i="12"/>
  <c r="Q232" i="12" s="1"/>
  <c r="K219" i="12"/>
  <c r="Q219" i="12" s="1"/>
  <c r="K224" i="12"/>
  <c r="Q224" i="12" s="1"/>
  <c r="K235" i="12"/>
  <c r="Q235" i="12" s="1"/>
  <c r="K236" i="12"/>
  <c r="Q236" i="12" s="1"/>
  <c r="K221" i="12"/>
  <c r="Q221" i="12" s="1"/>
  <c r="K230" i="12"/>
  <c r="Q230" i="12" s="1"/>
  <c r="K217" i="12"/>
  <c r="K223" i="12"/>
  <c r="Q223" i="12" s="1"/>
  <c r="K226" i="12"/>
  <c r="Q226" i="12" s="1"/>
  <c r="K222" i="12"/>
  <c r="Q222" i="12" s="1"/>
  <c r="K225" i="12"/>
  <c r="Q225" i="12" s="1"/>
  <c r="K211" i="12"/>
  <c r="K229" i="12"/>
  <c r="Q229" i="12" s="1"/>
  <c r="K231" i="12"/>
  <c r="Q231" i="12" s="1"/>
  <c r="K237" i="12"/>
  <c r="Q237" i="12" s="1"/>
  <c r="K214" i="12"/>
  <c r="Q214" i="12" s="1"/>
  <c r="K228" i="12"/>
  <c r="Q228" i="12" s="1"/>
  <c r="K233" i="12"/>
  <c r="Q233" i="12" s="1"/>
  <c r="K220" i="12"/>
  <c r="Q220" i="12" s="1"/>
  <c r="K213" i="12"/>
  <c r="Q213" i="12" s="1"/>
  <c r="K212" i="12"/>
  <c r="Q212" i="12" s="1"/>
  <c r="K218" i="12"/>
  <c r="K234" i="12"/>
  <c r="Q234" i="12" s="1"/>
  <c r="J229" i="12" l="1"/>
  <c r="J218" i="12"/>
  <c r="M218" i="12" s="1"/>
  <c r="J217" i="12"/>
  <c r="M217" i="12" s="1"/>
  <c r="J230" i="12"/>
  <c r="J219" i="12"/>
  <c r="J237" i="12"/>
  <c r="J223" i="12"/>
  <c r="J232" i="12"/>
  <c r="J227" i="12"/>
  <c r="J224" i="12"/>
  <c r="J220" i="12"/>
  <c r="J231" i="12"/>
  <c r="J236" i="12"/>
  <c r="J214" i="12"/>
  <c r="J228" i="12"/>
  <c r="J235" i="12"/>
  <c r="J212" i="12"/>
  <c r="J226" i="12"/>
  <c r="J221" i="12"/>
  <c r="J222" i="12"/>
  <c r="J213" i="12"/>
  <c r="J225" i="12"/>
  <c r="J211" i="12"/>
  <c r="J233" i="12"/>
  <c r="J234" i="12"/>
  <c r="L186" i="13"/>
  <c r="L194" i="13"/>
  <c r="L189" i="13"/>
  <c r="L191" i="13"/>
  <c r="L196" i="13"/>
  <c r="L212" i="13"/>
  <c r="L207" i="13"/>
  <c r="L199" i="13"/>
  <c r="L190" i="13"/>
  <c r="L205" i="13"/>
  <c r="L204" i="13"/>
  <c r="L211" i="13"/>
  <c r="L187" i="13"/>
  <c r="L195" i="13"/>
  <c r="L213" i="13"/>
  <c r="L198" i="13"/>
  <c r="L200" i="13"/>
  <c r="L206" i="13"/>
  <c r="L192" i="13"/>
  <c r="L203" i="13"/>
  <c r="L214" i="13"/>
  <c r="L210" i="13"/>
  <c r="L188" i="13"/>
  <c r="L193" i="13"/>
  <c r="L197" i="13"/>
  <c r="Q211" i="12"/>
  <c r="V210" i="13"/>
  <c r="U193" i="13" l="1"/>
  <c r="S193" i="13"/>
  <c r="K193" i="13"/>
  <c r="T193" i="13" s="1"/>
  <c r="S198" i="13"/>
  <c r="U198" i="13"/>
  <c r="K198" i="13"/>
  <c r="T198" i="13" s="1"/>
  <c r="U199" i="13"/>
  <c r="S199" i="13"/>
  <c r="K199" i="13"/>
  <c r="T199" i="13" s="1"/>
  <c r="M221" i="12"/>
  <c r="N221" i="12"/>
  <c r="N220" i="12"/>
  <c r="M220" i="12"/>
  <c r="M223" i="12"/>
  <c r="P223" i="12"/>
  <c r="N223" i="12"/>
  <c r="U188" i="13"/>
  <c r="S188" i="13"/>
  <c r="K188" i="13"/>
  <c r="T188" i="13" s="1"/>
  <c r="U192" i="13"/>
  <c r="K192" i="13"/>
  <c r="T192" i="13" s="1"/>
  <c r="S192" i="13"/>
  <c r="S213" i="13"/>
  <c r="U213" i="13"/>
  <c r="K213" i="13"/>
  <c r="T213" i="13" s="1"/>
  <c r="U204" i="13"/>
  <c r="K204" i="13"/>
  <c r="T204" i="13" s="1"/>
  <c r="S204" i="13"/>
  <c r="U207" i="13"/>
  <c r="S207" i="13"/>
  <c r="K207" i="13"/>
  <c r="T207" i="13" s="1"/>
  <c r="S189" i="13"/>
  <c r="U189" i="13"/>
  <c r="K189" i="13"/>
  <c r="T189" i="13" s="1"/>
  <c r="N225" i="12"/>
  <c r="P225" i="12"/>
  <c r="M225" i="12"/>
  <c r="P226" i="12"/>
  <c r="M226" i="12"/>
  <c r="N226" i="12"/>
  <c r="N214" i="12"/>
  <c r="M214" i="12"/>
  <c r="M224" i="12"/>
  <c r="N224" i="12"/>
  <c r="P224" i="12"/>
  <c r="P237" i="12"/>
  <c r="N237" i="12"/>
  <c r="M237" i="12"/>
  <c r="U203" i="13"/>
  <c r="K203" i="13"/>
  <c r="T203" i="13" s="1"/>
  <c r="S203" i="13"/>
  <c r="K211" i="13"/>
  <c r="T211" i="13" s="1"/>
  <c r="U211" i="13"/>
  <c r="S211" i="13"/>
  <c r="S191" i="13"/>
  <c r="U191" i="13"/>
  <c r="K191" i="13"/>
  <c r="T191" i="13" s="1"/>
  <c r="P209" i="12"/>
  <c r="N211" i="12"/>
  <c r="M211" i="12"/>
  <c r="P228" i="12"/>
  <c r="N228" i="12"/>
  <c r="M228" i="12"/>
  <c r="U210" i="13"/>
  <c r="S210" i="13"/>
  <c r="K210" i="13"/>
  <c r="T210" i="13" s="1"/>
  <c r="U206" i="13"/>
  <c r="K206" i="13"/>
  <c r="T206" i="13" s="1"/>
  <c r="S206" i="13"/>
  <c r="K195" i="13"/>
  <c r="T195" i="13" s="1"/>
  <c r="U195" i="13"/>
  <c r="S195" i="13"/>
  <c r="S205" i="13"/>
  <c r="U205" i="13"/>
  <c r="K205" i="13"/>
  <c r="T205" i="13" s="1"/>
  <c r="S212" i="13"/>
  <c r="K212" i="13"/>
  <c r="T212" i="13" s="1"/>
  <c r="U212" i="13"/>
  <c r="U194" i="13"/>
  <c r="K194" i="13"/>
  <c r="T194" i="13" s="1"/>
  <c r="S194" i="13"/>
  <c r="P234" i="12"/>
  <c r="N234" i="12"/>
  <c r="M234" i="12"/>
  <c r="M213" i="12"/>
  <c r="N213" i="12"/>
  <c r="N212" i="12"/>
  <c r="M212" i="12"/>
  <c r="M236" i="12"/>
  <c r="P236" i="12"/>
  <c r="N236" i="12"/>
  <c r="M227" i="12"/>
  <c r="P227" i="12"/>
  <c r="N227" i="12"/>
  <c r="N219" i="12"/>
  <c r="M219" i="12"/>
  <c r="N229" i="12"/>
  <c r="M229" i="12"/>
  <c r="P229" i="12"/>
  <c r="K197" i="13"/>
  <c r="T197" i="13" s="1"/>
  <c r="S197" i="13"/>
  <c r="U197" i="13"/>
  <c r="U214" i="13"/>
  <c r="K214" i="13"/>
  <c r="T214" i="13" s="1"/>
  <c r="S214" i="13"/>
  <c r="K200" i="13"/>
  <c r="T200" i="13" s="1"/>
  <c r="S200" i="13"/>
  <c r="U200" i="13"/>
  <c r="K187" i="13"/>
  <c r="T187" i="13" s="1"/>
  <c r="S187" i="13"/>
  <c r="U187" i="13"/>
  <c r="S190" i="13"/>
  <c r="K190" i="13"/>
  <c r="T190" i="13" s="1"/>
  <c r="U190" i="13"/>
  <c r="S196" i="13"/>
  <c r="K196" i="13"/>
  <c r="T196" i="13" s="1"/>
  <c r="U196" i="13"/>
  <c r="K186" i="13"/>
  <c r="T186" i="13" s="1"/>
  <c r="U186" i="13"/>
  <c r="S186" i="13"/>
  <c r="M233" i="12"/>
  <c r="P233" i="12"/>
  <c r="N233" i="12"/>
  <c r="N222" i="12"/>
  <c r="M222" i="12"/>
  <c r="N235" i="12"/>
  <c r="M235" i="12"/>
  <c r="P235" i="12"/>
  <c r="N231" i="12"/>
  <c r="M231" i="12"/>
  <c r="P231" i="12"/>
  <c r="P232" i="12"/>
  <c r="N232" i="12"/>
  <c r="M232" i="12"/>
  <c r="P230" i="12"/>
  <c r="M230" i="12"/>
  <c r="N230" i="12"/>
  <c r="O200" i="13" l="1"/>
  <c r="N200" i="13"/>
  <c r="R200" i="13" s="1"/>
  <c r="N210" i="13"/>
  <c r="O210" i="13"/>
  <c r="O195" i="13"/>
  <c r="N195" i="13"/>
  <c r="N211" i="13"/>
  <c r="O211" i="13"/>
  <c r="O207" i="13"/>
  <c r="N207" i="13"/>
  <c r="R207" i="13" s="1"/>
  <c r="O213" i="13"/>
  <c r="N213" i="13"/>
  <c r="O192" i="13"/>
  <c r="N192" i="13"/>
  <c r="R192" i="13" s="1"/>
  <c r="O198" i="13"/>
  <c r="N198" i="13"/>
  <c r="N193" i="13"/>
  <c r="O193" i="13"/>
  <c r="O196" i="13"/>
  <c r="N196" i="13"/>
  <c r="R196" i="13" s="1"/>
  <c r="O197" i="13"/>
  <c r="N197" i="13"/>
  <c r="N212" i="13"/>
  <c r="O212" i="13"/>
  <c r="O206" i="13"/>
  <c r="N206" i="13"/>
  <c r="N203" i="13"/>
  <c r="O203" i="13"/>
  <c r="O186" i="13"/>
  <c r="N186" i="13"/>
  <c r="R186" i="13" s="1"/>
  <c r="O189" i="13"/>
  <c r="N189" i="13"/>
  <c r="R189" i="13" s="1"/>
  <c r="N204" i="13"/>
  <c r="O204" i="13"/>
  <c r="O199" i="13"/>
  <c r="N199" i="13"/>
  <c r="R199" i="13" s="1"/>
  <c r="N187" i="13"/>
  <c r="O187" i="13"/>
  <c r="N194" i="13"/>
  <c r="O194" i="13"/>
  <c r="O190" i="13"/>
  <c r="N190" i="13"/>
  <c r="R190" i="13" s="1"/>
  <c r="O214" i="13"/>
  <c r="N214" i="13"/>
  <c r="N205" i="13"/>
  <c r="O205" i="13"/>
  <c r="O191" i="13"/>
  <c r="N191" i="13"/>
  <c r="R191" i="13" s="1"/>
  <c r="N188" i="13"/>
  <c r="O188" i="13"/>
  <c r="R195" i="13" l="1"/>
  <c r="R194" i="13"/>
  <c r="R187" i="13"/>
  <c r="R204" i="13"/>
  <c r="R210" i="13"/>
  <c r="R188" i="13"/>
  <c r="R205" i="13"/>
  <c r="R203" i="13"/>
  <c r="R212" i="13"/>
  <c r="R193" i="13"/>
  <c r="R211" i="13"/>
  <c r="R214" i="13"/>
  <c r="R206" i="13"/>
  <c r="R197" i="13"/>
  <c r="R198" i="13"/>
  <c r="R213" i="13"/>
  <c r="L5" i="13" l="1"/>
  <c r="P5" i="13" s="1"/>
  <c r="L3" i="13" l="1"/>
  <c r="L4" i="13" l="1"/>
  <c r="N3" i="13"/>
  <c r="AC11" i="13"/>
  <c r="P184" i="13" l="1"/>
  <c r="N4" i="13"/>
  <c r="P185" i="13" s="1"/>
  <c r="P4" i="13"/>
  <c r="P3" i="13"/>
  <c r="AD3" i="14"/>
  <c r="N52" i="13" l="1"/>
  <c r="AD24" i="14"/>
  <c r="AD9" i="14"/>
  <c r="AD10" i="14"/>
  <c r="AD13" i="14"/>
  <c r="AD12" i="14"/>
  <c r="AD25" i="14"/>
  <c r="AD8" i="14"/>
  <c r="AD23" i="14"/>
  <c r="AD21" i="14"/>
  <c r="AD19" i="14"/>
  <c r="AD6" i="14"/>
  <c r="AD7" i="14" s="1"/>
  <c r="AD22" i="14"/>
  <c r="AD11" i="14"/>
  <c r="AD28" i="14"/>
  <c r="AD17" i="14"/>
  <c r="AD16" i="14"/>
  <c r="AD18" i="14"/>
  <c r="AD20" i="14"/>
  <c r="AD27" i="14"/>
  <c r="L185" i="13"/>
  <c r="M185" i="13"/>
  <c r="V185" i="13" s="1"/>
  <c r="P216" i="13"/>
  <c r="M184" i="13"/>
  <c r="L184" i="13"/>
  <c r="AC3" i="14"/>
  <c r="AC17" i="14" l="1"/>
  <c r="AC16" i="14"/>
  <c r="AC18" i="14"/>
  <c r="AE18" i="14" s="1"/>
  <c r="AC6" i="14"/>
  <c r="AC9" i="14"/>
  <c r="AC25" i="14"/>
  <c r="AE25" i="14" s="1"/>
  <c r="AC21" i="14"/>
  <c r="AC20" i="14"/>
  <c r="AE20" i="14" s="1"/>
  <c r="AC28" i="14"/>
  <c r="AC13" i="14"/>
  <c r="AC27" i="14"/>
  <c r="AC8" i="14"/>
  <c r="AC24" i="14"/>
  <c r="AC23" i="14"/>
  <c r="AC10" i="14"/>
  <c r="AE10" i="14" s="1"/>
  <c r="AC19" i="14"/>
  <c r="AC22" i="14"/>
  <c r="AC12" i="14"/>
  <c r="AE12" i="14" s="1"/>
  <c r="AC11" i="14"/>
  <c r="U184" i="13"/>
  <c r="S184" i="13"/>
  <c r="K184" i="13"/>
  <c r="T184" i="13" s="1"/>
  <c r="U185" i="13"/>
  <c r="S185" i="13"/>
  <c r="K185" i="13"/>
  <c r="T185" i="13" s="1"/>
  <c r="V184" i="13"/>
  <c r="AD26" i="14"/>
  <c r="AD87" i="14" s="1"/>
  <c r="AG13" i="14" l="1"/>
  <c r="AE19" i="14"/>
  <c r="AE8" i="14"/>
  <c r="AG8" i="14"/>
  <c r="O185" i="13"/>
  <c r="N185" i="13"/>
  <c r="R185" i="13" s="1"/>
  <c r="AG11" i="14"/>
  <c r="AE11" i="14"/>
  <c r="AG26" i="14"/>
  <c r="AC26" i="14"/>
  <c r="AG24" i="14" s="1"/>
  <c r="AE27" i="14"/>
  <c r="AG25" i="14"/>
  <c r="AG16" i="14"/>
  <c r="AE21" i="14"/>
  <c r="N184" i="13"/>
  <c r="O184" i="13"/>
  <c r="AE23" i="14"/>
  <c r="AG18" i="14"/>
  <c r="AE13" i="14"/>
  <c r="AG12" i="14"/>
  <c r="AG19" i="14"/>
  <c r="AE16" i="14"/>
  <c r="AD29" i="14"/>
  <c r="AE6" i="14"/>
  <c r="AC7" i="14"/>
  <c r="AG6" i="14"/>
  <c r="AC87" i="14"/>
  <c r="AG21" i="14"/>
  <c r="AG17" i="14"/>
  <c r="AE22" i="14"/>
  <c r="AG23" i="14"/>
  <c r="AE24" i="14"/>
  <c r="AE28" i="14"/>
  <c r="AG27" i="14"/>
  <c r="AG9" i="14"/>
  <c r="AE9" i="14"/>
  <c r="AG20" i="14"/>
  <c r="AE17" i="14"/>
  <c r="U3" i="13"/>
  <c r="R184" i="13" l="1"/>
  <c r="R183" i="13" s="1"/>
  <c r="AE26" i="14"/>
  <c r="AC29" i="14"/>
  <c r="AC31" i="14" s="1"/>
  <c r="AG86" i="14"/>
  <c r="AC32" i="14"/>
  <c r="AG7" i="14"/>
  <c r="AE7" i="14"/>
  <c r="U4" i="13"/>
  <c r="AE87" i="14" l="1"/>
  <c r="AC34" i="14" l="1"/>
  <c r="AF34" i="14" s="1"/>
  <c r="AG33" i="14" s="1"/>
  <c r="AE43" i="14"/>
  <c r="W33" i="14"/>
  <c r="AD32" i="14"/>
  <c r="AB29" i="14"/>
  <c r="AB80" i="14" l="1"/>
  <c r="AB30" i="14"/>
  <c r="E35" i="13" l="1"/>
  <c r="K35" i="13" s="1"/>
  <c r="C31" i="12"/>
  <c r="I31" i="12" s="1"/>
  <c r="I216" i="12" l="1"/>
  <c r="J31" i="12"/>
  <c r="L31" i="12" s="1"/>
  <c r="I30" i="12"/>
  <c r="J202" i="13"/>
  <c r="K34" i="13"/>
  <c r="L35" i="13"/>
  <c r="P35" i="13" s="1"/>
  <c r="J201" i="13" l="1"/>
  <c r="L202" i="13"/>
  <c r="M202" i="13"/>
  <c r="V202" i="13" s="1"/>
  <c r="I40" i="12"/>
  <c r="J30" i="12"/>
  <c r="L216" i="12"/>
  <c r="L215" i="12" s="1"/>
  <c r="L239" i="12" s="1"/>
  <c r="N31" i="12"/>
  <c r="L34" i="13"/>
  <c r="K52" i="13"/>
  <c r="I215" i="12"/>
  <c r="I239" i="12" s="1"/>
  <c r="J216" i="12" l="1"/>
  <c r="I240" i="12"/>
  <c r="K216" i="12"/>
  <c r="N216" i="12" s="1"/>
  <c r="K215" i="12"/>
  <c r="Q216" i="12"/>
  <c r="I60" i="12"/>
  <c r="I41" i="12"/>
  <c r="J215" i="12"/>
  <c r="J218" i="13"/>
  <c r="K66" i="13"/>
  <c r="J41" i="12"/>
  <c r="J40" i="12"/>
  <c r="S202" i="13"/>
  <c r="U202" i="13"/>
  <c r="K202" i="13"/>
  <c r="T202" i="13" s="1"/>
  <c r="L52" i="13"/>
  <c r="P34" i="13"/>
  <c r="L30" i="12"/>
  <c r="M201" i="13"/>
  <c r="L201" i="13"/>
  <c r="J216" i="13"/>
  <c r="M216" i="12" l="1"/>
  <c r="W34" i="14"/>
  <c r="N30" i="12"/>
  <c r="L40" i="12"/>
  <c r="N40" i="12" s="1"/>
  <c r="N202" i="13"/>
  <c r="O202" i="13"/>
  <c r="M215" i="12"/>
  <c r="N215" i="12"/>
  <c r="J239" i="12"/>
  <c r="Q215" i="12"/>
  <c r="K239" i="12"/>
  <c r="L219" i="13"/>
  <c r="P181" i="13"/>
  <c r="K63" i="13"/>
  <c r="K201" i="13"/>
  <c r="T201" i="13" s="1"/>
  <c r="S201" i="13"/>
  <c r="U201" i="13"/>
  <c r="L216" i="13"/>
  <c r="M56" i="13"/>
  <c r="K59" i="13" s="1"/>
  <c r="L56" i="13"/>
  <c r="U9" i="13"/>
  <c r="V201" i="13"/>
  <c r="M216" i="13"/>
  <c r="J58" i="12"/>
  <c r="D41" i="12"/>
  <c r="K51" i="12"/>
  <c r="R202" i="13" l="1"/>
  <c r="J45" i="12"/>
  <c r="J46" i="12" s="1"/>
  <c r="U216" i="13"/>
  <c r="S216" i="13"/>
  <c r="K216" i="13"/>
  <c r="T216" i="13" s="1"/>
  <c r="N201" i="13"/>
  <c r="O201" i="13"/>
  <c r="O216" i="13" s="1"/>
  <c r="K242" i="12"/>
  <c r="Q239" i="12"/>
  <c r="K65" i="13"/>
  <c r="K69" i="13" s="1"/>
  <c r="M61" i="13"/>
  <c r="J240" i="12"/>
  <c r="J247" i="12" s="1"/>
  <c r="I247" i="12" s="1"/>
  <c r="P239" i="12"/>
  <c r="N239" i="12"/>
  <c r="M239" i="12"/>
  <c r="J242" i="12"/>
  <c r="L217" i="13"/>
  <c r="L218" i="13" s="1"/>
  <c r="V216" i="13"/>
  <c r="P240" i="12" l="1"/>
  <c r="N216" i="13"/>
  <c r="R201" i="13"/>
  <c r="U217" i="13"/>
  <c r="R182" i="13" l="1"/>
  <c r="R216" i="13"/>
  <c r="J217" i="13"/>
  <c r="J50" i="12"/>
  <c r="J51" i="12" s="1"/>
  <c r="K67" i="13" l="1"/>
  <c r="K68" i="13" s="1"/>
  <c r="L59" i="13" l="1"/>
  <c r="K56" i="13"/>
  <c r="U8" i="13"/>
  <c r="K60" i="13"/>
  <c r="K61" i="13" s="1"/>
  <c r="I58" i="12"/>
  <c r="J59" i="12" s="1"/>
  <c r="I51" i="12"/>
  <c r="S21" i="13"/>
  <c r="X33" i="7" l="1"/>
  <c r="Y33" i="7" s="1"/>
</calcChain>
</file>

<file path=xl/sharedStrings.xml><?xml version="1.0" encoding="utf-8"?>
<sst xmlns="http://schemas.openxmlformats.org/spreadsheetml/2006/main" count="4429" uniqueCount="1540">
  <si>
    <t>коди</t>
  </si>
  <si>
    <r>
      <t xml:space="preserve">Підприємство   </t>
    </r>
    <r>
      <rPr>
        <sz val="11"/>
        <color theme="1"/>
        <rFont val="Times New Roman"/>
        <family val="1"/>
        <charset val="204"/>
      </rPr>
      <t>за ЄДРПОУ</t>
    </r>
  </si>
  <si>
    <t>Комунальне підприємство "Водопостачання та каналізація</t>
  </si>
  <si>
    <t>Організаційно-правова форма</t>
  </si>
  <si>
    <t xml:space="preserve">Комунальне підприємство </t>
  </si>
  <si>
    <t>Територія</t>
  </si>
  <si>
    <t>м. Южне, Одеська область</t>
  </si>
  <si>
    <r>
      <t xml:space="preserve">Орган управління  </t>
    </r>
    <r>
      <rPr>
        <b/>
        <i/>
        <sz val="12"/>
        <color theme="1"/>
        <rFont val="Times New Roman"/>
        <family val="1"/>
        <charset val="204"/>
      </rPr>
      <t xml:space="preserve"> </t>
    </r>
  </si>
  <si>
    <t>Фонд комунального майна ЮМР</t>
  </si>
  <si>
    <t xml:space="preserve">Галузь    </t>
  </si>
  <si>
    <t>Житлово-комунальне господарство</t>
  </si>
  <si>
    <t>Вид економічної діяльності   за  КВЕД</t>
  </si>
  <si>
    <t>Забір, очищення та постачання води (основний)</t>
  </si>
  <si>
    <t>36.00</t>
  </si>
  <si>
    <t xml:space="preserve">Одиниця виміру: </t>
  </si>
  <si>
    <t>тис. грн.</t>
  </si>
  <si>
    <t>Форма власності</t>
  </si>
  <si>
    <t>Комунальна</t>
  </si>
  <si>
    <t>Чисельність працівників</t>
  </si>
  <si>
    <t xml:space="preserve">Місцезнаходження </t>
  </si>
  <si>
    <t>м. Южне, просп. Миру, 25 (ПРУ)</t>
  </si>
  <si>
    <t>Телефон</t>
  </si>
  <si>
    <t>04842-2-17-22</t>
  </si>
  <si>
    <t xml:space="preserve">Прізвище та ініціали керівника </t>
  </si>
  <si>
    <t>Віталій Анатолійович РОЗМЕРІЦА</t>
  </si>
  <si>
    <t>ФІНАНСОВИЙ ПЛАН на 2025 рік</t>
  </si>
  <si>
    <t>КП  ”Южводоканал”</t>
  </si>
  <si>
    <t>Основні фінансові показники підприємства</t>
  </si>
  <si>
    <t>І. Формування прибутку підприємства</t>
  </si>
  <si>
    <t>Найменування показника</t>
  </si>
  <si>
    <t>Код 
рядка</t>
  </si>
  <si>
    <r>
      <t xml:space="preserve">Довідка: </t>
    </r>
    <r>
      <rPr>
        <sz val="10"/>
        <color indexed="8"/>
        <rFont val="Times New Roman"/>
        <family val="1"/>
        <charset val="204"/>
      </rPr>
      <t>факт минулого року</t>
    </r>
  </si>
  <si>
    <r>
      <t>Довідка:</t>
    </r>
    <r>
      <rPr>
        <sz val="10"/>
        <color indexed="8"/>
        <rFont val="Times New Roman"/>
        <family val="1"/>
        <charset val="204"/>
      </rPr>
      <t xml:space="preserve"> фінансовий план поточного року</t>
    </r>
  </si>
  <si>
    <t>Плановий рік,
усього</t>
  </si>
  <si>
    <t>У тому числі за кварталами</t>
  </si>
  <si>
    <t>різниця 
(+/-)</t>
  </si>
  <si>
    <t>I кв.</t>
  </si>
  <si>
    <t>II кв.</t>
  </si>
  <si>
    <t>1 півріччя</t>
  </si>
  <si>
    <t>III кв.</t>
  </si>
  <si>
    <t xml:space="preserve">9 міс </t>
  </si>
  <si>
    <t>IV кв.</t>
  </si>
  <si>
    <t>Доходи</t>
  </si>
  <si>
    <t>Кількісний показник наданих послуг</t>
  </si>
  <si>
    <t>001</t>
  </si>
  <si>
    <r>
      <t xml:space="preserve">Дохід (виручка) від реалізації продукції (товарів, робіт, послуг) 
</t>
    </r>
    <r>
      <rPr>
        <i/>
        <sz val="10"/>
        <color indexed="8"/>
        <rFont val="Times New Roman"/>
        <family val="1"/>
        <charset val="204"/>
      </rPr>
      <t>За видами послуг</t>
    </r>
  </si>
  <si>
    <t xml:space="preserve">     зокрема за основними видами діяльності:</t>
  </si>
  <si>
    <t>001/1</t>
  </si>
  <si>
    <t xml:space="preserve">     водопостачання</t>
  </si>
  <si>
    <t>001/1.1</t>
  </si>
  <si>
    <t xml:space="preserve">     водовідведення</t>
  </si>
  <si>
    <t>001/1.2</t>
  </si>
  <si>
    <t xml:space="preserve">      зокрема за іншими видами діяльності:</t>
  </si>
  <si>
    <t>001/2</t>
  </si>
  <si>
    <t xml:space="preserve">              у тому числі інші:</t>
  </si>
  <si>
    <t>ПДВ</t>
  </si>
  <si>
    <t>002</t>
  </si>
  <si>
    <t>інші непрямі податки</t>
  </si>
  <si>
    <t>003</t>
  </si>
  <si>
    <t>Інші вирахування з доходу</t>
  </si>
  <si>
    <t>004</t>
  </si>
  <si>
    <t>Чистий дохід від реалізації продукції (товарів, робіт, послуг)</t>
  </si>
  <si>
    <t>005</t>
  </si>
  <si>
    <t>Інші операційні доходи</t>
  </si>
  <si>
    <t>006</t>
  </si>
  <si>
    <t xml:space="preserve">Інші доходи та інші фінансові доходи </t>
  </si>
  <si>
    <t>007</t>
  </si>
  <si>
    <t>007/1</t>
  </si>
  <si>
    <t>Довідково: Фінансування по КПКВК  1216071  "Відшкодування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 зокрема:</t>
  </si>
  <si>
    <t>- Відшкодування різниці між затвердженим та економічно обґрунтованим тарифом на послуги з централізованого водопостачання населенню смт. Нові Білярі та с. Булдинка</t>
  </si>
  <si>
    <t xml:space="preserve">- Відшкодування різниці між затвердженим та економічно обґрунтованим тарифом на послуги з централізованого водовідведення населенню міста Южного
</t>
  </si>
  <si>
    <t xml:space="preserve">Інші доходи </t>
  </si>
  <si>
    <t>008</t>
  </si>
  <si>
    <r>
      <t xml:space="preserve">Усього доходів </t>
    </r>
    <r>
      <rPr>
        <b/>
        <sz val="12"/>
        <color theme="0"/>
        <rFont val="Times New Roman"/>
        <family val="1"/>
        <charset val="204"/>
      </rPr>
      <t>(005+006+007+008)</t>
    </r>
  </si>
  <si>
    <t>009</t>
  </si>
  <si>
    <t>Витрати</t>
  </si>
  <si>
    <t xml:space="preserve">Собівартість реалізованої продукції 
(товарів, робіт, послуг) </t>
  </si>
  <si>
    <t>010</t>
  </si>
  <si>
    <t>витрати на оплату праці всього по підприємству, у т.ч.:</t>
  </si>
  <si>
    <t>витрати на оплату праці адміністрації та ІТР</t>
  </si>
  <si>
    <t>витрати на оплату праці робочих</t>
  </si>
  <si>
    <t xml:space="preserve">      у тому числі витрати операційної діяльності:</t>
  </si>
  <si>
    <t>011</t>
  </si>
  <si>
    <t>Прямі витрати</t>
  </si>
  <si>
    <t>018</t>
  </si>
  <si>
    <t>матеріальні витрати</t>
  </si>
  <si>
    <t>012</t>
  </si>
  <si>
    <t>витрати на оплату праці</t>
  </si>
  <si>
    <t>013</t>
  </si>
  <si>
    <t>відрахувння на соціальні заходи</t>
  </si>
  <si>
    <t>014</t>
  </si>
  <si>
    <t>амортизація</t>
  </si>
  <si>
    <t>015</t>
  </si>
  <si>
    <t>очистка стоків</t>
  </si>
  <si>
    <t>підкачка води</t>
  </si>
  <si>
    <t>загальновиробничі витрати</t>
  </si>
  <si>
    <t>витрати від інших видів діяльності</t>
  </si>
  <si>
    <t>Адміністративні витрати</t>
  </si>
  <si>
    <t>016</t>
  </si>
  <si>
    <t>Витрати на збут</t>
  </si>
  <si>
    <t>Інші операційні витрати</t>
  </si>
  <si>
    <t>017</t>
  </si>
  <si>
    <t xml:space="preserve">Інші витрати та інші фінансові витрати </t>
  </si>
  <si>
    <t>018/1</t>
  </si>
  <si>
    <t xml:space="preserve"> - загальний фонд (розрахунок додається)</t>
  </si>
  <si>
    <t>-  спеціальний фонд</t>
  </si>
  <si>
    <t>Довідково: касові витрати по КПКВК  1216071  "Відшкодування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 зокрема:</t>
  </si>
  <si>
    <t>- Відшкодування різниці між затвердженим та економічно обґрунтованим тарифом на послуги з централізованого водовідведення населенню міста Южного</t>
  </si>
  <si>
    <t xml:space="preserve">Інші витрати </t>
  </si>
  <si>
    <t>019</t>
  </si>
  <si>
    <t>Усього витрати</t>
  </si>
  <si>
    <t>020</t>
  </si>
  <si>
    <t>Фінансові результати діяльності</t>
  </si>
  <si>
    <t>Валовий прибуток (збиток)</t>
  </si>
  <si>
    <t>022</t>
  </si>
  <si>
    <t xml:space="preserve">      у тому числі за основними видами діяльності:      </t>
  </si>
  <si>
    <t>031</t>
  </si>
  <si>
    <t>Фінансові результати від операційної діяльності</t>
  </si>
  <si>
    <t>023</t>
  </si>
  <si>
    <t>Фінансовий результат від звичайної діяльності  
до оподаткування</t>
  </si>
  <si>
    <t>024</t>
  </si>
  <si>
    <t xml:space="preserve">Податок на прибуток від звичайної діяльності </t>
  </si>
  <si>
    <t>025</t>
  </si>
  <si>
    <t>Фін. результат від звичайної діяльності</t>
  </si>
  <si>
    <t xml:space="preserve">Чистий прибуток (збиток), усього: </t>
  </si>
  <si>
    <t>026</t>
  </si>
  <si>
    <t>ІІ. Розподіл чистого прибутку</t>
  </si>
  <si>
    <t xml:space="preserve">    Фонд розвитку виробництва (40%)</t>
  </si>
  <si>
    <t>027</t>
  </si>
  <si>
    <t xml:space="preserve">    Фонд мат. заохочення (30%)</t>
  </si>
  <si>
    <t>028</t>
  </si>
  <si>
    <t xml:space="preserve">    Фонд соц. развитку (30%)</t>
  </si>
  <si>
    <t>029</t>
  </si>
  <si>
    <t>Залишок нерезподіленого прибутку (непокритого збитку) на початок звітного періоду.</t>
  </si>
  <si>
    <t>030</t>
  </si>
  <si>
    <r>
      <t>ІІІ. Обов</t>
    </r>
    <r>
      <rPr>
        <b/>
        <sz val="12"/>
        <rFont val="Calibri"/>
        <family val="2"/>
        <charset val="204"/>
      </rPr>
      <t>'</t>
    </r>
    <r>
      <rPr>
        <b/>
        <sz val="12"/>
        <rFont val="Times New Roman"/>
        <family val="1"/>
        <charset val="204"/>
      </rPr>
      <t>язкові платежі підприємства</t>
    </r>
  </si>
  <si>
    <t>Резервний фонд</t>
  </si>
  <si>
    <r>
      <t>Інші фонди</t>
    </r>
    <r>
      <rPr>
        <b/>
        <i/>
        <sz val="10"/>
        <color indexed="8"/>
        <rFont val="Times New Roman"/>
        <family val="1"/>
        <charset val="204"/>
      </rPr>
      <t xml:space="preserve"> (розшифрувати)</t>
    </r>
  </si>
  <si>
    <t>032</t>
  </si>
  <si>
    <t>Обовязкові платежі, у тому числі:</t>
  </si>
  <si>
    <t>033</t>
  </si>
  <si>
    <t>місцеві податки та збори (частина чистого прибутку, податок на землю,  рентна плата за надра 5%, екоподаток 25%)</t>
  </si>
  <si>
    <t>034</t>
  </si>
  <si>
    <r>
      <t xml:space="preserve">інші платежі </t>
    </r>
    <r>
      <rPr>
        <i/>
        <sz val="10"/>
        <color indexed="8"/>
        <rFont val="Times New Roman"/>
        <family val="1"/>
        <charset val="204"/>
      </rPr>
      <t>(розшифрувати) (податок на прибуток)</t>
    </r>
  </si>
  <si>
    <t>035</t>
  </si>
  <si>
    <t>(рентна плата за надра 95%, екоподаток 75%)</t>
  </si>
  <si>
    <t>Директор</t>
  </si>
  <si>
    <t xml:space="preserve">Головний економіст </t>
  </si>
  <si>
    <t>Оксана АРНАУТ</t>
  </si>
  <si>
    <t>ПОГОДЖЕНО</t>
  </si>
  <si>
    <t xml:space="preserve">
</t>
  </si>
  <si>
    <t>ЗАТВЕРДЖЕНО</t>
  </si>
  <si>
    <t xml:space="preserve">у сумі </t>
  </si>
  <si>
    <t xml:space="preserve">грн. </t>
  </si>
  <si>
    <t>Заступник міського голови з питань діяльності виконавчих органів ради - начальник  управління житлово-комунального господарства Южненської міської ради</t>
  </si>
  <si>
    <r>
      <t>(двадцять сім</t>
    </r>
    <r>
      <rPr>
        <sz val="12"/>
        <color indexed="10"/>
        <rFont val="Times New Roman"/>
        <family val="1"/>
        <charset val="204"/>
      </rPr>
      <t xml:space="preserve"> </t>
    </r>
    <r>
      <rPr>
        <sz val="12"/>
        <color indexed="10"/>
        <rFont val="Times New Roman"/>
        <family val="1"/>
        <charset val="204"/>
      </rPr>
      <t>мільйонів вісімсот п</t>
    </r>
    <r>
      <rPr>
        <sz val="12"/>
        <color indexed="10"/>
        <rFont val="Calibri"/>
        <family val="2"/>
        <charset val="204"/>
      </rPr>
      <t>'</t>
    </r>
    <r>
      <rPr>
        <sz val="12"/>
        <color indexed="10"/>
        <rFont val="Times New Roman"/>
        <family val="1"/>
        <charset val="204"/>
      </rPr>
      <t>ятьдесят три тисячі</t>
    </r>
  </si>
  <si>
    <t xml:space="preserve"> ________________________        </t>
  </si>
  <si>
    <t>Андрій ШЕСТОВ</t>
  </si>
  <si>
    <r>
      <t>сімсот дев'яносто шість</t>
    </r>
    <r>
      <rPr>
        <sz val="12"/>
        <color indexed="10"/>
        <rFont val="Times New Roman"/>
        <family val="1"/>
        <charset val="204"/>
      </rPr>
      <t xml:space="preserve"> грн )</t>
    </r>
  </si>
  <si>
    <t xml:space="preserve">„____”____________ 20___р. </t>
  </si>
  <si>
    <t xml:space="preserve">Директор КП  ”Южводоканал” </t>
  </si>
  <si>
    <t>_________________ Віталій РОЗМЕРІЦА</t>
  </si>
  <si>
    <t>Заступник міського голови з питань діяльності виконавчих органів ради - начальник фінансового управління Южненської міської ради</t>
  </si>
  <si>
    <t xml:space="preserve">„______”_______________ 20___р. </t>
  </si>
  <si>
    <t>Альона ПРОХОРОВА</t>
  </si>
  <si>
    <t>„____”____________ 20___р.</t>
  </si>
  <si>
    <t>Начальник управління економіки Южненської міської ради</t>
  </si>
  <si>
    <t xml:space="preserve"> Наталя ГНЕУШЕВА</t>
  </si>
  <si>
    <t xml:space="preserve">„____”___________ 20___р. </t>
  </si>
  <si>
    <t>Голова фонду комунального майна Южненської міської ради</t>
  </si>
  <si>
    <t>Наталя ПІТУСЬ</t>
  </si>
  <si>
    <t>Розрахунок фонду оплати праці по КП  ”Южводоканал” на 2025 рік</t>
  </si>
  <si>
    <t xml:space="preserve">січень-березень (прожитковий мінімум </t>
  </si>
  <si>
    <t>грн.)</t>
  </si>
  <si>
    <t>№п/п</t>
  </si>
  <si>
    <t>Найменування професій</t>
  </si>
  <si>
    <t>Чисельність одиниць</t>
  </si>
  <si>
    <t>Ознака присутності видів діяльності в трудових обов язках працівника (1-так, 0-ні)</t>
  </si>
  <si>
    <t>Розряд</t>
  </si>
  <si>
    <t>Мінімальна з/п, грн.</t>
  </si>
  <si>
    <t>Галузевий коефіцієнт</t>
  </si>
  <si>
    <t>Міжрозрядний коефіцієнт</t>
  </si>
  <si>
    <t>Коефіцієнт співвідношення</t>
  </si>
  <si>
    <t>Регіональний коефіцієнт</t>
  </si>
  <si>
    <t>Норма часу, год.</t>
  </si>
  <si>
    <t>Посадовий оклад/Тарифна ставка</t>
  </si>
  <si>
    <t>Річний фонд основної з/п, грн.</t>
  </si>
  <si>
    <t>Майстерність, 
високі досягнення</t>
  </si>
  <si>
    <t>Шкідли-вість</t>
  </si>
  <si>
    <t>Вечірні</t>
  </si>
  <si>
    <t>Нічні</t>
  </si>
  <si>
    <t>Святкові і вихідні</t>
  </si>
  <si>
    <t xml:space="preserve"> Надбавка за стаж</t>
  </si>
  <si>
    <t xml:space="preserve"> Класність, інтенсивність</t>
  </si>
  <si>
    <t>Річний фонд додаткової з/п, тис.грн.</t>
  </si>
  <si>
    <t>Премія</t>
  </si>
  <si>
    <t>Інші заохочувальні та компенсаційні виплати (МД на оздоровлення, доплата до МЗ)</t>
  </si>
  <si>
    <t>Річний фонд інших заохочувальних виплат, 
грн.</t>
  </si>
  <si>
    <t>Всього річний фонд оплати праці, грн.</t>
  </si>
  <si>
    <t>види діяльності*</t>
  </si>
  <si>
    <t>%</t>
  </si>
  <si>
    <t>сума</t>
  </si>
  <si>
    <t>кільк</t>
  </si>
  <si>
    <t>цвп</t>
  </si>
  <si>
    <t>цвв</t>
  </si>
  <si>
    <t>цпхв</t>
  </si>
  <si>
    <t>в</t>
  </si>
  <si>
    <t>цвп+цвв</t>
  </si>
  <si>
    <t>цпхв+в</t>
  </si>
  <si>
    <t>(цвп+цвв)+
(цпхв+в)</t>
  </si>
  <si>
    <t>(цвп+цвв)+
(цпхв+в)+
вся інша діял.</t>
  </si>
  <si>
    <t>годинна</t>
  </si>
  <si>
    <t>місячна</t>
  </si>
  <si>
    <t>1</t>
  </si>
  <si>
    <t>Головний інженер</t>
  </si>
  <si>
    <t>Заступник директора</t>
  </si>
  <si>
    <t>Головний бухгалтер</t>
  </si>
  <si>
    <t xml:space="preserve">Бухгалтер </t>
  </si>
  <si>
    <t>Головний економіст</t>
  </si>
  <si>
    <t>Економіст з договірних та пр. робіт</t>
  </si>
  <si>
    <t>Завідувач господарства</t>
  </si>
  <si>
    <t>Юрисконсульт</t>
  </si>
  <si>
    <t>Фахівець з публічних закупівель</t>
  </si>
  <si>
    <t>Інженер з охорони праці</t>
  </si>
  <si>
    <t>Інспектор з кадрів</t>
  </si>
  <si>
    <t>Агент з постачання</t>
  </si>
  <si>
    <t>Касир</t>
  </si>
  <si>
    <t>Секретар</t>
  </si>
  <si>
    <t>Прибиральник службових приміщень</t>
  </si>
  <si>
    <t>Всього</t>
  </si>
  <si>
    <t>2</t>
  </si>
  <si>
    <t>Дільниця водопостачання та водовідведення</t>
  </si>
  <si>
    <t>Загальновиробничі витрати</t>
  </si>
  <si>
    <t>Адміністративний персонал</t>
  </si>
  <si>
    <t xml:space="preserve">Начальник дільниці </t>
  </si>
  <si>
    <t>Енергетик</t>
  </si>
  <si>
    <t>Майстер з експлуатації та ремонту машин і механізмів</t>
  </si>
  <si>
    <t xml:space="preserve">Майстер з ремонту </t>
  </si>
  <si>
    <t xml:space="preserve">Інженер </t>
  </si>
  <si>
    <t>Робітники з поточного обслуговування та аварійного ремонту магістральних мереж</t>
  </si>
  <si>
    <t xml:space="preserve">Слюсар аварійно-відновлюваних робіт </t>
  </si>
  <si>
    <t xml:space="preserve">Електрогазозварник </t>
  </si>
  <si>
    <t xml:space="preserve">Службовець на складі (комірник) </t>
  </si>
  <si>
    <t>Водій автотранспортних засобів</t>
  </si>
  <si>
    <t>Машиніст екскаватора</t>
  </si>
  <si>
    <t>…</t>
  </si>
  <si>
    <r>
      <rPr>
        <b/>
        <sz val="11"/>
        <rFont val="Times New Roman"/>
        <family val="1"/>
        <charset val="204"/>
      </rPr>
      <t xml:space="preserve">Прямі витрати </t>
    </r>
    <r>
      <rPr>
        <b/>
        <i/>
        <sz val="11"/>
        <rFont val="Times New Roman"/>
        <family val="1"/>
        <charset val="204"/>
      </rPr>
      <t xml:space="preserve">
Робітники з обслуговування насосних станцій</t>
    </r>
  </si>
  <si>
    <t>ВНС</t>
  </si>
  <si>
    <t>Машиніст насосних установок ВНС</t>
  </si>
  <si>
    <t>Слюсар -ремонтник</t>
  </si>
  <si>
    <t>Електромонтер з ремонту та обслуговування електро-устаткування (5роз)</t>
  </si>
  <si>
    <t>Слюсар з контрольно-вимірювальних приладів та автоматики  5роз</t>
  </si>
  <si>
    <t>Оператор хлораторної установки</t>
  </si>
  <si>
    <t>Прибиральник територій</t>
  </si>
  <si>
    <t>КНС</t>
  </si>
  <si>
    <t>Машиніст насосних установок КНС</t>
  </si>
  <si>
    <t xml:space="preserve">Електромонтер з ремонту та обслуго-вування електро-устаткування </t>
  </si>
  <si>
    <t>Всього 
Дільниця водопостачання та водовідведення</t>
  </si>
  <si>
    <t>3</t>
  </si>
  <si>
    <t>Відділ збуту</t>
  </si>
  <si>
    <t>Начальник відділу збуту (маркетингу)</t>
  </si>
  <si>
    <t xml:space="preserve">Старший контролер водопровідного господарства </t>
  </si>
  <si>
    <t>Контролер водопровідного господарства</t>
  </si>
  <si>
    <t>4</t>
  </si>
  <si>
    <t>Дільниця з обслуговування, заміни, ремонту вузлів обліку та платних послуг</t>
  </si>
  <si>
    <t xml:space="preserve">Майстер дільниці </t>
  </si>
  <si>
    <t>Слюсар з контрольно-вимірювальних приладів та автоматики (електромеханіка)</t>
  </si>
  <si>
    <t xml:space="preserve">Водій автотранспортних засобів </t>
  </si>
  <si>
    <t>Всього по підприємству</t>
  </si>
  <si>
    <t>ВСЬОГО фонд оплати праці за період січень-березень</t>
  </si>
  <si>
    <t>в т.ч.</t>
  </si>
  <si>
    <t xml:space="preserve"> фонд оплати праці  адміністрації та ІТР</t>
  </si>
  <si>
    <t xml:space="preserve"> фонд оплати праці робітників</t>
  </si>
  <si>
    <t xml:space="preserve">квітень (прожитковий мінімум </t>
  </si>
  <si>
    <t>Тарифна ставка</t>
  </si>
  <si>
    <t>Майстерність, високі досягнення</t>
  </si>
  <si>
    <t>Річний фонд інших заохочувальних виплат
грн.</t>
  </si>
  <si>
    <t>ос</t>
  </si>
  <si>
    <t>Економіст з дог. та пр. робіт</t>
  </si>
  <si>
    <t xml:space="preserve">Електромонтер з ремонту та обслуговування електро-устаткування </t>
  </si>
  <si>
    <t>5</t>
  </si>
  <si>
    <t>Дільниця з поточного утримання мереж зливової каналізації</t>
  </si>
  <si>
    <t>ВСЬОГО фонд оплати праці за період квітень</t>
  </si>
  <si>
    <t xml:space="preserve">травень-червень (прожитковий мінімум </t>
  </si>
  <si>
    <t>Електромонтер з ремонту та обслуговування електро-устаткування</t>
  </si>
  <si>
    <t>Всього Дільниця водопостачання та водовідведення</t>
  </si>
  <si>
    <t>ВСЬОГО фонд оплати праці за період травень-червень</t>
  </si>
  <si>
    <t xml:space="preserve">липень-жовтень (прожитковий мінімум </t>
  </si>
  <si>
    <t>Слюсар з контрольно-вимірювальних приладів та автоматики</t>
  </si>
  <si>
    <t>ВСЬОГО фонд оплати праці за період липень-жовтень</t>
  </si>
  <si>
    <t xml:space="preserve">листопад  (прожитковий мінімум </t>
  </si>
  <si>
    <t>№з/п</t>
  </si>
  <si>
    <t xml:space="preserve">Слюсар з контрольно-вимірювальних приладів та автоматики </t>
  </si>
  <si>
    <t xml:space="preserve">Контролер водопровідного господарства </t>
  </si>
  <si>
    <t>ВСЬОГО фонд оплати праці за період листопад</t>
  </si>
  <si>
    <t xml:space="preserve">грудень (прожитковий мінімум </t>
  </si>
  <si>
    <t>ВСЬОГО фонд оплати праці за період грудень</t>
  </si>
  <si>
    <t>ВСЬОГО фонд оплати праці на рік</t>
  </si>
  <si>
    <t>січень-грудень (прожитковий мінімум грн.)</t>
  </si>
  <si>
    <t>Комірник</t>
  </si>
  <si>
    <t>Контролер водопровідного господарства 3роз.</t>
  </si>
  <si>
    <t>6</t>
  </si>
  <si>
    <t>ВСЬОГО фонд оплати праці за 2020 рік</t>
  </si>
  <si>
    <t>О.А.Арнаут</t>
  </si>
  <si>
    <r>
      <t xml:space="preserve">   </t>
    </r>
    <r>
      <rPr>
        <sz val="13"/>
        <rFont val="Times New Roman"/>
        <family val="1"/>
        <charset val="204"/>
      </rPr>
      <t xml:space="preserve">         </t>
    </r>
    <r>
      <rPr>
        <sz val="10.5"/>
        <rFont val="Times New Roman"/>
        <family val="1"/>
        <charset val="204"/>
      </rPr>
      <t xml:space="preserve">                                                                                                                                                                            </t>
    </r>
    <r>
      <rPr>
        <sz val="13"/>
        <rFont val="Times New Roman"/>
        <family val="1"/>
        <charset val="204"/>
      </rPr>
      <t xml:space="preserve">         </t>
    </r>
    <r>
      <rPr>
        <sz val="12"/>
        <rFont val="Times New Roman"/>
        <family val="1"/>
        <charset val="204"/>
      </rPr>
      <t xml:space="preserve">                                                                                                                                                   </t>
    </r>
  </si>
  <si>
    <t>Погоджено</t>
  </si>
  <si>
    <t xml:space="preserve"> Затверджую     </t>
  </si>
  <si>
    <t xml:space="preserve"> штат у кількості  </t>
  </si>
  <si>
    <t xml:space="preserve">штатних одиниць </t>
  </si>
  <si>
    <t xml:space="preserve">Заступник міського голови з питань діяльності виконавчих органів ради - </t>
  </si>
  <si>
    <t xml:space="preserve">з місячним фондом заробітної плати </t>
  </si>
  <si>
    <t xml:space="preserve">гривень     </t>
  </si>
  <si>
    <t>начальник  управління житлово-комунального господарства Южненської міської ради</t>
  </si>
  <si>
    <t xml:space="preserve">Директор КП "ЮЖВОДОКАНАЛ"  </t>
  </si>
  <si>
    <t xml:space="preserve">  </t>
  </si>
  <si>
    <t xml:space="preserve">( посада )         </t>
  </si>
  <si>
    <t xml:space="preserve"> ___________ Андрій ШЕСТОВ</t>
  </si>
  <si>
    <r>
      <t xml:space="preserve">________________       </t>
    </r>
    <r>
      <rPr>
        <u/>
        <sz val="12"/>
        <rFont val="Times New Roman"/>
        <family val="1"/>
        <charset val="204"/>
      </rPr>
      <t xml:space="preserve"> Віталій РОЗМЕРІЦА</t>
    </r>
  </si>
  <si>
    <t xml:space="preserve"> ( підпис керівника )      ( прізвище, ініціали)</t>
  </si>
  <si>
    <t>_________________________________________</t>
  </si>
  <si>
    <t>Заступник міського голови з питань діяльності виконавчих органів ради-</t>
  </si>
  <si>
    <t xml:space="preserve"> (число, місяць, рік)          </t>
  </si>
  <si>
    <t>начальник фінансового управління Южненської міської ради</t>
  </si>
  <si>
    <t xml:space="preserve">   </t>
  </si>
  <si>
    <t xml:space="preserve">___________ Альона ПРОХОРОВА </t>
  </si>
  <si>
    <t>Начальник  управління праці та соціального захисту населення Южненської міської ради</t>
  </si>
  <si>
    <t xml:space="preserve">__________ Н.В.Монастирська </t>
  </si>
  <si>
    <t xml:space="preserve"> __________ Наталя ГНЕУШЕВА</t>
  </si>
  <si>
    <t>__________  Наталя ПІТУСЬ</t>
  </si>
  <si>
    <t>ШТАТНИЙ РОЗПИС  на 2025 рік</t>
  </si>
  <si>
    <t>з 01.01.2025 року</t>
  </si>
  <si>
    <r>
      <t xml:space="preserve">Назва підприємства </t>
    </r>
    <r>
      <rPr>
        <u/>
        <sz val="14"/>
        <rFont val="Times New Roman"/>
        <family val="1"/>
        <charset val="204"/>
      </rPr>
      <t>Комунальне підприємство "Водопостачання та каналізація</t>
    </r>
    <r>
      <rPr>
        <b/>
        <u/>
        <sz val="14"/>
        <rFont val="Times New Roman"/>
        <family val="1"/>
        <charset val="204"/>
      </rPr>
      <t>"</t>
    </r>
  </si>
  <si>
    <t xml:space="preserve">Прожитковий мінімум     </t>
  </si>
  <si>
    <t xml:space="preserve">грн.   </t>
  </si>
  <si>
    <t>№ 
з/п</t>
  </si>
  <si>
    <t xml:space="preserve">Назва структурного  
підрозділу 
та посад
</t>
  </si>
  <si>
    <t xml:space="preserve">Код 
за класифікатором 
професій </t>
  </si>
  <si>
    <t xml:space="preserve"> Коефіцієнт  співвідношення до мінімальної тарифної ставки робітника  
1 розряду                          </t>
  </si>
  <si>
    <t xml:space="preserve">Посадовий оклад 
(тарифна ставка)
</t>
  </si>
  <si>
    <t xml:space="preserve">Кількість штатних одиниць </t>
  </si>
  <si>
    <t>Фонд заробітної плати на місяць
(грн.)</t>
  </si>
  <si>
    <t>Коефіцієнт робітника 1 розряду</t>
  </si>
  <si>
    <t>Коефіцієнт за видами робіт</t>
  </si>
  <si>
    <t>Коефіцієнт за професією/ розрядом</t>
  </si>
  <si>
    <t>Адміністрація</t>
  </si>
  <si>
    <t>1.1</t>
  </si>
  <si>
    <t>згідно з контрактом (К 4,5)</t>
  </si>
  <si>
    <t>1.2</t>
  </si>
  <si>
    <t xml:space="preserve">Головний інженер </t>
  </si>
  <si>
    <t>1.3</t>
  </si>
  <si>
    <t>Заступник директора із загальних питань</t>
  </si>
  <si>
    <t>1.4</t>
  </si>
  <si>
    <t xml:space="preserve">Головний бухгалтер </t>
  </si>
  <si>
    <t>1.5</t>
  </si>
  <si>
    <t>1.6</t>
  </si>
  <si>
    <t>1.7</t>
  </si>
  <si>
    <t>Економіст з договірних та претензійних робіт</t>
  </si>
  <si>
    <t>1.8</t>
  </si>
  <si>
    <t>1.9</t>
  </si>
  <si>
    <t>1.10</t>
  </si>
  <si>
    <t>1.11</t>
  </si>
  <si>
    <t>1.12</t>
  </si>
  <si>
    <t xml:space="preserve">Інспектор з кадрів </t>
  </si>
  <si>
    <t>1.13</t>
  </si>
  <si>
    <t xml:space="preserve">Агент з постачання </t>
  </si>
  <si>
    <t>1.14</t>
  </si>
  <si>
    <t xml:space="preserve">Касир </t>
  </si>
  <si>
    <t>1.15</t>
  </si>
  <si>
    <t xml:space="preserve">Секретар </t>
  </si>
  <si>
    <t>1.16</t>
  </si>
  <si>
    <t>Усього:</t>
  </si>
  <si>
    <t>2.</t>
  </si>
  <si>
    <t xml:space="preserve">Дільниця водопостачання та водовідведення </t>
  </si>
  <si>
    <t>2.1</t>
  </si>
  <si>
    <t>2.2</t>
  </si>
  <si>
    <t>2.3</t>
  </si>
  <si>
    <t xml:space="preserve">Майстер з експлуатації та ремонту машин і механізмів </t>
  </si>
  <si>
    <t>2.4</t>
  </si>
  <si>
    <t>2.5</t>
  </si>
  <si>
    <t>Інженер</t>
  </si>
  <si>
    <t xml:space="preserve">Разом: </t>
  </si>
  <si>
    <t>2.6</t>
  </si>
  <si>
    <t>Слюсар аварійно-відновлювальних робіт</t>
  </si>
  <si>
    <t>2.7</t>
  </si>
  <si>
    <t>2.8</t>
  </si>
  <si>
    <t>2.9</t>
  </si>
  <si>
    <t>2.10</t>
  </si>
  <si>
    <t>Електрогазозварник</t>
  </si>
  <si>
    <t>2.11</t>
  </si>
  <si>
    <t>2.12</t>
  </si>
  <si>
    <t>2.13</t>
  </si>
  <si>
    <t>2.14</t>
  </si>
  <si>
    <t>Машиніст екскаватора одноковшового</t>
  </si>
  <si>
    <t>Водопровідна насосна станція (ВНС)</t>
  </si>
  <si>
    <t>2.15</t>
  </si>
  <si>
    <t>Машиніст насосних установок</t>
  </si>
  <si>
    <t>2.16</t>
  </si>
  <si>
    <t>Слюсар-ремонтник</t>
  </si>
  <si>
    <t>2.17</t>
  </si>
  <si>
    <t>Електромонтер з ремонту та обслуговування електроустаткування</t>
  </si>
  <si>
    <t>2.18</t>
  </si>
  <si>
    <t>2.19</t>
  </si>
  <si>
    <t>2.20</t>
  </si>
  <si>
    <t>Каналізаційні насосні станції (КНС)</t>
  </si>
  <si>
    <t>2.21</t>
  </si>
  <si>
    <t>2.22</t>
  </si>
  <si>
    <t>2.23</t>
  </si>
  <si>
    <t>2.24</t>
  </si>
  <si>
    <t>3.</t>
  </si>
  <si>
    <t>Відділ збуту (маркетингу)</t>
  </si>
  <si>
    <t>3.1</t>
  </si>
  <si>
    <t>3.2</t>
  </si>
  <si>
    <t>3.3</t>
  </si>
  <si>
    <t>Старший контролер водопровідного господарства</t>
  </si>
  <si>
    <t>3.4</t>
  </si>
  <si>
    <t>4.1</t>
  </si>
  <si>
    <t>Майстер дільниці</t>
  </si>
  <si>
    <t>4.2</t>
  </si>
  <si>
    <t>4.3</t>
  </si>
  <si>
    <t>4.4</t>
  </si>
  <si>
    <t xml:space="preserve">Усього: </t>
  </si>
  <si>
    <t>5.</t>
  </si>
  <si>
    <t xml:space="preserve">5.1 </t>
  </si>
  <si>
    <t>5.2</t>
  </si>
  <si>
    <t>7233</t>
  </si>
  <si>
    <t>5.3</t>
  </si>
  <si>
    <t>5.4</t>
  </si>
  <si>
    <t>8322</t>
  </si>
  <si>
    <t>в т.ч. АУП</t>
  </si>
  <si>
    <t>в т.ч. робочі</t>
  </si>
  <si>
    <t xml:space="preserve">Усього по підприємству: </t>
  </si>
  <si>
    <t xml:space="preserve"> Затверджено</t>
  </si>
  <si>
    <r>
      <t xml:space="preserve">___________ </t>
    </r>
    <r>
      <rPr>
        <sz val="12"/>
        <rFont val="Times New Roman"/>
        <family val="1"/>
        <charset val="204"/>
      </rPr>
      <t xml:space="preserve">Альона ПРОХОРОВА </t>
    </r>
  </si>
  <si>
    <t>з 01.04.2025 року</t>
  </si>
  <si>
    <t>з 01.11.2025 року</t>
  </si>
  <si>
    <t>Додаток 1</t>
  </si>
  <si>
    <t>Річний план діяльності КП "Южводоканал"</t>
  </si>
  <si>
    <t>на 2025 р.</t>
  </si>
  <si>
    <t>Факт
2023р., тис. куб.м</t>
  </si>
  <si>
    <t>План
2025р., тис. куб.м</t>
  </si>
  <si>
    <t>січень</t>
  </si>
  <si>
    <t>лютий</t>
  </si>
  <si>
    <t>березень</t>
  </si>
  <si>
    <t>1 кв., 
куб.м</t>
  </si>
  <si>
    <t>квітень</t>
  </si>
  <si>
    <t>травень</t>
  </si>
  <si>
    <t>червень</t>
  </si>
  <si>
    <t>2 кв., 
куб.м</t>
  </si>
  <si>
    <t>липень</t>
  </si>
  <si>
    <t>серпень</t>
  </si>
  <si>
    <t>вересень</t>
  </si>
  <si>
    <t>3 кв., 
куб.м</t>
  </si>
  <si>
    <t>9 міс</t>
  </si>
  <si>
    <t>жовтень</t>
  </si>
  <si>
    <t>листопад</t>
  </si>
  <si>
    <t>грудень</t>
  </si>
  <si>
    <t>4 кв., 
куб.м</t>
  </si>
  <si>
    <t>2 півр</t>
  </si>
  <si>
    <t>12 мес., 
куб.м</t>
  </si>
  <si>
    <t xml:space="preserve"> Поставлено води сторонніми підприємствами (питна вода)</t>
  </si>
  <si>
    <t>Подано води в мережу (II підйом)</t>
  </si>
  <si>
    <t>Витрати на технологічні потреби води та її втрат у процесі виробництва та реалізації</t>
  </si>
  <si>
    <t>Втрати в мережі , куб.м.</t>
  </si>
  <si>
    <t>Обсяг реалізації води , куб. м.</t>
  </si>
  <si>
    <t>в т. ч.</t>
  </si>
  <si>
    <t>населення</t>
  </si>
  <si>
    <t>населення прив</t>
  </si>
  <si>
    <t>населення БКБ</t>
  </si>
  <si>
    <t xml:space="preserve"> ОСББ</t>
  </si>
  <si>
    <t>бюджетні орг-ції</t>
  </si>
  <si>
    <t xml:space="preserve">комунальні підприємства </t>
  </si>
  <si>
    <t>інші споживачі</t>
  </si>
  <si>
    <t>Обсяг виробництва послуг
(збір та відвід стоків), куб. м.</t>
  </si>
  <si>
    <t>* населення стоки, усього, в т.ч.</t>
  </si>
  <si>
    <t>стоки від ОСББ</t>
  </si>
  <si>
    <t>* бюджетні орг-ції</t>
  </si>
  <si>
    <t xml:space="preserve">* комунальні підприємства </t>
  </si>
  <si>
    <t>* інші споживачі</t>
  </si>
  <si>
    <t>інші</t>
  </si>
  <si>
    <t>ТІС</t>
  </si>
  <si>
    <t>комун</t>
  </si>
  <si>
    <t>власн</t>
  </si>
  <si>
    <t>Плата за абонентське обслуговування, аб.</t>
  </si>
  <si>
    <t>АП, аб. БКБ</t>
  </si>
  <si>
    <t>АП, аб. ОКР вода</t>
  </si>
  <si>
    <t>АП, аб. ОКР стоки</t>
  </si>
  <si>
    <t>Внески на заміну, шт.</t>
  </si>
  <si>
    <t>Внески на обслуговування, шт.</t>
  </si>
  <si>
    <t>Повірка лічильників, шт.</t>
  </si>
  <si>
    <t>Реєстрація лічильників, шт.</t>
  </si>
  <si>
    <t>Опломб. лічильників, шт.</t>
  </si>
  <si>
    <t>Демонтаж монтаж ліч</t>
  </si>
  <si>
    <t>Послуги екскаватора, маш/год.</t>
  </si>
  <si>
    <t>Гол. економіст КП "ВтаК"</t>
  </si>
  <si>
    <t>Директор КП "Южводоканал"</t>
  </si>
  <si>
    <t>М.Є.Петриков</t>
  </si>
  <si>
    <t>Н.Б</t>
  </si>
  <si>
    <t>Кошари</t>
  </si>
  <si>
    <t xml:space="preserve">                </t>
  </si>
  <si>
    <t xml:space="preserve">Розрахунок витрат  на 2025 р. </t>
  </si>
  <si>
    <t>АВР</t>
  </si>
  <si>
    <t>Всього загально виробничі</t>
  </si>
  <si>
    <t>Обслуговування</t>
  </si>
  <si>
    <t>Витрати від інших видів діяльності</t>
  </si>
  <si>
    <t>АХО</t>
  </si>
  <si>
    <t>ВЗ</t>
  </si>
  <si>
    <t>Бюджет</t>
  </si>
  <si>
    <t>Матеріальні витрати</t>
  </si>
  <si>
    <t>Покупна вода</t>
  </si>
  <si>
    <t>Електроенергія</t>
  </si>
  <si>
    <t>Реагенти</t>
  </si>
  <si>
    <t>Зарплата обсл. персоналу</t>
  </si>
  <si>
    <t>Нарахування на з/пл</t>
  </si>
  <si>
    <t>Амортизація</t>
  </si>
  <si>
    <t>Очистка стоків</t>
  </si>
  <si>
    <t xml:space="preserve"> </t>
  </si>
  <si>
    <t>Підкачка води сторонніми організаціями</t>
  </si>
  <si>
    <t>АВР без інших</t>
  </si>
  <si>
    <t>ЗВ без інших</t>
  </si>
  <si>
    <t xml:space="preserve">* з/плата </t>
  </si>
  <si>
    <t>* нарахування (22%)</t>
  </si>
  <si>
    <t>* автотранспорт</t>
  </si>
  <si>
    <t>в т.ч. ПММ</t>
  </si>
  <si>
    <t>* амортизація</t>
  </si>
  <si>
    <t>*  матеріали на ремонт та обслуговування обл.</t>
  </si>
  <si>
    <t>*утримання приміщень, території</t>
  </si>
  <si>
    <t xml:space="preserve">Электроэнергия </t>
  </si>
  <si>
    <t xml:space="preserve">Теплова енергія </t>
  </si>
  <si>
    <t>Теплова енергія ПТН</t>
  </si>
  <si>
    <t>ВЭР</t>
  </si>
  <si>
    <t>Оренда</t>
  </si>
  <si>
    <t>Вывоз мусора</t>
  </si>
  <si>
    <t>Матеріали для прибирання територій</t>
  </si>
  <si>
    <t>* охорона праці</t>
  </si>
  <si>
    <t>спецпитание</t>
  </si>
  <si>
    <t>мат-лы на стирку спецодеж.</t>
  </si>
  <si>
    <t xml:space="preserve">спецодежда </t>
  </si>
  <si>
    <t>медицинский осмотр</t>
  </si>
  <si>
    <t>навчання, атестація</t>
  </si>
  <si>
    <t>* канцтовари</t>
  </si>
  <si>
    <t xml:space="preserve">* Сервісне обслуговування ПК </t>
  </si>
  <si>
    <t>* Ремонт ПК та катриджів</t>
  </si>
  <si>
    <t>* Обслуговування інформ. системи по збору платежів</t>
  </si>
  <si>
    <t>* ПММ на допоміжні механізми</t>
  </si>
  <si>
    <t>* Послуги сторонніх організацій, в т.ч.:</t>
  </si>
  <si>
    <t>связь</t>
  </si>
  <si>
    <t>анализы СЭС и прочих орг.</t>
  </si>
  <si>
    <t>Услуги диспетчерской</t>
  </si>
  <si>
    <t>поверка и ремонт приборов</t>
  </si>
  <si>
    <t>выдел.линия , ЮКІС</t>
  </si>
  <si>
    <t xml:space="preserve">інші </t>
  </si>
  <si>
    <t>* послуги Держстандарту</t>
  </si>
  <si>
    <t>* повірка установки</t>
  </si>
  <si>
    <t>* періодіка, послуги пошти, газети</t>
  </si>
  <si>
    <t>* відрядження, курси та ін</t>
  </si>
  <si>
    <t>* сбір платежів</t>
  </si>
  <si>
    <t>* банківські послуги</t>
  </si>
  <si>
    <t xml:space="preserve">* поточний ремонт мереж зливової каналізації  </t>
  </si>
  <si>
    <t xml:space="preserve">* Проведення моніторінгу якості зливових вод </t>
  </si>
  <si>
    <t>* Екологічний податок</t>
  </si>
  <si>
    <t>* податок на воду</t>
  </si>
  <si>
    <t>* податок на землю</t>
  </si>
  <si>
    <t>Адміністративні витрати, усього</t>
  </si>
  <si>
    <t>Витрати на збут, усього</t>
  </si>
  <si>
    <t>Витрати дільниці з повірки ЗОВ</t>
  </si>
  <si>
    <t xml:space="preserve">Витрати дільниці з поточного утримання мереж зливової каналізаці,ї проведення моніторингу якості зливових вод, поточний ремонт мереж зливової каналізації  </t>
  </si>
  <si>
    <t>в т.ч. Інші операційні витрати</t>
  </si>
  <si>
    <t>прибуток</t>
  </si>
  <si>
    <t xml:space="preserve">Усього витрати </t>
  </si>
  <si>
    <t>А.В.Шестов</t>
  </si>
  <si>
    <t>ВНС!I275-ВНС!J271+КНС!I211-КНС!I207+АВР!G245+Адм!I40+Збут!K51+пов!I112+ливн!G123/1000</t>
  </si>
  <si>
    <t>Розрахунок доходів КП "Южводоканал" на 2025 р.</t>
  </si>
  <si>
    <t>Додаток  2</t>
  </si>
  <si>
    <t>(без учета НДС)</t>
  </si>
  <si>
    <t>Факт
2023р., тис. грн.</t>
  </si>
  <si>
    <t>План
2025р, тис. грн.</t>
  </si>
  <si>
    <t>1 кв., 
грн.</t>
  </si>
  <si>
    <t>2 кв., 
грн.</t>
  </si>
  <si>
    <t>3 кв., 
грн.</t>
  </si>
  <si>
    <t>4 кв., 
грн.</t>
  </si>
  <si>
    <t>12 мес., 
грн.</t>
  </si>
  <si>
    <t>1. Реалізація води, всього</t>
  </si>
  <si>
    <t>* населення</t>
  </si>
  <si>
    <t>2. Відвід стоків, всього</t>
  </si>
  <si>
    <t>Всього основна діяльність</t>
  </si>
  <si>
    <t>Плата за абонентське обслуговування</t>
  </si>
  <si>
    <t>Повірка лічильників</t>
  </si>
  <si>
    <t>Реєстрація лічильників</t>
  </si>
  <si>
    <t>Опломб. лічильників</t>
  </si>
  <si>
    <t>Інші доходи (тех. док., кальк.)</t>
  </si>
  <si>
    <t>Послуги каси</t>
  </si>
  <si>
    <t>Послуги екскаватора</t>
  </si>
  <si>
    <t>3. Всього інших послуг</t>
  </si>
  <si>
    <t>4. Фінансові та інші доходи 
звичайної діяльності</t>
  </si>
  <si>
    <t>5. Фінансування на поточне утримання мереж зливової каналізації , проведення моніторингу якості зливових вод, сплата екологічного податку, поточний ремонт мереж зливової каналізації, Проведення технічної інвентаризації, виготовлення технічного паспорту</t>
  </si>
  <si>
    <t>Всього доходів</t>
  </si>
  <si>
    <r>
      <t xml:space="preserve">Тарифи </t>
    </r>
    <r>
      <rPr>
        <b/>
        <i/>
        <sz val="9"/>
        <color theme="0"/>
        <rFont val="Times New Roman"/>
        <family val="1"/>
        <charset val="204"/>
      </rPr>
      <t xml:space="preserve">на 01.04.2021р. </t>
    </r>
  </si>
  <si>
    <t xml:space="preserve">Водопостач.
</t>
  </si>
  <si>
    <t xml:space="preserve">Водовідвед.
</t>
  </si>
  <si>
    <t xml:space="preserve">  Реєс-ция  
ліч.</t>
  </si>
  <si>
    <t>Опломб. 
ліч.</t>
  </si>
  <si>
    <t>Поверка. 
сч.</t>
  </si>
  <si>
    <t xml:space="preserve">  Рег-ция счетч.</t>
  </si>
  <si>
    <t>Опломб</t>
  </si>
  <si>
    <t xml:space="preserve">послуги екскаватору </t>
  </si>
  <si>
    <t xml:space="preserve">Демонтаж монтаж ліч. </t>
  </si>
  <si>
    <t xml:space="preserve">* централізоване з 01.08.24 </t>
  </si>
  <si>
    <t>* плата за абонентське обслуговування БКБ</t>
  </si>
  <si>
    <t>* плата за абонентське обслуговування ОКРЕМІ</t>
  </si>
  <si>
    <t>Голавний економіст</t>
  </si>
  <si>
    <t>Додаток 3.1.</t>
  </si>
  <si>
    <t xml:space="preserve">ВОДОПОСТАЧАННЯ </t>
  </si>
  <si>
    <t>Поставлено води сторонніми підприємствами (питна)</t>
  </si>
  <si>
    <t>тыс. куб.м</t>
  </si>
  <si>
    <t>Втрати та витрати  води з системи ПРВ</t>
  </si>
  <si>
    <t>Реалізація води, прийнята до розрахунку собівартості</t>
  </si>
  <si>
    <t>ВИТРАТИ ВНС</t>
  </si>
  <si>
    <t>тис. грн</t>
  </si>
  <si>
    <t xml:space="preserve">Покупна питна вода </t>
  </si>
  <si>
    <t>тыс. куб.м*</t>
  </si>
  <si>
    <t>грн. =</t>
  </si>
  <si>
    <t>активна</t>
  </si>
  <si>
    <t>розподіл</t>
  </si>
  <si>
    <t>реактивна</t>
  </si>
  <si>
    <t xml:space="preserve">Ціна:  </t>
  </si>
  <si>
    <t>грн.</t>
  </si>
  <si>
    <t xml:space="preserve">Питомі витрати електричної енергії </t>
  </si>
  <si>
    <t>кВт.год/куб.м</t>
  </si>
  <si>
    <t>кВАрг/куб. м</t>
  </si>
  <si>
    <t>план на рік., тис. кВт.год:</t>
  </si>
  <si>
    <t>тис. кВт.</t>
  </si>
  <si>
    <t>кВАрг</t>
  </si>
  <si>
    <t>план на рік, грн:</t>
  </si>
  <si>
    <t>ВСЬОГО:</t>
  </si>
  <si>
    <t>Реагенти:</t>
  </si>
  <si>
    <t>HCl:</t>
  </si>
  <si>
    <t>листопад - березень</t>
  </si>
  <si>
    <t>*</t>
  </si>
  <si>
    <t>/40*1,05=</t>
  </si>
  <si>
    <t xml:space="preserve"> кг х 31,75 грн = </t>
  </si>
  <si>
    <t>квітень-червень</t>
  </si>
  <si>
    <t>липень-жовтень</t>
  </si>
  <si>
    <t>Акватабс</t>
  </si>
  <si>
    <t>шт *</t>
  </si>
  <si>
    <t>грн.   =</t>
  </si>
  <si>
    <t>NaClO2:</t>
  </si>
  <si>
    <t>/40*1,06/3,26=</t>
  </si>
  <si>
    <t xml:space="preserve"> кг х 119,88 грн = </t>
  </si>
  <si>
    <t>Нарахування на з/плату,  грн</t>
  </si>
  <si>
    <t>Амортизація ОЗ</t>
  </si>
  <si>
    <t>План на рік</t>
  </si>
  <si>
    <t>Підкачка води сторонніми організаціями (згідно договору)</t>
  </si>
  <si>
    <t>Всього прямі витрати</t>
  </si>
  <si>
    <t>8.1.</t>
  </si>
  <si>
    <t>Зарплата АУП та нарахування</t>
  </si>
  <si>
    <t>8.1.1.</t>
  </si>
  <si>
    <t>Заробітна плата</t>
  </si>
  <si>
    <t>8.1.2.</t>
  </si>
  <si>
    <t>Нарахування</t>
  </si>
  <si>
    <t>8.2.</t>
  </si>
  <si>
    <t>Матеріали та запчастини на ремонт та техобслуговування обладнання ВНС:</t>
  </si>
  <si>
    <t>тыс. грн</t>
  </si>
  <si>
    <t>Найменування</t>
  </si>
  <si>
    <t>Од. вим.</t>
  </si>
  <si>
    <t>Кількість</t>
  </si>
  <si>
    <t>Ціна, без ПДВ
грн</t>
  </si>
  <si>
    <t>Сума,
грн</t>
  </si>
  <si>
    <t>ИТОГО, тис. грн:</t>
  </si>
  <si>
    <t>Техобслуговування обладнання ВНС</t>
  </si>
  <si>
    <t>8.3.</t>
  </si>
  <si>
    <t>МБП, канцтовары, бланки</t>
  </si>
  <si>
    <t>=</t>
  </si>
  <si>
    <t>Назва</t>
  </si>
  <si>
    <t>к-ть</t>
  </si>
  <si>
    <t>Ціна, 
грн</t>
  </si>
  <si>
    <t>Сума,
грн.</t>
  </si>
  <si>
    <t>Усього , тис грн:</t>
  </si>
  <si>
    <t>8.4.</t>
  </si>
  <si>
    <t>ПММ на механізми, насоси</t>
  </si>
  <si>
    <t>8.5.</t>
  </si>
  <si>
    <t>Автопослуги для ВНС</t>
  </si>
  <si>
    <t>факт базовий.*</t>
  </si>
  <si>
    <t>8.6.1.</t>
  </si>
  <si>
    <t>Витрати на утримання приміщень</t>
  </si>
  <si>
    <t xml:space="preserve">Квт/ч х </t>
  </si>
  <si>
    <t xml:space="preserve">грн  = </t>
  </si>
  <si>
    <t>Вивіз сміття</t>
  </si>
  <si>
    <t>м3*</t>
  </si>
  <si>
    <t>Прибирання території ВНС</t>
  </si>
  <si>
    <t>Інструмент</t>
  </si>
  <si>
    <t>8.6.2.</t>
  </si>
  <si>
    <t>Послуги по охороні об'єктів</t>
  </si>
  <si>
    <t>згідно договору</t>
  </si>
  <si>
    <t>8.7.</t>
  </si>
  <si>
    <t>Послуги сторонніх організацій</t>
  </si>
  <si>
    <t xml:space="preserve">Звязок: </t>
  </si>
  <si>
    <t>/</t>
  </si>
  <si>
    <t xml:space="preserve">Аналізи СЕС </t>
  </si>
  <si>
    <t>(згідно договору)</t>
  </si>
  <si>
    <t>Технічний огляд кранів</t>
  </si>
  <si>
    <t>Повірка та ремонт приладів:</t>
  </si>
  <si>
    <t>факт базовий</t>
  </si>
  <si>
    <t>Послуги пошти</t>
  </si>
  <si>
    <t>8.8.</t>
  </si>
  <si>
    <t>Витраты на ОП (згідно додатку)</t>
  </si>
  <si>
    <t xml:space="preserve">Спехарчування </t>
  </si>
  <si>
    <t xml:space="preserve">Материали на прання спецодягу та миючі засоби </t>
  </si>
  <si>
    <t xml:space="preserve">Медичний огляд працівників </t>
  </si>
  <si>
    <t xml:space="preserve">Спецодяг </t>
  </si>
  <si>
    <t>Атестація робочих місць за умовами праці</t>
  </si>
  <si>
    <t>Навчання</t>
  </si>
  <si>
    <t>8.10.</t>
  </si>
  <si>
    <t>Семінари, курси</t>
  </si>
  <si>
    <t>8.9.</t>
  </si>
  <si>
    <t>Відрядження</t>
  </si>
  <si>
    <t>Податки, збори</t>
  </si>
  <si>
    <t xml:space="preserve">Податок на воду: </t>
  </si>
  <si>
    <t>тис. м3 *</t>
  </si>
  <si>
    <t>коп /100*</t>
  </si>
  <si>
    <t>тис.грн.</t>
  </si>
  <si>
    <t>(ст. 160)</t>
  </si>
  <si>
    <t>Якщо є, то розрахунок окремою довідкою з підписом</t>
  </si>
  <si>
    <t>Податок на землю</t>
  </si>
  <si>
    <t>тис. м2 *</t>
  </si>
  <si>
    <t>грн. *2%=</t>
  </si>
  <si>
    <t>(декларація з плати за землю)</t>
  </si>
  <si>
    <t>Податок на надра</t>
  </si>
  <si>
    <t>тис. м3/100 *</t>
  </si>
  <si>
    <t>Рентна плата за спец. використання</t>
  </si>
  <si>
    <t>*0,3*</t>
  </si>
  <si>
    <t xml:space="preserve">Витрати АВР </t>
  </si>
  <si>
    <t>Ітого ЗВВ  водопостачання:</t>
  </si>
  <si>
    <t>Всього виробнича с/в водопостачання</t>
  </si>
  <si>
    <t>Витрати водопостачання</t>
  </si>
  <si>
    <t>Додаток 3</t>
  </si>
  <si>
    <t>ЦВП</t>
  </si>
  <si>
    <t>ЦВВ</t>
  </si>
  <si>
    <t>№ з/п</t>
  </si>
  <si>
    <t xml:space="preserve">Статті витрат
</t>
  </si>
  <si>
    <t>од. вим</t>
  </si>
  <si>
    <t>період, попередній до базового (факт)</t>
  </si>
  <si>
    <t>базовий період (факт)</t>
  </si>
  <si>
    <t>передбачено діючим тарифом</t>
  </si>
  <si>
    <t>плановий період (всього)</t>
  </si>
  <si>
    <t>різниця</t>
  </si>
  <si>
    <t>Виробнича собівартість, усього, 
у т.ч.</t>
  </si>
  <si>
    <t>1.1.</t>
  </si>
  <si>
    <t>Прямі матеріальні витрати всього, у т.ч.;</t>
  </si>
  <si>
    <t>1.1.1.</t>
  </si>
  <si>
    <t>Електроенергія с тех. обслуг-ям</t>
  </si>
  <si>
    <t>1.1.2.</t>
  </si>
  <si>
    <t>Покупна питна вода</t>
  </si>
  <si>
    <t>1.1.3.</t>
  </si>
  <si>
    <t>Витрати на реагенти</t>
  </si>
  <si>
    <t>1.1.4.</t>
  </si>
  <si>
    <t>матеріали, запчастини та інші матеріальні ресурси (ремонти)</t>
  </si>
  <si>
    <t>ЦХВ</t>
  </si>
  <si>
    <t>ЦВ</t>
  </si>
  <si>
    <t>1.2.</t>
  </si>
  <si>
    <t>Оплата праці виробничого персоналу</t>
  </si>
  <si>
    <t>1.3.</t>
  </si>
  <si>
    <t>Інші прямі витрати, у т.ч.</t>
  </si>
  <si>
    <t>1.3.1.</t>
  </si>
  <si>
    <t>Внески на загальнообов'язкове держ. соц. страх.</t>
  </si>
  <si>
    <t>1.3.2.</t>
  </si>
  <si>
    <t>Амортизаційні відрахування ОЗ 
виробничого призначення</t>
  </si>
  <si>
    <t>1.3.3.</t>
  </si>
  <si>
    <t>Інші прямі витрати</t>
  </si>
  <si>
    <t>Прямі витрати всього</t>
  </si>
  <si>
    <t>1.4.</t>
  </si>
  <si>
    <t>Загальновиробничі витрати всього, у т.ч.;</t>
  </si>
  <si>
    <t>-  оплата праці</t>
  </si>
  <si>
    <t>-  внески на держ. соц. страх.</t>
  </si>
  <si>
    <t xml:space="preserve">- інші витрати, всього, в т.ч. </t>
  </si>
  <si>
    <t>*  ремонт та обслуговування обладнання</t>
  </si>
  <si>
    <t>* інші матеріальні витрати</t>
  </si>
  <si>
    <t>*  утримання та прибирання приміщень</t>
  </si>
  <si>
    <t>- опалення</t>
  </si>
  <si>
    <t>- електроенергія на опалення</t>
  </si>
  <si>
    <t>- вивіз та захоронення ТПВ</t>
  </si>
  <si>
    <t>- прибирання територіїі</t>
  </si>
  <si>
    <t>- Послуги по охороні об'єктів</t>
  </si>
  <si>
    <t>*  витраты з ОП</t>
  </si>
  <si>
    <t xml:space="preserve">- Спецпитание </t>
  </si>
  <si>
    <t>- Материалы для стирки спецодежды</t>
  </si>
  <si>
    <t>- Медицинский осмотр:</t>
  </si>
  <si>
    <t>- Спецодежда</t>
  </si>
  <si>
    <t>- Навчання, атестація</t>
  </si>
  <si>
    <t xml:space="preserve">*  послуги інших організацій </t>
  </si>
  <si>
    <t>- Звязок</t>
  </si>
  <si>
    <t xml:space="preserve">- Аналізы СЕС </t>
  </si>
  <si>
    <t>- Інші послуги</t>
  </si>
  <si>
    <t>*  відрядження, курси, навчання</t>
  </si>
  <si>
    <t>*  податки та збори</t>
  </si>
  <si>
    <t>*  автопослуги</t>
  </si>
  <si>
    <t>*  АВР, усього, в т.ч.</t>
  </si>
  <si>
    <t xml:space="preserve">    -  оплата праці</t>
  </si>
  <si>
    <t xml:space="preserve">    -  внески на держ. соц. страх.</t>
  </si>
  <si>
    <t xml:space="preserve">    -  амортизація АВР</t>
  </si>
  <si>
    <t xml:space="preserve">    -  інші витрати АВР</t>
  </si>
  <si>
    <t>Всього витрат ВНС</t>
  </si>
  <si>
    <t xml:space="preserve">Директор </t>
  </si>
  <si>
    <t>Додаток 4.1.</t>
  </si>
  <si>
    <t xml:space="preserve">ВИТРАТИ ВОДОВІДВЕДЕННЯ </t>
  </si>
  <si>
    <t>(ст. 204)</t>
  </si>
  <si>
    <t>К-ть</t>
  </si>
  <si>
    <t>Ціна</t>
  </si>
  <si>
    <t>Сума</t>
  </si>
  <si>
    <t>тис.куб.м.</t>
  </si>
  <si>
    <t>грн</t>
  </si>
  <si>
    <t>бюджетні</t>
  </si>
  <si>
    <t>Відвід стоків, всього</t>
  </si>
  <si>
    <t>(ст. 197)</t>
  </si>
  <si>
    <t xml:space="preserve">Ціна: </t>
  </si>
  <si>
    <t xml:space="preserve">Питомі витрати електричної енергиї  </t>
  </si>
  <si>
    <t>план на рік, тис. кВт.год:</t>
  </si>
  <si>
    <t>тис. кВт.год</t>
  </si>
  <si>
    <t>план на рік., грн:</t>
  </si>
  <si>
    <t>Нарахування на з/плату</t>
  </si>
  <si>
    <t>(ст. 110)</t>
  </si>
  <si>
    <t>6.1.1.</t>
  </si>
  <si>
    <t>Зарплата АУП</t>
  </si>
  <si>
    <t>(ст. 52)</t>
  </si>
  <si>
    <t>(ст. 80)</t>
  </si>
  <si>
    <t>6.2.</t>
  </si>
  <si>
    <t>Матеріали та запчастини на ремонт та техобслуговування обладнання КНС:</t>
  </si>
  <si>
    <t>ИТОГО, тыс. грн:</t>
  </si>
  <si>
    <t>6.3.</t>
  </si>
  <si>
    <t>факт базовий.</t>
  </si>
  <si>
    <t>6.4.</t>
  </si>
  <si>
    <t>ПММ на Дизельгенератор, насоси інші механізми</t>
  </si>
  <si>
    <t>6.5.</t>
  </si>
  <si>
    <t>Автопослуги для КНС</t>
  </si>
  <si>
    <t>6.6.</t>
  </si>
  <si>
    <t xml:space="preserve">кВт х </t>
  </si>
  <si>
    <t>грн =</t>
  </si>
  <si>
    <t>грн.  =</t>
  </si>
  <si>
    <t>6.7.</t>
  </si>
  <si>
    <t>(ст. 250)</t>
  </si>
  <si>
    <t>(ст. 329)</t>
  </si>
  <si>
    <t xml:space="preserve">Договір </t>
  </si>
  <si>
    <t>Лабораторні вимірювання якості стічних вод</t>
  </si>
  <si>
    <t>проб. (11пок)</t>
  </si>
  <si>
    <t>Повірка приладів:</t>
  </si>
  <si>
    <t>Прочищення каналізаційних труб струменевим апаратом</t>
  </si>
  <si>
    <t>6.8.</t>
  </si>
  <si>
    <t>(ст. 324)</t>
  </si>
  <si>
    <t>(ст. 305)</t>
  </si>
  <si>
    <t>(ст. 266, 265)</t>
  </si>
  <si>
    <t>(ст. 308)</t>
  </si>
  <si>
    <t>6.9.</t>
  </si>
  <si>
    <t>(ст. 156)</t>
  </si>
  <si>
    <t>6.10.</t>
  </si>
  <si>
    <t>Ітого ЗВВ водовідведення:</t>
  </si>
  <si>
    <t>Всього виробнича с/в водовідведення</t>
  </si>
  <si>
    <t>Затрати водовідведення</t>
  </si>
  <si>
    <t>Додаток 4</t>
  </si>
  <si>
    <t>Послуги сторонніх підприємств з очистки стоків</t>
  </si>
  <si>
    <t xml:space="preserve">Інші прямі матеріальні витрати </t>
  </si>
  <si>
    <t>Внески на загальнообов"язкове 
держ. соц. страх.</t>
  </si>
  <si>
    <t>-  амортизація</t>
  </si>
  <si>
    <t>*  лікарн. лист. за рах. підпр.</t>
  </si>
  <si>
    <t xml:space="preserve">   - електроенергія на опалення</t>
  </si>
  <si>
    <t xml:space="preserve">   - вивіз та захоронення ТПВ</t>
  </si>
  <si>
    <t xml:space="preserve">   - матеріали на прибирання</t>
  </si>
  <si>
    <t xml:space="preserve">   - Спецпитание </t>
  </si>
  <si>
    <t xml:space="preserve">   - Материалы для стирки спецодежды</t>
  </si>
  <si>
    <t xml:space="preserve">    - Медицинский осмотр:</t>
  </si>
  <si>
    <t xml:space="preserve">    - Спецодежда</t>
  </si>
  <si>
    <t xml:space="preserve">   - Навчання, атестацыя</t>
  </si>
  <si>
    <t>- Связь</t>
  </si>
  <si>
    <t>*  відрядження</t>
  </si>
  <si>
    <t xml:space="preserve">    -  амортизація</t>
  </si>
  <si>
    <t>Всього витрат КНС</t>
  </si>
  <si>
    <t>Витрати АВР</t>
  </si>
  <si>
    <t>Додаток 5.1.</t>
  </si>
  <si>
    <t>Зарплата робочих</t>
  </si>
  <si>
    <t>Зарплата АУП /майстра/</t>
  </si>
  <si>
    <t xml:space="preserve"> Матеріали та запчастини </t>
  </si>
  <si>
    <t>Плановий поточний ремонт (матеріали)</t>
  </si>
  <si>
    <t>Наименование</t>
  </si>
  <si>
    <t>Ед. изм</t>
  </si>
  <si>
    <t>Кол-во</t>
  </si>
  <si>
    <t>Цена,
 грн</t>
  </si>
  <si>
    <t>ИТОГО, грн</t>
  </si>
  <si>
    <t>кв.м</t>
  </si>
  <si>
    <t>ПТН</t>
  </si>
  <si>
    <t>Гкал</t>
  </si>
  <si>
    <t>ИТОГО:</t>
  </si>
  <si>
    <t xml:space="preserve"> Інші витрати АВР</t>
  </si>
  <si>
    <t>8.1. Утримання приміщень</t>
  </si>
  <si>
    <t>* отопление,подогрев ГВ</t>
  </si>
  <si>
    <t>Гкал х</t>
  </si>
  <si>
    <t xml:space="preserve">грн = </t>
  </si>
  <si>
    <t>(ст. 224)</t>
  </si>
  <si>
    <t>* електроенергія</t>
  </si>
  <si>
    <t xml:space="preserve">Квт х </t>
  </si>
  <si>
    <t>+</t>
  </si>
  <si>
    <t>* теплова енергія</t>
  </si>
  <si>
    <t xml:space="preserve">грн *5 міс= </t>
  </si>
  <si>
    <t>* ПТН</t>
  </si>
  <si>
    <t>Гкал /год   х</t>
  </si>
  <si>
    <t xml:space="preserve">грн х 12 мес.= </t>
  </si>
  <si>
    <t>* Відшкодування експлуатаційних витрат</t>
  </si>
  <si>
    <t xml:space="preserve">кв. м х </t>
  </si>
  <si>
    <t>-</t>
  </si>
  <si>
    <t>Довідка розподілу (див в адмін)</t>
  </si>
  <si>
    <t>*Поводження з ТПВ</t>
  </si>
  <si>
    <t>грн.=</t>
  </si>
  <si>
    <t>* Послуги по охороні об'єктів</t>
  </si>
  <si>
    <t>(Згідно договору)</t>
  </si>
  <si>
    <t>(ст. 368)</t>
  </si>
  <si>
    <t>8.2 Витрати з ОП</t>
  </si>
  <si>
    <t>Водосбыт</t>
  </si>
  <si>
    <t>Управление</t>
  </si>
  <si>
    <t>8.3. Автопослуги АВР:</t>
  </si>
  <si>
    <t>Всего:</t>
  </si>
  <si>
    <t>8.3.1  Автопослуги сторонніх організацій</t>
  </si>
  <si>
    <t>8.3.2. Обслуговування автомобілів</t>
  </si>
  <si>
    <t>а. Паливно-мастильні матеріали</t>
  </si>
  <si>
    <t>всього</t>
  </si>
  <si>
    <t>Витрати грошових коштів на придбання бензину та ДП</t>
  </si>
  <si>
    <t>Витрати грошових коштів на мастила:</t>
  </si>
  <si>
    <t>б. Розрахунок витрат грошових коштів на поточний ремонт автомобілів, придбання запчастин та планово-технічне обслуговування. грн.</t>
  </si>
  <si>
    <t>Підготовка до технічного огляду</t>
  </si>
  <si>
    <t>Поточний ремонт та технічне обслуговування (зап.частини)</t>
  </si>
  <si>
    <t>факт базовий*</t>
  </si>
  <si>
    <t>Закупівля шин</t>
  </si>
  <si>
    <t>шт. *</t>
  </si>
  <si>
    <t>Акумулятор</t>
  </si>
  <si>
    <t>в. Витрати на щоденний технічний огляд (згідно договору)</t>
  </si>
  <si>
    <t xml:space="preserve">г. Витрати на щоденний медичний огляд </t>
  </si>
  <si>
    <t>Матеріали (Трубочки до мундштуків)</t>
  </si>
  <si>
    <t xml:space="preserve">д. Витрати на страхування транспортних засобів </t>
  </si>
  <si>
    <t>Страхування</t>
  </si>
  <si>
    <t>власні</t>
  </si>
  <si>
    <t>Платні</t>
  </si>
  <si>
    <t xml:space="preserve">8.3.3. Обслуговування екскаватора JCB </t>
  </si>
  <si>
    <t>тис.грн</t>
  </si>
  <si>
    <t>(всього на рік, включено в тариф - 50%)</t>
  </si>
  <si>
    <t>дох</t>
  </si>
  <si>
    <t>Розрахунок палива для екскаватора JCB 4 СХ</t>
  </si>
  <si>
    <t xml:space="preserve">б 1. Розрахунок витрат на технічне обслуговування </t>
  </si>
  <si>
    <t>ТО-1 (кожні 500 мот/год)</t>
  </si>
  <si>
    <t>б 2. Поточний ремонт (придбання запчастин)</t>
  </si>
  <si>
    <t>тис. грн=</t>
  </si>
  <si>
    <t>в. Витрати на щоденний  технічний огляд (згідно договору)</t>
  </si>
  <si>
    <t>8.4.  ПММ на допоміжні механізми</t>
  </si>
  <si>
    <t>8.5. Послуги сторонніх організацій</t>
  </si>
  <si>
    <t xml:space="preserve">Повірка </t>
  </si>
  <si>
    <t>Гвозди</t>
  </si>
  <si>
    <t>кг</t>
  </si>
  <si>
    <t>Страхування цивільної відполвідальності</t>
  </si>
  <si>
    <t>Є чи немає? Договір</t>
  </si>
  <si>
    <r>
      <t>Зв</t>
    </r>
    <r>
      <rPr>
        <sz val="9"/>
        <rFont val="Times New Roman"/>
        <family val="1"/>
        <charset val="204"/>
      </rPr>
      <t>'</t>
    </r>
    <r>
      <rPr>
        <sz val="9"/>
        <rFont val="Times New Roman Cyr"/>
        <charset val="204"/>
      </rPr>
      <t>язок</t>
    </r>
  </si>
  <si>
    <t>Канцтовари, МШП</t>
  </si>
  <si>
    <t>Заправка кисню</t>
  </si>
  <si>
    <t>запр *</t>
  </si>
  <si>
    <t>кв.м.  *</t>
  </si>
  <si>
    <t>мес. *</t>
  </si>
  <si>
    <t>Повірка балонів кисню</t>
  </si>
  <si>
    <t>Експертні дослідження (вогнегасники)</t>
  </si>
  <si>
    <t>Благоустрій території</t>
  </si>
  <si>
    <t>Всього витрат АВР:</t>
  </si>
  <si>
    <t>Включено в тариф</t>
  </si>
  <si>
    <t>(витрати екскаватора 50%)</t>
  </si>
  <si>
    <t>Додаток 5</t>
  </si>
  <si>
    <t>Витрати дільниці аварійно-відновлювальних робіт</t>
  </si>
  <si>
    <t xml:space="preserve">плановий період </t>
  </si>
  <si>
    <t xml:space="preserve">передбачено діючим тарифом </t>
  </si>
  <si>
    <t>Водопостачання</t>
  </si>
  <si>
    <t>Водовідведення</t>
  </si>
  <si>
    <t>Інші послуги</t>
  </si>
  <si>
    <t xml:space="preserve">Водовідведення </t>
  </si>
  <si>
    <t>Зарплата, всього, в. т.ч.</t>
  </si>
  <si>
    <t>1.1. Зарплата робочих, всього, в т.ч.</t>
  </si>
  <si>
    <t>* робочі</t>
  </si>
  <si>
    <t>*водій автотранспортних засобів</t>
  </si>
  <si>
    <t>*машиніст екскаватора</t>
  </si>
  <si>
    <t>1.1. Зарплата АУП (майстра)</t>
  </si>
  <si>
    <t>на зарплату робочих, всього, в т.ч.</t>
  </si>
  <si>
    <t>* на зарплату робочих</t>
  </si>
  <si>
    <t>* на зарплату водія автотранспортних засобів</t>
  </si>
  <si>
    <t>* на зарплату машиніста екскаватора</t>
  </si>
  <si>
    <t>на зарплату АУП (майстра)</t>
  </si>
  <si>
    <t>Інші витрати АВР</t>
  </si>
  <si>
    <t>Матеріали та запчастини для ремонту</t>
  </si>
  <si>
    <t>* опалення</t>
  </si>
  <si>
    <t>* ВЭР</t>
  </si>
  <si>
    <t>* сміття</t>
  </si>
  <si>
    <t>Витрати на охорону праці всього, в т.ч.</t>
  </si>
  <si>
    <t>* Спецхарчування</t>
  </si>
  <si>
    <t>* Матеріали для прання спецодягу</t>
  </si>
  <si>
    <t>* Медичний огляд</t>
  </si>
  <si>
    <t>* Спецодяг</t>
  </si>
  <si>
    <t>* Навчання, атестація</t>
  </si>
  <si>
    <t xml:space="preserve">Автопослуги, всього, в. т.ч. </t>
  </si>
  <si>
    <t>*  Автопослуги сторонніх організацій</t>
  </si>
  <si>
    <t xml:space="preserve">*  Обслуговування автомобіля </t>
  </si>
  <si>
    <t>*  Обслуговування екскаватора JCB</t>
  </si>
  <si>
    <t>ПММ на допоміжні механізми</t>
  </si>
  <si>
    <t>Зв'язок</t>
  </si>
  <si>
    <t>Повірка приборов</t>
  </si>
  <si>
    <t>МШП, канцтовари</t>
  </si>
  <si>
    <t xml:space="preserve">Послуги інших організацій </t>
  </si>
  <si>
    <t>Благоустрій територїї</t>
  </si>
  <si>
    <t>Додаток 6.1.</t>
  </si>
  <si>
    <t xml:space="preserve">Всього </t>
  </si>
  <si>
    <t>На ліцензовані види діяльності</t>
  </si>
  <si>
    <t>На послуги з централізованого постачання холодної води, водовідведення 
(з використанням внутрішньобудинкових систем)</t>
  </si>
  <si>
    <t>Інші види</t>
  </si>
  <si>
    <t>Нарахування на зарплату:</t>
  </si>
  <si>
    <t>Амортизация</t>
  </si>
  <si>
    <t>Банківське обслуговування</t>
  </si>
  <si>
    <t>Договір з банком</t>
  </si>
  <si>
    <t>(549+72,5+40+150+175)грн/міс+</t>
  </si>
  <si>
    <t>2%*</t>
  </si>
  <si>
    <t>грн+</t>
  </si>
  <si>
    <t>3 грн*</t>
  </si>
  <si>
    <t>371шт</t>
  </si>
  <si>
    <r>
      <t>Зв</t>
    </r>
    <r>
      <rPr>
        <b/>
        <sz val="9"/>
        <rFont val="Calibri"/>
        <family val="2"/>
        <charset val="204"/>
      </rPr>
      <t>'</t>
    </r>
    <r>
      <rPr>
        <b/>
        <sz val="9"/>
        <rFont val="Times New Roman"/>
        <family val="1"/>
        <charset val="204"/>
      </rPr>
      <t>язок</t>
    </r>
  </si>
  <si>
    <t>(2тлф х211,67грн+1тлф х115,00грн +1197,25/5) х12мес+БЗ канал +500грн/мес(моб. та м/міськ.)=</t>
  </si>
  <si>
    <t>Інтернет ПП Лан-Телеком</t>
  </si>
  <si>
    <t>грн. *</t>
  </si>
  <si>
    <t>(ст. 332)</t>
  </si>
  <si>
    <t>Договір</t>
  </si>
  <si>
    <t>Сервісне обслуговування касового апарату</t>
  </si>
  <si>
    <t>(ст. 299,302)</t>
  </si>
  <si>
    <t xml:space="preserve">Сервісне обслуговування ПК </t>
  </si>
  <si>
    <t>(ст. 298)</t>
  </si>
  <si>
    <t>Ремонт ПК та катриджів</t>
  </si>
  <si>
    <t>Заправка ПК та катриджів</t>
  </si>
  <si>
    <t>грн*</t>
  </si>
  <si>
    <t>згідно додатку</t>
  </si>
  <si>
    <t>Підписка на пресу</t>
  </si>
  <si>
    <t>Періодіка, послуги пошти, газети</t>
  </si>
  <si>
    <t>Послуги адміністративні (нотаріус та ін.)</t>
  </si>
  <si>
    <t>(ст. 315)</t>
  </si>
  <si>
    <t>Послуги аудиторські</t>
  </si>
  <si>
    <t>Послуги по інформатизації</t>
  </si>
  <si>
    <t xml:space="preserve">Семинари, курси, навчання </t>
  </si>
  <si>
    <t>Матеріали</t>
  </si>
  <si>
    <t>Канцтовари, бланки</t>
  </si>
  <si>
    <t>МШП</t>
  </si>
  <si>
    <t>6.1</t>
  </si>
  <si>
    <t>Утримання приміщень:</t>
  </si>
  <si>
    <t xml:space="preserve">* эл.энергия = </t>
  </si>
  <si>
    <t>кВт.   *</t>
  </si>
  <si>
    <t>*Відшкодування експлуатаційних витрат</t>
  </si>
  <si>
    <t>(ст. 231)</t>
  </si>
  <si>
    <t xml:space="preserve">* оренда = </t>
  </si>
  <si>
    <t>(ст. 236)</t>
  </si>
  <si>
    <t>6.2</t>
  </si>
  <si>
    <t xml:space="preserve">Охорона праці </t>
  </si>
  <si>
    <t>Введено в тариф</t>
  </si>
  <si>
    <t xml:space="preserve">тыс. грн </t>
  </si>
  <si>
    <t>Распределение затрат:</t>
  </si>
  <si>
    <t>Доля з-т сбыта ВНС:</t>
  </si>
  <si>
    <t>Доля з-т сбыта КНС:</t>
  </si>
  <si>
    <t>З/пл рабочих</t>
  </si>
  <si>
    <t xml:space="preserve">КНС </t>
  </si>
  <si>
    <t>Итого</t>
  </si>
  <si>
    <t>1.Обсл персонал</t>
  </si>
  <si>
    <t>ОХР, тыс. грн</t>
  </si>
  <si>
    <t>перелік матеріалів для забеспечення складу КП Южводоканал (Адм.)</t>
  </si>
  <si>
    <t xml:space="preserve">Найменування </t>
  </si>
  <si>
    <t>Од.виміру</t>
  </si>
  <si>
    <t xml:space="preserve">Ціна,без НДС </t>
  </si>
  <si>
    <t>Сума, грн</t>
  </si>
  <si>
    <t>Всього:</t>
  </si>
  <si>
    <t xml:space="preserve">найменування </t>
  </si>
  <si>
    <t>од.вим.</t>
  </si>
  <si>
    <t>кількість</t>
  </si>
  <si>
    <t>ціна без ПДВ</t>
  </si>
  <si>
    <t>Канцтовари</t>
  </si>
  <si>
    <t>Усього</t>
  </si>
  <si>
    <t>Послуги, пов’язані з програмним забезпеченням</t>
  </si>
  <si>
    <t>72260000-5</t>
  </si>
  <si>
    <t>Обслуговування "Дебет Плюс V12"</t>
  </si>
  <si>
    <t>шт</t>
  </si>
  <si>
    <t>"М.Е.Doc"</t>
  </si>
  <si>
    <t>"М.Е.Doc" оновлення</t>
  </si>
  <si>
    <t>Ігнатов Чат бот</t>
  </si>
  <si>
    <t>Системи баз даних (Підписки та програми)</t>
  </si>
  <si>
    <t>4861000-7</t>
  </si>
  <si>
    <t>БЗ Бухгалтерія</t>
  </si>
  <si>
    <t>БЗДержзакупівлі</t>
  </si>
  <si>
    <t>БЗ Кадри</t>
  </si>
  <si>
    <t xml:space="preserve">Адміністративні витрати </t>
  </si>
  <si>
    <t>Додаток 7</t>
  </si>
  <si>
    <t xml:space="preserve">
Інші послуги
</t>
  </si>
  <si>
    <t>Зарплата</t>
  </si>
  <si>
    <t>Банківські послуги</t>
  </si>
  <si>
    <t>* Оренда</t>
  </si>
  <si>
    <t>* вивіз та захоронення ТПВ</t>
  </si>
  <si>
    <t>Інтернет</t>
  </si>
  <si>
    <t>МШП, матеріали</t>
  </si>
  <si>
    <t>Обслуг. комп. техники и кас. ап</t>
  </si>
  <si>
    <t>Заправка и ремонт картриджа та ін рем</t>
  </si>
  <si>
    <t>Семінари, курси, навчання</t>
  </si>
  <si>
    <t xml:space="preserve">Послуги адміністративні </t>
  </si>
  <si>
    <t>інформатизація</t>
  </si>
  <si>
    <t>Витрати на охорону праці</t>
  </si>
  <si>
    <t xml:space="preserve">Всього витрат </t>
  </si>
  <si>
    <t>Збут</t>
  </si>
  <si>
    <t>Додаток 7.1.</t>
  </si>
  <si>
    <t>На ліцензовані 
види діяльності</t>
  </si>
  <si>
    <t>Абонплата</t>
  </si>
  <si>
    <t>Зарплата, всього</t>
  </si>
  <si>
    <t>тис.  грн.</t>
  </si>
  <si>
    <t>Сбор платежей, % кассам</t>
  </si>
  <si>
    <t>(ст. 280, 281,283,284,287,289)</t>
  </si>
  <si>
    <t xml:space="preserve">План. дохід водопостачання та водовідведення: </t>
  </si>
  <si>
    <t>Відрахування -1,8%,  0,3 %:</t>
  </si>
  <si>
    <t>Договір з Ніжельським</t>
  </si>
  <si>
    <t>Програмне супроводження  ЮКІС (Консультаційні послуги з питань систем та з технічних питань)</t>
  </si>
  <si>
    <t>Обслуговування інформ. системи по збору платежів</t>
  </si>
  <si>
    <t>Послуги по інкасації коштів</t>
  </si>
  <si>
    <t>грн. /міс</t>
  </si>
  <si>
    <t>Ремонт  ПК та катриджів</t>
  </si>
  <si>
    <t>(1тлф х243,33грн+ 1тлф х190,83грн+1160/5) х12мес+БЗ канал +300грн/мес(моб. та м/міськ. )=</t>
  </si>
  <si>
    <t>Експертиза, погодження</t>
  </si>
  <si>
    <t>Юридичні, консультаційні послуги</t>
  </si>
  <si>
    <t>Періодика, послуги телебачення, газети</t>
  </si>
  <si>
    <t xml:space="preserve">Матеріали, МШП </t>
  </si>
  <si>
    <t>Матеріали на ВОВ</t>
  </si>
  <si>
    <t>Пломба</t>
  </si>
  <si>
    <t>Проволка</t>
  </si>
  <si>
    <t>м *</t>
  </si>
  <si>
    <t>Прокладка гумова</t>
  </si>
  <si>
    <t>6.1.</t>
  </si>
  <si>
    <t xml:space="preserve">* Эл.энергия </t>
  </si>
  <si>
    <t>кВт.час.*</t>
  </si>
  <si>
    <t xml:space="preserve">* Теплова енергія </t>
  </si>
  <si>
    <t>* Теплова енергія ПТН</t>
  </si>
  <si>
    <t>(згідно кол. договору)</t>
  </si>
  <si>
    <t>Усього витрати збуту:</t>
  </si>
  <si>
    <t>перелік матеріалів для забеспечення складу КП Южводоканал (Водосб.)</t>
  </si>
  <si>
    <t>сума, грн</t>
  </si>
  <si>
    <t>Додаток 6</t>
  </si>
  <si>
    <t xml:space="preserve">Витрати  водозбуту  </t>
  </si>
  <si>
    <t>водоміри</t>
  </si>
  <si>
    <t>хол</t>
  </si>
  <si>
    <t>гар</t>
  </si>
  <si>
    <t>Централізоване Водопостачання</t>
  </si>
  <si>
    <t>Централізоване Водовідведення</t>
  </si>
  <si>
    <t>Послуги Водопостачання</t>
  </si>
  <si>
    <t>Послуги Водовідведення</t>
  </si>
  <si>
    <t xml:space="preserve">Інші послуги </t>
  </si>
  <si>
    <t>центр</t>
  </si>
  <si>
    <t>посл</t>
  </si>
  <si>
    <t>різниця вода</t>
  </si>
  <si>
    <t>різниця стоки</t>
  </si>
  <si>
    <t>міз</t>
  </si>
  <si>
    <t>підпр</t>
  </si>
  <si>
    <t>Збір платежів</t>
  </si>
  <si>
    <t>Інкасасія</t>
  </si>
  <si>
    <t>ЮКІС</t>
  </si>
  <si>
    <t>інтернет</t>
  </si>
  <si>
    <t>Матеріали , МШП</t>
  </si>
  <si>
    <t>Юридичні послуги</t>
  </si>
  <si>
    <t>* Опал</t>
  </si>
  <si>
    <t xml:space="preserve">* Матеріали для прання </t>
  </si>
  <si>
    <t>* навчання</t>
  </si>
  <si>
    <t>Витрати дільниці з обслуговування, заміни, ремонту вузлів обліку та платних послуг</t>
  </si>
  <si>
    <t>Додаток 8.1.</t>
  </si>
  <si>
    <t>Додаток 8</t>
  </si>
  <si>
    <t>Розподільчі</t>
  </si>
  <si>
    <t>зам+обсл</t>
  </si>
  <si>
    <t>зам</t>
  </si>
  <si>
    <t>обсл</t>
  </si>
  <si>
    <t>інші послуги</t>
  </si>
  <si>
    <t>Цхв+в</t>
  </si>
  <si>
    <t>інші 
посл</t>
  </si>
  <si>
    <t>Затраты участка по поверке, демонтажу, монтажу и ремонту счетчиков</t>
  </si>
  <si>
    <t>Зарплата слюсарів КВПтаА</t>
  </si>
  <si>
    <t xml:space="preserve">Нарахування на заробітну плату </t>
  </si>
  <si>
    <t>Службова та Ком проп</t>
  </si>
  <si>
    <t>вузли комерційного обліку, що підлягають заміні</t>
  </si>
  <si>
    <t>Обмінний фонд</t>
  </si>
  <si>
    <t>матеріали та додаткове обладнання при заміні</t>
  </si>
  <si>
    <t>Повірка установки</t>
  </si>
  <si>
    <t>обмінний фонд комерційного обліку</t>
  </si>
  <si>
    <t>Атестація пробочого місця для повірки</t>
  </si>
  <si>
    <t>матеріали для обслуговування (комерційного обліку)</t>
  </si>
  <si>
    <t>Охорона праці</t>
  </si>
  <si>
    <t xml:space="preserve">Фільтр </t>
  </si>
  <si>
    <t xml:space="preserve">Клапан звор </t>
  </si>
  <si>
    <t>Обмінний фонд (розподільчий облік)</t>
  </si>
  <si>
    <t>ліч. хол. *</t>
  </si>
  <si>
    <t>*Електроенергія</t>
  </si>
  <si>
    <t>Повірка установки (1 раз на рік)</t>
  </si>
  <si>
    <t>Атестація пробочого місця для повірки (1 раз на 5 років)</t>
  </si>
  <si>
    <t>Заправка картриджа</t>
  </si>
  <si>
    <t>* Навчання</t>
  </si>
  <si>
    <t>Послуги держ. станд</t>
  </si>
  <si>
    <t>*Атестація робочих місць за умовами праці</t>
  </si>
  <si>
    <t>повірка</t>
  </si>
  <si>
    <t>Інші витрати</t>
  </si>
  <si>
    <t>відрядні повірювача</t>
  </si>
  <si>
    <t>Заправка картриджа (3 рази на рік)</t>
  </si>
  <si>
    <t>р. =</t>
  </si>
  <si>
    <t>Відрядження (Відрядження в Одесу  погодження документації)</t>
  </si>
  <si>
    <t>2*50*12+100*2*12=</t>
  </si>
  <si>
    <t xml:space="preserve"> Поштові повідомлення про повірку</t>
  </si>
  <si>
    <t>пов. *</t>
  </si>
  <si>
    <t>Зв'язок: (50грн/мес моб. та м/міськ.)</t>
  </si>
  <si>
    <t>пов</t>
  </si>
  <si>
    <t>ад</t>
  </si>
  <si>
    <t>зб</t>
  </si>
  <si>
    <t>Щоденний технічний огляд (згідно договору)</t>
  </si>
  <si>
    <t>Од.вим</t>
  </si>
  <si>
    <t>Кіл-ь</t>
  </si>
  <si>
    <t>Ціна,грн</t>
  </si>
  <si>
    <t>Разом , грн</t>
  </si>
  <si>
    <t xml:space="preserve">Пломба </t>
  </si>
  <si>
    <t>Проволка вязальна</t>
  </si>
  <si>
    <t>м</t>
  </si>
  <si>
    <t>зп</t>
  </si>
  <si>
    <t>нар</t>
  </si>
  <si>
    <t>ам</t>
  </si>
  <si>
    <t>ін</t>
  </si>
  <si>
    <t xml:space="preserve">Рахунок </t>
  </si>
  <si>
    <t>Розрахунок площі по ВЕР по обєктам</t>
  </si>
  <si>
    <t>Рахунок</t>
  </si>
  <si>
    <t>3.1.</t>
  </si>
  <si>
    <t>(ст. 311)</t>
  </si>
  <si>
    <t>3.2.</t>
  </si>
  <si>
    <t>Паливно-мастильні матеріали</t>
  </si>
  <si>
    <t>Витрати на бензин (заміна)</t>
  </si>
  <si>
    <t>Витрати на бензин (обслуговув)</t>
  </si>
  <si>
    <t>Витрати на бензин (перевезення на повірку)</t>
  </si>
  <si>
    <t>км*</t>
  </si>
  <si>
    <t>ход*12міс*</t>
  </si>
  <si>
    <t>км=</t>
  </si>
  <si>
    <t>км</t>
  </si>
  <si>
    <t>Витрати на ДП (заміна)</t>
  </si>
  <si>
    <t>Витрати на інші послуги ДП</t>
  </si>
  <si>
    <t>Витрати на інші послуги (бензин, масла)</t>
  </si>
  <si>
    <t>3.3.</t>
  </si>
  <si>
    <t>кВт.год/рік*</t>
  </si>
  <si>
    <t>3.4.</t>
  </si>
  <si>
    <t>Матеріали на колодязі</t>
  </si>
  <si>
    <t>кол.*</t>
  </si>
  <si>
    <t>грн./кол./5=</t>
  </si>
  <si>
    <t>В листі Натуральні показники заповнити таблицю на 01.01.19</t>
  </si>
  <si>
    <t>Автопослуги (перевозка матеріалів для колодязів)</t>
  </si>
  <si>
    <t>грн./5=</t>
  </si>
  <si>
    <t>Витрати на оплату праці загальновиробничі, усього</t>
  </si>
  <si>
    <t>Зарплата майстра дільниці</t>
  </si>
  <si>
    <t>водія автотр. засобів, усього</t>
  </si>
  <si>
    <t>водія автотр. засобів (заміна)</t>
  </si>
  <si>
    <t>водія автотр. засобів (обслуговування)</t>
  </si>
  <si>
    <t>водія автотр. засобів (перевезення на повірку)</t>
  </si>
  <si>
    <t>тариф на 1 год. водія</t>
  </si>
  <si>
    <t>тис.грн/</t>
  </si>
  <si>
    <r>
      <rPr>
        <sz val="9"/>
        <color theme="0"/>
        <rFont val="Times New Roman"/>
        <family val="1"/>
        <charset val="204"/>
      </rPr>
      <t>тис.грн</t>
    </r>
    <r>
      <rPr>
        <sz val="9"/>
        <rFont val="Times New Roman"/>
        <family val="1"/>
        <charset val="204"/>
      </rPr>
      <t>/</t>
    </r>
  </si>
  <si>
    <t>грн/год</t>
  </si>
  <si>
    <t>норма часу на рік</t>
  </si>
  <si>
    <t xml:space="preserve">год= </t>
  </si>
  <si>
    <t>год</t>
  </si>
  <si>
    <t>водія автотр. засобів (інші)</t>
  </si>
  <si>
    <t>слюсаря АВР (заміна)</t>
  </si>
  <si>
    <t xml:space="preserve">машиніста екскаватора </t>
  </si>
  <si>
    <t>Нарахування майстра</t>
  </si>
  <si>
    <t>Нарахування робочих, усього</t>
  </si>
  <si>
    <t>Послуги Держстандарту:</t>
  </si>
  <si>
    <t>Згідно договору</t>
  </si>
  <si>
    <t xml:space="preserve">вартість метролог. повірки : </t>
  </si>
  <si>
    <t xml:space="preserve">вартість паспорта : </t>
  </si>
  <si>
    <t>%=</t>
  </si>
  <si>
    <t xml:space="preserve"> Послуги з повірки КЗОВ:</t>
  </si>
  <si>
    <t>15-20</t>
  </si>
  <si>
    <t>25-32</t>
  </si>
  <si>
    <t>80+</t>
  </si>
  <si>
    <t xml:space="preserve">вартість метролог. повірки 1 ЗОВ., грн : </t>
  </si>
  <si>
    <t xml:space="preserve">кількість ЗОВ : </t>
  </si>
  <si>
    <t>Усього по дільниці</t>
  </si>
  <si>
    <t xml:space="preserve">  "Затверджено"</t>
  </si>
  <si>
    <t>"Погоджено"</t>
  </si>
  <si>
    <t xml:space="preserve"> "Затверджено"</t>
  </si>
  <si>
    <t>Заступник міського голови -  
начальник УЖКГ Южненської міської ради</t>
  </si>
  <si>
    <t xml:space="preserve">             Директор КП «Южводоканал»</t>
  </si>
  <si>
    <t>Заступник міського голови -
начальник УЖКГЮжненської міської ради</t>
  </si>
  <si>
    <t>__________________ 20__р.</t>
  </si>
  <si>
    <r>
      <t xml:space="preserve"> </t>
    </r>
    <r>
      <rPr>
        <b/>
        <sz val="12"/>
        <color indexed="9"/>
        <rFont val="Times New Roman"/>
        <family val="1"/>
        <charset val="204"/>
      </rPr>
      <t>Попередній Плановий</t>
    </r>
    <r>
      <rPr>
        <b/>
        <sz val="12"/>
        <rFont val="Times New Roman"/>
        <family val="1"/>
        <charset val="204"/>
      </rPr>
      <t xml:space="preserve"> Розрахунок витрат на утримання мереж зливової каналізації 
КП «Южводоканал» на 2025 рік           </t>
    </r>
  </si>
  <si>
    <t xml:space="preserve">Плановий Помісячний розрахунок витрат на поточне утримання мереж зливової каналізації 
КП «Южводоканал» на 2025 рік           </t>
  </si>
  <si>
    <t>(поточні видатки)</t>
  </si>
  <si>
    <t>КПКВК 1216013  «Забезпечення діяльності водопровідно-каналізаційного господарства»</t>
  </si>
  <si>
    <t>за рахунок бюджетних коштів</t>
  </si>
  <si>
    <t>№ п/п</t>
  </si>
  <si>
    <t>Од. виміру</t>
  </si>
  <si>
    <t xml:space="preserve">Кількість </t>
  </si>
  <si>
    <t>Ціна, грн. за одиницю</t>
  </si>
  <si>
    <t>Разом, грн. на рік</t>
  </si>
  <si>
    <t>Заробітна плата (згідно штатного розпису)</t>
  </si>
  <si>
    <t xml:space="preserve">Заробітна плата </t>
  </si>
  <si>
    <t>Фонд АУП</t>
  </si>
  <si>
    <t>міс</t>
  </si>
  <si>
    <t>ФЗП робітникам</t>
  </si>
  <si>
    <t>Нарахування 22%</t>
  </si>
  <si>
    <t xml:space="preserve">Матеріали та обладнання </t>
  </si>
  <si>
    <t>Витратні матеріали для виконання робіт:</t>
  </si>
  <si>
    <t>Комплектуючі до заміни люків:</t>
  </si>
  <si>
    <t>ПММ для на утримання водостічних мереж:</t>
  </si>
  <si>
    <t>Матеріали для каналопромивочного модулю:</t>
  </si>
  <si>
    <t>Паливо ДТ для каналопромивального модулю</t>
  </si>
  <si>
    <t>л</t>
  </si>
  <si>
    <t>Паливо на роботу автомобіля ГАЗ-53</t>
  </si>
  <si>
    <t>Миючі засоби (згідно додатку)</t>
  </si>
  <si>
    <t>Мило господарське</t>
  </si>
  <si>
    <t>Мило туалетне</t>
  </si>
  <si>
    <t>Порошок пральний</t>
  </si>
  <si>
    <t>Дез. засоби</t>
  </si>
  <si>
    <t>Спецодяг (згідно додатку)</t>
  </si>
  <si>
    <t>3.5</t>
  </si>
  <si>
    <t>Оплата послуг (крім комунальних)</t>
  </si>
  <si>
    <t>Медичний огляд (згідно додатку)</t>
  </si>
  <si>
    <t>Медична комісія (згідно додатку)</t>
  </si>
  <si>
    <t xml:space="preserve">Медична комісія </t>
  </si>
  <si>
    <t>ос.</t>
  </si>
  <si>
    <t>СЕС</t>
  </si>
  <si>
    <t>Послуги навантажувача</t>
  </si>
  <si>
    <t>Вартість роботи навантажувача</t>
  </si>
  <si>
    <t>м/г</t>
  </si>
  <si>
    <t>Витрати дизельного пального на навантажувач</t>
  </si>
  <si>
    <t xml:space="preserve">Вартість роботи автотранспорту для ввівезення мулу на полігон </t>
  </si>
  <si>
    <t>ход</t>
  </si>
  <si>
    <t>Вартість роботи автотранспорту для захоронення</t>
  </si>
  <si>
    <t>тон</t>
  </si>
  <si>
    <t>Оплата послуг комунальних</t>
  </si>
  <si>
    <t>5.1</t>
  </si>
  <si>
    <t>Вода на промивання</t>
  </si>
  <si>
    <t>м³</t>
  </si>
  <si>
    <t>Окремі заходи по реалізації державних (регіональних) програм, не віднесені до заходів розвитку</t>
  </si>
  <si>
    <t>Витрати на навчання з ОП (згідно додатку)</t>
  </si>
  <si>
    <t>Всього на утримання мереж зливової каналізації:</t>
  </si>
  <si>
    <t xml:space="preserve">Проведення моніторінгу якості зливових вод </t>
  </si>
  <si>
    <t xml:space="preserve">од. </t>
  </si>
  <si>
    <t>Екологічний податок</t>
  </si>
  <si>
    <t>Всього витрат:</t>
  </si>
  <si>
    <t xml:space="preserve">           </t>
  </si>
  <si>
    <t>Директор КП “Южводоканал”</t>
  </si>
  <si>
    <t xml:space="preserve">                            </t>
  </si>
  <si>
    <t>Лист металевий 4 мм (Сплави)</t>
  </si>
  <si>
    <t>м2</t>
  </si>
  <si>
    <t>Круг відрізний 230</t>
  </si>
  <si>
    <t>Круг відрізний 125</t>
  </si>
  <si>
    <t>Перемикач навантаження 250А 3п</t>
  </si>
  <si>
    <t>Розетка 1*Z CR-1608 внут.испол</t>
  </si>
  <si>
    <t>Розетка 1*Z керам. В/М бел.наруж.испол.</t>
  </si>
  <si>
    <t>Вилка 16А з заземленням</t>
  </si>
  <si>
    <t>Частини електророзподільної чи контрольної апаратури (корпуси, в зборі)</t>
  </si>
  <si>
    <t>Лампа світлодіодна Т8 9 W</t>
  </si>
  <si>
    <t>Лампа світлодіодна Т8 18 W</t>
  </si>
  <si>
    <t>Лампи LED 10W</t>
  </si>
  <si>
    <t>Лампи LED 12W</t>
  </si>
  <si>
    <t xml:space="preserve">Ізолента </t>
  </si>
  <si>
    <t xml:space="preserve">Трубка термоусадочна </t>
  </si>
  <si>
    <t>Паяльная станция LUKEY 852D+</t>
  </si>
  <si>
    <t>Змішувач</t>
  </si>
  <si>
    <t>Подрібнювач гілок, 220 В. 2,5 кВт</t>
  </si>
  <si>
    <t>Кутова шліфмашина 125 1050Вт</t>
  </si>
  <si>
    <t>Перфоратор с бурами 1500Вт</t>
  </si>
  <si>
    <t xml:space="preserve">Цемент </t>
  </si>
  <si>
    <t>міш</t>
  </si>
  <si>
    <t>Муфта д32</t>
  </si>
  <si>
    <t>Електроди АНО 3</t>
  </si>
  <si>
    <t>Електроди АНО 4</t>
  </si>
  <si>
    <t>Припой ПОС-63, 2 мм</t>
  </si>
  <si>
    <t>Провод  ВВГ-Пнг 2*1,0</t>
  </si>
  <si>
    <t>Провод ВВП 3*2,5 мм</t>
  </si>
  <si>
    <t>Провід ВВП 4*4,0 мм</t>
  </si>
  <si>
    <t>Хомут  каб.150*3</t>
  </si>
  <si>
    <t>уп</t>
  </si>
  <si>
    <t>Хомут  каб.200*4</t>
  </si>
  <si>
    <t xml:space="preserve">кабель гнучкий зварювальний КГ 1*35 </t>
  </si>
  <si>
    <t>Підшипники електродвигуна вентилятора</t>
  </si>
  <si>
    <t>Підшипник  6309</t>
  </si>
  <si>
    <t>Торцеві ущільнення до насосів м 212.№2085Q2 Q2VGF</t>
  </si>
  <si>
    <t>Полотно ножеве</t>
  </si>
  <si>
    <t>Кусачки торцеві</t>
  </si>
  <si>
    <t>Круглогубці</t>
  </si>
  <si>
    <t xml:space="preserve">Плоскогубці </t>
  </si>
  <si>
    <t>Ключ газовий №1</t>
  </si>
  <si>
    <t>Ключ рожковий - накидний 130</t>
  </si>
  <si>
    <t xml:space="preserve">Ключ гайковий накидний </t>
  </si>
  <si>
    <t xml:space="preserve">Ключ трубний ричажний </t>
  </si>
  <si>
    <t>Ключ трубний (газовий)</t>
  </si>
  <si>
    <t>Клещи токовимірювальні М266</t>
  </si>
  <si>
    <t xml:space="preserve">Щітка по металу </t>
  </si>
  <si>
    <t>Набор гаєчних ключів 8-24мм</t>
  </si>
  <si>
    <t>комп</t>
  </si>
  <si>
    <t>Набір електричного інструменту  4 в 1</t>
  </si>
  <si>
    <t>ключ сантехнічний Крокодил"</t>
  </si>
  <si>
    <t>бур SDS *6 -14 мм довжина 150мм</t>
  </si>
  <si>
    <t>кабелеріз механічний ручний ННD-95J</t>
  </si>
  <si>
    <t>Фарба ПФ-115 чорного кольору</t>
  </si>
  <si>
    <t>банка</t>
  </si>
  <si>
    <t>Фарба ПФ-115 синього кольору</t>
  </si>
  <si>
    <t>Фарба фасадна акрилова</t>
  </si>
  <si>
    <t xml:space="preserve">Розчинник </t>
  </si>
  <si>
    <t>зошит 96 аркушів</t>
  </si>
  <si>
    <t>ручка кулькова</t>
  </si>
  <si>
    <t>олівець чорнографітовий без гумки</t>
  </si>
  <si>
    <t>папір офісний А4, 500 арк.</t>
  </si>
  <si>
    <t>пач</t>
  </si>
  <si>
    <t xml:space="preserve">Лопати </t>
  </si>
  <si>
    <t>Держак для лопат</t>
  </si>
  <si>
    <t>Граблі</t>
  </si>
  <si>
    <t>Мітла</t>
  </si>
  <si>
    <t>Відро</t>
  </si>
  <si>
    <t>Шланг поливальний у бухті поліетеленовий</t>
  </si>
  <si>
    <t xml:space="preserve">Пісок </t>
  </si>
  <si>
    <t>т</t>
  </si>
  <si>
    <t>Сальник 75*100*10</t>
  </si>
  <si>
    <t>Сальник 80*100*8</t>
  </si>
  <si>
    <t>Антифриз G12+(червоний)</t>
  </si>
  <si>
    <t>розподільча коробка герметична 85*85*40</t>
  </si>
  <si>
    <t>Клемники з'єднування 4 А ,10А, 6 А</t>
  </si>
  <si>
    <t>Клемники з'єднування 25 А ,32 А, 40 А</t>
  </si>
  <si>
    <t>Розеточний блок 3 гнезда с зазем.</t>
  </si>
  <si>
    <t xml:space="preserve">клема зєднувальна  2 pin WAGO </t>
  </si>
  <si>
    <t xml:space="preserve">клема зєднувальна  3 pin WAGO </t>
  </si>
  <si>
    <t xml:space="preserve">клема зєднувальна  4 pin WAGO </t>
  </si>
  <si>
    <t>клема зєднувальна  6 отворів</t>
  </si>
  <si>
    <t xml:space="preserve">наконечник втулковий круглий із ізоляцією НВ 1/10 </t>
  </si>
  <si>
    <t xml:space="preserve">наконечник втулковий круглий із ізоляцією НВ 1,5/10 </t>
  </si>
  <si>
    <t>наконечник втулковий круглий із ізоляцією НВ 2,5/8</t>
  </si>
  <si>
    <t>наконечник втулковий круглий із ізоляцією НВ 2,5/10</t>
  </si>
  <si>
    <t>клема кінцева маршет 2,5(5*1)</t>
  </si>
  <si>
    <t>клема кінцева маршет 4(5*1)</t>
  </si>
  <si>
    <t>клема кінцева маршет 6(5*1)</t>
  </si>
  <si>
    <t>клема кінцева маршет 10(5*1)</t>
  </si>
  <si>
    <t>клема кінцева маршет 16(5*1)</t>
  </si>
  <si>
    <t xml:space="preserve">Світильники для щитов </t>
  </si>
  <si>
    <t xml:space="preserve">Амперметри (Прилади для вимірювання величин) </t>
  </si>
  <si>
    <t xml:space="preserve">гофра для кабелю 10 </t>
  </si>
  <si>
    <t>гофра для кабелю 16</t>
  </si>
  <si>
    <t>Підшипник  6312</t>
  </si>
  <si>
    <t>Підшипник  6314</t>
  </si>
  <si>
    <t>Підшипник  6316</t>
  </si>
  <si>
    <t>Підшипник  7318</t>
  </si>
  <si>
    <t>Підшипник  22212EW33</t>
  </si>
  <si>
    <t>Ножовка по дереву</t>
  </si>
  <si>
    <t>Зубило</t>
  </si>
  <si>
    <t>Шпилька 22*1000</t>
  </si>
  <si>
    <t>Гайка 22</t>
  </si>
  <si>
    <t xml:space="preserve">Антикорозійна фарба по металу </t>
  </si>
  <si>
    <t>зошит 48 аркушів</t>
  </si>
  <si>
    <t xml:space="preserve">Щебень </t>
  </si>
  <si>
    <t>Круг шліфовальний</t>
  </si>
  <si>
    <t xml:space="preserve">Круг абразивний </t>
  </si>
  <si>
    <t>Круг зачисний Ду 125</t>
  </si>
  <si>
    <t>Круг зачисний Ду 230</t>
  </si>
  <si>
    <t>Скло (на авто +)</t>
  </si>
  <si>
    <t>Льон сантехнічний (пакля)</t>
  </si>
  <si>
    <t xml:space="preserve">Рідке скло </t>
  </si>
  <si>
    <t>Ліхтар</t>
  </si>
  <si>
    <t xml:space="preserve">Ліхтар акумуляторний </t>
  </si>
  <si>
    <t xml:space="preserve">Відро оцинковане </t>
  </si>
  <si>
    <t>Канат поліпропіленовий ЕВА 14 ММ Х 100 М</t>
  </si>
  <si>
    <t xml:space="preserve">Паста герметик </t>
  </si>
  <si>
    <t>Засувка з обгумованим клином Ду 40</t>
  </si>
  <si>
    <t>Засувка з обгумованим клином Ду 50</t>
  </si>
  <si>
    <t>Засувка з обгумованим клином Ду 80</t>
  </si>
  <si>
    <t>Засувка з обгумованим клином Ду 100</t>
  </si>
  <si>
    <t>Засувка з обгумованим клином Ду 150</t>
  </si>
  <si>
    <t>Муфта зєднувальна ПЕ-ПЕ Unidelta Ду 50</t>
  </si>
  <si>
    <t>Муфта зєднувальна ПЕ-ПЕ Unidelta Ду 63</t>
  </si>
  <si>
    <t>Муфта зєднувальна ПЕ-ПЕ Unidelta Ду 75</t>
  </si>
  <si>
    <t>Муфта зєднувальна ПЕ-ПЕ Unidelta Ду 90</t>
  </si>
  <si>
    <t>Каналізаційна  установка NPO Wclift 560/3F</t>
  </si>
  <si>
    <t>Перфоратор 2000Вт</t>
  </si>
  <si>
    <t>Кутова шліфувальна машина Ду 125</t>
  </si>
  <si>
    <t>Цегла</t>
  </si>
  <si>
    <t xml:space="preserve">Плита перекриття </t>
  </si>
  <si>
    <t>Фланці з'єднувальні Ду100</t>
  </si>
  <si>
    <t>Фланці з'єднувальні Ду400</t>
  </si>
  <si>
    <t>Фланець ДУ-150</t>
  </si>
  <si>
    <t>Труба стальна водопровідна Ду 108</t>
  </si>
  <si>
    <t>Труба стальна водопровідна Ду 400 8 мм</t>
  </si>
  <si>
    <t>Кут 50</t>
  </si>
  <si>
    <t>Кільця 1000мм</t>
  </si>
  <si>
    <t>Труба ПВХ водопровідна 110мм</t>
  </si>
  <si>
    <t>Хомут врізний 110*1/2</t>
  </si>
  <si>
    <t>Хомут врізний 110*3/4</t>
  </si>
  <si>
    <t>Хомут врізний 110*1</t>
  </si>
  <si>
    <t>Муфта ПВХ водопровідна 110мм</t>
  </si>
  <si>
    <t>Муфта -фланець ДУ-500</t>
  </si>
  <si>
    <t>Муфта -фланець ДУ-150</t>
  </si>
  <si>
    <t>Лист оцинкований</t>
  </si>
  <si>
    <t>лист</t>
  </si>
  <si>
    <t>Стрічка сигнальна 75мм,100 м</t>
  </si>
  <si>
    <t>к</t>
  </si>
  <si>
    <t>Люк каналізаційнмй з кришкою Л</t>
  </si>
  <si>
    <t>Люк каналізаційнмй з кришкою Т</t>
  </si>
  <si>
    <t>Пожежні гідранти H 0,5м</t>
  </si>
  <si>
    <t>Пожежні гідранти H 1м</t>
  </si>
  <si>
    <t>Пожежні гідранти H 1,25м</t>
  </si>
  <si>
    <t>Пожежні гідранти H 1,5м</t>
  </si>
  <si>
    <t xml:space="preserve">Кувалда 2 кг. </t>
  </si>
  <si>
    <t>Молоток каменяра</t>
  </si>
  <si>
    <t>Лом малий 0,5 м</t>
  </si>
  <si>
    <t>Кисть малярська середня</t>
  </si>
  <si>
    <t>Кельма</t>
  </si>
  <si>
    <t>Черпак штукатурний малий</t>
  </si>
  <si>
    <t>Шпатель штукатурний</t>
  </si>
  <si>
    <t>Лопати мала саперна складна під кутом 900</t>
  </si>
  <si>
    <t>Лопата совкова</t>
  </si>
  <si>
    <t>Лопата штикова</t>
  </si>
  <si>
    <t xml:space="preserve">Ніж складний </t>
  </si>
  <si>
    <t xml:space="preserve">Плоскогубці двокомпонентні </t>
  </si>
  <si>
    <t xml:space="preserve">Сверла </t>
  </si>
  <si>
    <t>Ключ розвідний</t>
  </si>
  <si>
    <t xml:space="preserve">Кісточки малярні </t>
  </si>
  <si>
    <t>Ключ для зєднання із поліпропілена 16-75</t>
  </si>
  <si>
    <t>Ключ для зєднання із поліпропілена  63-110</t>
  </si>
  <si>
    <t>Шпилька резьбова 16*1000</t>
  </si>
  <si>
    <t>Шпилька резьбова 20*1000</t>
  </si>
  <si>
    <t>Гайка 16</t>
  </si>
  <si>
    <t>Гайка 20</t>
  </si>
  <si>
    <t xml:space="preserve">Цвяхи </t>
  </si>
  <si>
    <t>Шпилька М8</t>
  </si>
  <si>
    <t>Шпилька М10</t>
  </si>
  <si>
    <t>Шпилька М12</t>
  </si>
  <si>
    <t>Шпилька М14</t>
  </si>
  <si>
    <t>Шпилька М18</t>
  </si>
  <si>
    <t>Гайка М8</t>
  </si>
  <si>
    <t>Гайка М10</t>
  </si>
  <si>
    <t>Гайка М12</t>
  </si>
  <si>
    <t>Гайка М14</t>
  </si>
  <si>
    <t>Гайка М18</t>
  </si>
  <si>
    <t xml:space="preserve">Ящик для інструменту </t>
  </si>
  <si>
    <t xml:space="preserve">Грунт акриловий </t>
  </si>
  <si>
    <t xml:space="preserve"> Дохід із місцевого бюджету за цільовими програмами, зокрема: «Програма реформування і розвитку житлово-комунального господарства Южненської міської територіальної громади на 2020-2024 рок»
КПКВК 1216013, на поточне утримання мереж зливової каналізації, проведення моніторингу якості зливових вод,  сплата екологічного податку, поточний ремонт  мереж зливової каналізаціі, проведення технічної інвентарицації та виготовлення технічних паспортів мереж зливової каналізації
</t>
  </si>
  <si>
    <t>Витрати за рахунок доходів із місцевого бюджету за цільовими програмами   «Програма реформування і розвитку житлово-комунального господарства Южненської міської територіальної громади на 2020-2024 рок»
КПКВК 1216013, на поточне утримання мереж зливової каналізації , проведення моніторингу якості зливових вод, сплата екологічного податку,поточний ремонт  мереж зливової каналізаціі, проведення технічної інвентарицації та виготовлення технічних паспортів мереж зливової каналізації,  зокрема:</t>
  </si>
  <si>
    <t>Керуючий справами виконавчого комітету</t>
  </si>
  <si>
    <t>Владислав ТЕРЕЩЕНКО</t>
  </si>
  <si>
    <t>Додаток                                                                     до рішення виконавчого комітету                  Южненської міської ради                                                від 29.10.2024 №  1956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</si>
</sst>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0.000"/>
    <numFmt numFmtId="165" formatCode="0.00000"/>
    <numFmt numFmtId="166" formatCode="0.0"/>
    <numFmt numFmtId="167" formatCode="0.0000"/>
    <numFmt numFmtId="168" formatCode="#,##0.000"/>
    <numFmt numFmtId="169" formatCode="#,##0.0000"/>
    <numFmt numFmtId="170" formatCode="0.000000"/>
    <numFmt numFmtId="171" formatCode="0.0000000"/>
    <numFmt numFmtId="172" formatCode="#,##0\ [$грн.-422]"/>
    <numFmt numFmtId="173" formatCode="#,##0.0\ [$грн.-422]"/>
    <numFmt numFmtId="174" formatCode="#,##0.00\ [$грн.-422]"/>
  </numFmts>
  <fonts count="299" x14ac:knownFonts="1">
    <font>
      <sz val="11"/>
      <color theme="1"/>
      <name val="Calibri"/>
      <family val="2"/>
      <scheme val="minor"/>
    </font>
    <font>
      <b/>
      <sz val="11"/>
      <color theme="1"/>
      <name val="Calibri"/>
      <family val="2"/>
      <charset val="204"/>
      <scheme val="minor"/>
    </font>
    <font>
      <sz val="10"/>
      <color indexed="10"/>
      <name val="Times New Roman"/>
      <family val="1"/>
      <charset val="204"/>
    </font>
    <font>
      <sz val="10"/>
      <color rgb="FFFF0000"/>
      <name val="Times New Roman"/>
      <family val="1"/>
      <charset val="204"/>
    </font>
    <font>
      <sz val="10"/>
      <color indexed="9"/>
      <name val="Times New Roman"/>
      <family val="1"/>
      <charset val="204"/>
    </font>
    <font>
      <sz val="12"/>
      <color theme="1"/>
      <name val="Times New Roman"/>
      <family val="1"/>
      <charset val="204"/>
    </font>
    <font>
      <sz val="12"/>
      <color rgb="FFFF0000"/>
      <name val="Times New Roman"/>
      <family val="1"/>
      <charset val="204"/>
    </font>
    <font>
      <sz val="12"/>
      <color indexed="10"/>
      <name val="Times New Roman"/>
      <family val="1"/>
      <charset val="204"/>
    </font>
    <font>
      <sz val="10"/>
      <name val="Times New Roman"/>
      <family val="1"/>
      <charset val="204"/>
    </font>
    <font>
      <sz val="11"/>
      <color theme="1"/>
      <name val="Times New Roman"/>
      <family val="1"/>
      <charset val="204"/>
    </font>
    <font>
      <sz val="12"/>
      <name val="Times New Roman"/>
      <family val="1"/>
      <charset val="204"/>
    </font>
    <font>
      <sz val="12"/>
      <color indexed="9"/>
      <name val="Times New Roman"/>
      <family val="1"/>
      <charset val="204"/>
    </font>
    <font>
      <b/>
      <i/>
      <sz val="12"/>
      <color theme="1"/>
      <name val="Times New Roman"/>
      <family val="1"/>
      <charset val="204"/>
    </font>
    <font>
      <b/>
      <u/>
      <sz val="12"/>
      <color indexed="10"/>
      <name val="Times New Roman"/>
      <family val="1"/>
      <charset val="204"/>
    </font>
    <font>
      <b/>
      <sz val="12"/>
      <color indexed="9"/>
      <name val="Times New Roman"/>
      <family val="1"/>
      <charset val="204"/>
    </font>
    <font>
      <sz val="8"/>
      <color indexed="10"/>
      <name val="Times New Roman"/>
      <family val="1"/>
      <charset val="204"/>
    </font>
    <font>
      <sz val="10"/>
      <color indexed="8"/>
      <name val="Times New Roman"/>
      <family val="1"/>
      <charset val="204"/>
    </font>
    <font>
      <sz val="8"/>
      <color rgb="FFFF0000"/>
      <name val="Times New Roman"/>
      <family val="1"/>
      <charset val="204"/>
    </font>
    <font>
      <b/>
      <u/>
      <sz val="12"/>
      <name val="Times New Roman"/>
      <family val="1"/>
      <charset val="204"/>
    </font>
    <font>
      <sz val="11"/>
      <color rgb="FF292B2C"/>
      <name val="Consolas"/>
      <family val="3"/>
      <charset val="204"/>
    </font>
    <font>
      <b/>
      <i/>
      <sz val="14"/>
      <color indexed="8"/>
      <name val="Times New Roman"/>
      <family val="1"/>
      <charset val="204"/>
    </font>
    <font>
      <b/>
      <i/>
      <u/>
      <sz val="12"/>
      <color indexed="8"/>
      <name val="Times New Roman"/>
      <family val="1"/>
      <charset val="204"/>
    </font>
    <font>
      <sz val="9"/>
      <color indexed="8"/>
      <name val="Times New Roman"/>
      <family val="1"/>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sz val="11"/>
      <color rgb="FFFF0000"/>
      <name val="Times New Roman"/>
      <family val="1"/>
      <charset val="204"/>
    </font>
    <font>
      <b/>
      <sz val="10"/>
      <color indexed="8"/>
      <name val="Times New Roman"/>
      <family val="1"/>
      <charset val="204"/>
    </font>
    <font>
      <sz val="11"/>
      <color indexed="10"/>
      <name val="Times New Roman"/>
      <family val="1"/>
      <charset val="204"/>
    </font>
    <font>
      <b/>
      <i/>
      <sz val="10"/>
      <color indexed="8"/>
      <name val="Times New Roman"/>
      <family val="1"/>
      <charset val="204"/>
    </font>
    <font>
      <b/>
      <sz val="11"/>
      <color indexed="8"/>
      <name val="Times New Roman"/>
      <family val="1"/>
      <charset val="204"/>
    </font>
    <font>
      <b/>
      <sz val="11"/>
      <color rgb="FFFF0000"/>
      <name val="Times New Roman"/>
      <family val="1"/>
      <charset val="204"/>
    </font>
    <font>
      <sz val="11"/>
      <name val="Times New Roman Cyr"/>
      <family val="1"/>
      <charset val="204"/>
    </font>
    <font>
      <b/>
      <i/>
      <sz val="10"/>
      <color rgb="FFFF0000"/>
      <name val="Times New Roman"/>
      <family val="1"/>
      <charset val="204"/>
    </font>
    <font>
      <b/>
      <i/>
      <sz val="10"/>
      <color indexed="10"/>
      <name val="Times New Roman"/>
      <family val="1"/>
      <charset val="204"/>
    </font>
    <font>
      <sz val="10"/>
      <name val="Times New Roman Cyr"/>
      <charset val="204"/>
    </font>
    <font>
      <b/>
      <i/>
      <sz val="10"/>
      <color indexed="9"/>
      <name val="Times New Roman"/>
      <family val="1"/>
      <charset val="204"/>
    </font>
    <font>
      <i/>
      <sz val="10"/>
      <color indexed="8"/>
      <name val="Times New Roman"/>
      <family val="1"/>
      <charset val="204"/>
    </font>
    <font>
      <sz val="9"/>
      <color indexed="10"/>
      <name val="Times New Roman"/>
      <family val="1"/>
      <charset val="204"/>
    </font>
    <font>
      <i/>
      <sz val="10"/>
      <color rgb="FFFF0000"/>
      <name val="Times New Roman"/>
      <family val="1"/>
      <charset val="204"/>
    </font>
    <font>
      <i/>
      <sz val="9"/>
      <color indexed="8"/>
      <name val="Times New Roman"/>
      <family val="1"/>
      <charset val="204"/>
    </font>
    <font>
      <i/>
      <sz val="9"/>
      <color indexed="10"/>
      <name val="Times New Roman"/>
      <family val="1"/>
      <charset val="204"/>
    </font>
    <font>
      <i/>
      <sz val="10"/>
      <name val="Times New Roman Cyr"/>
      <charset val="204"/>
    </font>
    <font>
      <i/>
      <sz val="10"/>
      <color indexed="9"/>
      <name val="Times New Roman"/>
      <family val="1"/>
      <charset val="204"/>
    </font>
    <font>
      <b/>
      <sz val="10"/>
      <color rgb="FFFF0000"/>
      <name val="Times New Roman"/>
      <family val="1"/>
      <charset val="204"/>
    </font>
    <font>
      <b/>
      <sz val="9"/>
      <color indexed="8"/>
      <name val="Times New Roman"/>
      <family val="1"/>
      <charset val="204"/>
    </font>
    <font>
      <b/>
      <sz val="9"/>
      <color indexed="10"/>
      <name val="Times New Roman"/>
      <family val="1"/>
      <charset val="204"/>
    </font>
    <font>
      <b/>
      <sz val="10"/>
      <color indexed="9"/>
      <name val="Times New Roman"/>
      <family val="1"/>
      <charset val="204"/>
    </font>
    <font>
      <i/>
      <sz val="10"/>
      <name val="Times New Roman"/>
      <family val="1"/>
      <charset val="204"/>
    </font>
    <font>
      <b/>
      <i/>
      <sz val="9"/>
      <color indexed="8"/>
      <name val="Times New Roman"/>
      <family val="1"/>
      <charset val="204"/>
    </font>
    <font>
      <b/>
      <sz val="12"/>
      <color theme="0"/>
      <name val="Times New Roman"/>
      <family val="1"/>
      <charset val="204"/>
    </font>
    <font>
      <b/>
      <sz val="12"/>
      <color rgb="FFFF0000"/>
      <name val="Times New Roman"/>
      <family val="1"/>
      <charset val="204"/>
    </font>
    <font>
      <b/>
      <sz val="10"/>
      <name val="Times New Roman"/>
      <family val="1"/>
      <charset val="204"/>
    </font>
    <font>
      <b/>
      <sz val="14"/>
      <color rgb="FFFF0000"/>
      <name val="Times New Roman"/>
      <family val="1"/>
      <charset val="204"/>
    </font>
    <font>
      <b/>
      <sz val="14"/>
      <color theme="0"/>
      <name val="Times New Roman"/>
      <family val="1"/>
      <charset val="204"/>
    </font>
    <font>
      <b/>
      <sz val="9"/>
      <color theme="0"/>
      <name val="Times New Roman"/>
      <family val="1"/>
      <charset val="204"/>
    </font>
    <font>
      <b/>
      <sz val="9"/>
      <color theme="9" tint="-0.249977111117893"/>
      <name val="Times New Roman"/>
      <family val="1"/>
      <charset val="204"/>
    </font>
    <font>
      <sz val="10"/>
      <color theme="0"/>
      <name val="Times New Roman Cyr"/>
      <charset val="204"/>
    </font>
    <font>
      <i/>
      <sz val="9"/>
      <color rgb="FFFF0000"/>
      <name val="Times New Roman"/>
      <family val="1"/>
      <charset val="204"/>
    </font>
    <font>
      <b/>
      <i/>
      <sz val="8"/>
      <color rgb="FFFF0000"/>
      <name val="Times New Roman"/>
      <family val="1"/>
      <charset val="204"/>
    </font>
    <font>
      <i/>
      <sz val="10"/>
      <color indexed="10"/>
      <name val="Times New Roman"/>
      <family val="1"/>
      <charset val="204"/>
    </font>
    <font>
      <sz val="9"/>
      <color theme="0"/>
      <name val="Times New Roman"/>
      <family val="1"/>
      <charset val="204"/>
    </font>
    <font>
      <sz val="9"/>
      <color rgb="FFFF0000"/>
      <name val="Times New Roman"/>
      <family val="1"/>
      <charset val="204"/>
    </font>
    <font>
      <sz val="9"/>
      <name val="Times New Roman"/>
      <family val="1"/>
      <charset val="204"/>
    </font>
    <font>
      <b/>
      <sz val="10"/>
      <color indexed="10"/>
      <name val="Times New Roman"/>
      <family val="1"/>
      <charset val="204"/>
    </font>
    <font>
      <b/>
      <sz val="10"/>
      <name val="Times New Roman Cyr"/>
      <charset val="204"/>
    </font>
    <font>
      <b/>
      <sz val="9"/>
      <color rgb="FFFF0000"/>
      <name val="Times New Roman"/>
      <family val="1"/>
      <charset val="204"/>
    </font>
    <font>
      <b/>
      <sz val="9"/>
      <color indexed="9"/>
      <name val="Times New Roman"/>
      <family val="1"/>
      <charset val="204"/>
    </font>
    <font>
      <sz val="10"/>
      <color rgb="FFFF0000"/>
      <name val="Times New Roman Cyr"/>
      <charset val="204"/>
    </font>
    <font>
      <b/>
      <sz val="12"/>
      <name val="Times New Roman"/>
      <family val="1"/>
      <charset val="204"/>
    </font>
    <font>
      <b/>
      <sz val="12"/>
      <name val="Calibri"/>
      <family val="2"/>
      <charset val="204"/>
    </font>
    <font>
      <sz val="10"/>
      <name val="Arial Cyr"/>
      <charset val="204"/>
    </font>
    <font>
      <sz val="11"/>
      <name val="Times New Roman"/>
      <family val="1"/>
      <charset val="204"/>
    </font>
    <font>
      <sz val="16"/>
      <color indexed="8"/>
      <name val="Times New Roman"/>
      <family val="1"/>
      <charset val="204"/>
    </font>
    <font>
      <sz val="16"/>
      <name val="Times New Roman"/>
      <family val="1"/>
      <charset val="204"/>
    </font>
    <font>
      <sz val="8"/>
      <name val="Times New Roman"/>
      <family val="1"/>
      <charset val="204"/>
    </font>
    <font>
      <sz val="12"/>
      <color indexed="10"/>
      <name val="Calibri"/>
      <family val="2"/>
      <charset val="204"/>
    </font>
    <font>
      <b/>
      <i/>
      <sz val="10"/>
      <color indexed="61"/>
      <name val="Times New Roman"/>
      <family val="1"/>
      <charset val="204"/>
    </font>
    <font>
      <b/>
      <sz val="11"/>
      <name val="Times New Roman"/>
      <family val="1"/>
      <charset val="204"/>
    </font>
    <font>
      <sz val="11"/>
      <color theme="0"/>
      <name val="Times New Roman"/>
      <family val="1"/>
      <charset val="204"/>
    </font>
    <font>
      <b/>
      <sz val="11"/>
      <color rgb="FF7030A0"/>
      <name val="Times New Roman"/>
      <family val="1"/>
      <charset val="204"/>
    </font>
    <font>
      <b/>
      <sz val="10"/>
      <color rgb="FF7030A0"/>
      <name val="Times New Roman"/>
      <family val="1"/>
      <charset val="204"/>
    </font>
    <font>
      <sz val="11"/>
      <color rgb="FF7030A0"/>
      <name val="Times New Roman"/>
      <family val="1"/>
      <charset val="204"/>
    </font>
    <font>
      <b/>
      <i/>
      <sz val="11"/>
      <name val="Times New Roman"/>
      <family val="1"/>
      <charset val="204"/>
    </font>
    <font>
      <b/>
      <sz val="11"/>
      <color indexed="10"/>
      <name val="Times New Roman"/>
      <family val="1"/>
      <charset val="204"/>
    </font>
    <font>
      <b/>
      <sz val="13"/>
      <name val="Times New Roman"/>
      <family val="1"/>
      <charset val="204"/>
    </font>
    <font>
      <sz val="13"/>
      <name val="Times New Roman"/>
      <family val="1"/>
      <charset val="204"/>
    </font>
    <font>
      <b/>
      <i/>
      <sz val="13"/>
      <name val="Times New Roman"/>
      <family val="1"/>
      <charset val="204"/>
    </font>
    <font>
      <b/>
      <i/>
      <sz val="10"/>
      <name val="Times New Roman"/>
      <family val="1"/>
      <charset val="204"/>
    </font>
    <font>
      <sz val="10"/>
      <color theme="0"/>
      <name val="Times New Roman"/>
      <family val="1"/>
      <charset val="204"/>
    </font>
    <font>
      <b/>
      <i/>
      <sz val="12"/>
      <name val="Times New Roman"/>
      <family val="1"/>
      <charset val="204"/>
    </font>
    <font>
      <b/>
      <sz val="11"/>
      <color theme="0"/>
      <name val="Times New Roman"/>
      <family val="1"/>
      <charset val="204"/>
    </font>
    <font>
      <b/>
      <sz val="11"/>
      <color theme="9" tint="-0.249977111117893"/>
      <name val="Times New Roman"/>
      <family val="1"/>
      <charset val="204"/>
    </font>
    <font>
      <b/>
      <sz val="9"/>
      <name val="Times New Roman"/>
      <family val="1"/>
      <charset val="204"/>
    </font>
    <font>
      <sz val="10"/>
      <color rgb="FF0070C0"/>
      <name val="Times New Roman"/>
      <family val="1"/>
      <charset val="204"/>
    </font>
    <font>
      <sz val="10.5"/>
      <name val="Times New Roman"/>
      <family val="1"/>
      <charset val="204"/>
    </font>
    <font>
      <b/>
      <sz val="16"/>
      <color indexed="8"/>
      <name val="Times New Roman"/>
      <family val="1"/>
      <charset val="204"/>
    </font>
    <font>
      <u/>
      <sz val="12"/>
      <name val="Times New Roman"/>
      <family val="1"/>
      <charset val="204"/>
    </font>
    <font>
      <b/>
      <sz val="16"/>
      <name val="Times New Roman"/>
      <family val="1"/>
      <charset val="204"/>
    </font>
    <font>
      <sz val="14"/>
      <name val="Times New Roman"/>
      <family val="1"/>
      <charset val="204"/>
    </font>
    <font>
      <sz val="14"/>
      <color indexed="8"/>
      <name val="Times New Roman"/>
      <family val="1"/>
      <charset val="204"/>
    </font>
    <font>
      <u/>
      <sz val="14"/>
      <name val="Times New Roman"/>
      <family val="1"/>
      <charset val="204"/>
    </font>
    <font>
      <b/>
      <u/>
      <sz val="14"/>
      <name val="Times New Roman"/>
      <family val="1"/>
      <charset val="204"/>
    </font>
    <font>
      <sz val="14"/>
      <color theme="0"/>
      <name val="Times New Roman"/>
      <family val="1"/>
      <charset val="204"/>
    </font>
    <font>
      <sz val="14"/>
      <color rgb="FFFF0000"/>
      <name val="Times New Roman"/>
      <family val="1"/>
      <charset val="204"/>
    </font>
    <font>
      <sz val="12"/>
      <color theme="0"/>
      <name val="Times New Roman"/>
      <family val="1"/>
      <charset val="204"/>
    </font>
    <font>
      <b/>
      <i/>
      <sz val="14"/>
      <name val="Times New Roman"/>
      <family val="1"/>
      <charset val="204"/>
    </font>
    <font>
      <b/>
      <sz val="14"/>
      <name val="Times New Roman"/>
      <family val="1"/>
      <charset val="204"/>
    </font>
    <font>
      <b/>
      <i/>
      <sz val="14"/>
      <color rgb="FFFF0000"/>
      <name val="Times New Roman"/>
      <family val="1"/>
      <charset val="204"/>
    </font>
    <font>
      <b/>
      <i/>
      <sz val="9"/>
      <color rgb="FFFF0000"/>
      <name val="Times New Roman"/>
      <family val="1"/>
      <charset val="204"/>
    </font>
    <font>
      <b/>
      <sz val="8"/>
      <name val="Times New Roman"/>
      <family val="1"/>
      <charset val="204"/>
    </font>
    <font>
      <b/>
      <i/>
      <sz val="9"/>
      <name val="Times New Roman"/>
      <family val="1"/>
      <charset val="204"/>
    </font>
    <font>
      <i/>
      <sz val="8"/>
      <color rgb="FF0070C0"/>
      <name val="Times New Roman"/>
      <family val="1"/>
      <charset val="204"/>
    </font>
    <font>
      <sz val="8"/>
      <color rgb="FF0070C0"/>
      <name val="Times New Roman"/>
      <family val="1"/>
      <charset val="204"/>
    </font>
    <font>
      <b/>
      <i/>
      <sz val="9"/>
      <color rgb="FF0070C0"/>
      <name val="Times New Roman"/>
      <family val="1"/>
      <charset val="204"/>
    </font>
    <font>
      <b/>
      <sz val="10"/>
      <color theme="0"/>
      <name val="Times New Roman"/>
      <family val="1"/>
      <charset val="204"/>
    </font>
    <font>
      <b/>
      <i/>
      <sz val="10"/>
      <color theme="0"/>
      <name val="Times New Roman"/>
      <family val="1"/>
      <charset val="204"/>
    </font>
    <font>
      <sz val="10"/>
      <color indexed="61"/>
      <name val="Times New Roman"/>
      <family val="1"/>
      <charset val="204"/>
    </font>
    <font>
      <sz val="8"/>
      <color indexed="9"/>
      <name val="Times New Roman"/>
      <family val="1"/>
      <charset val="204"/>
    </font>
    <font>
      <sz val="9"/>
      <color indexed="9"/>
      <name val="Times New Roman"/>
      <family val="1"/>
      <charset val="204"/>
    </font>
    <font>
      <b/>
      <sz val="14"/>
      <color indexed="8"/>
      <name val="Times New Roman"/>
      <family val="1"/>
      <charset val="204"/>
    </font>
    <font>
      <b/>
      <sz val="8"/>
      <color indexed="8"/>
      <name val="Times New Roman"/>
      <family val="1"/>
      <charset val="204"/>
    </font>
    <font>
      <sz val="8"/>
      <color indexed="8"/>
      <name val="Times New Roman"/>
      <family val="1"/>
      <charset val="204"/>
    </font>
    <font>
      <b/>
      <i/>
      <sz val="8"/>
      <color indexed="8"/>
      <name val="Times New Roman"/>
      <family val="1"/>
      <charset val="204"/>
    </font>
    <font>
      <b/>
      <i/>
      <sz val="8"/>
      <color indexed="9"/>
      <name val="Times New Roman"/>
      <family val="1"/>
      <charset val="204"/>
    </font>
    <font>
      <b/>
      <i/>
      <sz val="8"/>
      <name val="Times New Roman"/>
      <family val="1"/>
      <charset val="204"/>
    </font>
    <font>
      <b/>
      <i/>
      <sz val="8"/>
      <color indexed="10"/>
      <name val="Times New Roman"/>
      <family val="1"/>
      <charset val="204"/>
    </font>
    <font>
      <b/>
      <sz val="9"/>
      <color indexed="12"/>
      <name val="Times New Roman"/>
      <family val="1"/>
      <charset val="204"/>
    </font>
    <font>
      <i/>
      <sz val="8"/>
      <color indexed="8"/>
      <name val="Times New Roman"/>
      <family val="1"/>
      <charset val="204"/>
    </font>
    <font>
      <i/>
      <sz val="9"/>
      <color indexed="9"/>
      <name val="Times New Roman"/>
      <family val="1"/>
      <charset val="204"/>
    </font>
    <font>
      <i/>
      <sz val="8"/>
      <name val="Times New Roman"/>
      <family val="1"/>
      <charset val="204"/>
    </font>
    <font>
      <i/>
      <sz val="8"/>
      <color indexed="9"/>
      <name val="Times New Roman"/>
      <family val="1"/>
      <charset val="204"/>
    </font>
    <font>
      <sz val="8"/>
      <color indexed="12"/>
      <name val="Times New Roman"/>
      <family val="1"/>
      <charset val="204"/>
    </font>
    <font>
      <b/>
      <sz val="8"/>
      <color indexed="9"/>
      <name val="Times New Roman"/>
      <family val="1"/>
      <charset val="204"/>
    </font>
    <font>
      <b/>
      <i/>
      <sz val="9"/>
      <color theme="0"/>
      <name val="Times New Roman"/>
      <family val="1"/>
      <charset val="204"/>
    </font>
    <font>
      <b/>
      <i/>
      <sz val="8"/>
      <color theme="0"/>
      <name val="Times New Roman"/>
      <family val="1"/>
      <charset val="204"/>
    </font>
    <font>
      <b/>
      <i/>
      <sz val="8"/>
      <color theme="9" tint="-0.249977111117893"/>
      <name val="Times New Roman"/>
      <family val="1"/>
      <charset val="204"/>
    </font>
    <font>
      <sz val="8"/>
      <color theme="0"/>
      <name val="Times New Roman"/>
      <family val="1"/>
      <charset val="204"/>
    </font>
    <font>
      <sz val="8"/>
      <color theme="9" tint="-0.249977111117893"/>
      <name val="Times New Roman"/>
      <family val="1"/>
      <charset val="204"/>
    </font>
    <font>
      <sz val="10"/>
      <color theme="9" tint="-0.249977111117893"/>
      <name val="Times New Roman"/>
      <family val="1"/>
      <charset val="204"/>
    </font>
    <font>
      <sz val="10"/>
      <color theme="0"/>
      <name val="Times New Roman Cyr"/>
      <family val="1"/>
      <charset val="204"/>
    </font>
    <font>
      <sz val="10"/>
      <color theme="0"/>
      <name val="Arial"/>
      <family val="2"/>
      <charset val="204"/>
    </font>
    <font>
      <sz val="11"/>
      <color theme="0"/>
      <name val="Calibri"/>
      <family val="2"/>
      <scheme val="minor"/>
    </font>
    <font>
      <sz val="10"/>
      <color indexed="8"/>
      <name val="Times New Roman Cyr"/>
      <family val="1"/>
      <charset val="204"/>
    </font>
    <font>
      <sz val="10"/>
      <name val="Arial"/>
      <family val="2"/>
      <charset val="204"/>
    </font>
    <font>
      <sz val="11"/>
      <color rgb="FFFF0000"/>
      <name val="Calibri"/>
      <family val="2"/>
      <scheme val="minor"/>
    </font>
    <font>
      <b/>
      <i/>
      <sz val="11"/>
      <color indexed="8"/>
      <name val="Times New Roman"/>
      <family val="1"/>
      <charset val="204"/>
    </font>
    <font>
      <b/>
      <sz val="10"/>
      <color rgb="FFFFC000"/>
      <name val="Times New Roman"/>
      <family val="1"/>
      <charset val="204"/>
    </font>
    <font>
      <sz val="10"/>
      <color indexed="9"/>
      <name val="Arial"/>
      <family val="2"/>
      <charset val="204"/>
    </font>
    <font>
      <sz val="10"/>
      <color indexed="9"/>
      <name val="Arial"/>
      <family val="2"/>
    </font>
    <font>
      <sz val="10"/>
      <name val="Arial"/>
      <family val="2"/>
    </font>
    <font>
      <sz val="9"/>
      <color rgb="FF0070C0"/>
      <name val="Times New Roman"/>
      <family val="1"/>
      <charset val="204"/>
    </font>
    <font>
      <sz val="11"/>
      <name val="Calibri"/>
      <family val="2"/>
    </font>
    <font>
      <sz val="10"/>
      <name val="Times New Roman Cyr"/>
      <family val="1"/>
      <charset val="204"/>
    </font>
    <font>
      <b/>
      <sz val="10"/>
      <name val="Times New Roman Cyr"/>
      <family val="1"/>
      <charset val="204"/>
    </font>
    <font>
      <b/>
      <sz val="12"/>
      <name val="Times New Roman Cyr"/>
      <family val="1"/>
      <charset val="204"/>
    </font>
    <font>
      <sz val="10"/>
      <color indexed="9"/>
      <name val="Times New Roman Cyr"/>
      <family val="1"/>
      <charset val="204"/>
    </font>
    <font>
      <b/>
      <sz val="11"/>
      <name val="Times New Roman Cyr"/>
      <family val="1"/>
      <charset val="204"/>
    </font>
    <font>
      <sz val="10"/>
      <color indexed="10"/>
      <name val="Times New Roman Cyr"/>
      <family val="1"/>
      <charset val="204"/>
    </font>
    <font>
      <b/>
      <sz val="11"/>
      <color indexed="9"/>
      <name val="Times New Roman Cyr"/>
      <family val="1"/>
      <charset val="204"/>
    </font>
    <font>
      <b/>
      <sz val="12"/>
      <name val="Times New Roman Cyr"/>
      <charset val="204"/>
    </font>
    <font>
      <b/>
      <sz val="12"/>
      <color indexed="10"/>
      <name val="Times New Roman Cyr"/>
      <charset val="204"/>
    </font>
    <font>
      <b/>
      <sz val="9"/>
      <name val="Times New Roman Cyr"/>
      <family val="1"/>
      <charset val="204"/>
    </font>
    <font>
      <b/>
      <i/>
      <sz val="9"/>
      <name val="Times New Roman Cyr"/>
      <family val="1"/>
      <charset val="204"/>
    </font>
    <font>
      <b/>
      <i/>
      <sz val="9"/>
      <color indexed="9"/>
      <name val="Times New Roman Cyr"/>
      <family val="1"/>
      <charset val="204"/>
    </font>
    <font>
      <i/>
      <sz val="9"/>
      <name val="Times New Roman Cyr"/>
      <family val="1"/>
      <charset val="204"/>
    </font>
    <font>
      <i/>
      <sz val="9"/>
      <name val="Times New Roman"/>
      <family val="1"/>
      <charset val="204"/>
    </font>
    <font>
      <i/>
      <sz val="9"/>
      <color indexed="9"/>
      <name val="Times New Roman Cyr"/>
      <family val="1"/>
      <charset val="204"/>
    </font>
    <font>
      <sz val="9"/>
      <name val="Times New Roman Cyr"/>
      <family val="1"/>
      <charset val="204"/>
    </font>
    <font>
      <sz val="9"/>
      <color indexed="9"/>
      <name val="Times New Roman Cyr"/>
      <family val="1"/>
      <charset val="204"/>
    </font>
    <font>
      <sz val="9"/>
      <color rgb="FFFFC000"/>
      <name val="Times New Roman Cyr"/>
      <family val="1"/>
      <charset val="204"/>
    </font>
    <font>
      <sz val="9"/>
      <color rgb="FF7030A0"/>
      <name val="Times New Roman Cyr"/>
      <family val="1"/>
      <charset val="204"/>
    </font>
    <font>
      <b/>
      <sz val="9"/>
      <name val="Times New Roman Cyr"/>
      <charset val="204"/>
    </font>
    <font>
      <b/>
      <i/>
      <sz val="9"/>
      <name val="Times New Roman Cyr"/>
      <charset val="204"/>
    </font>
    <font>
      <i/>
      <sz val="9"/>
      <name val="Times New Roman Cyr"/>
      <charset val="204"/>
    </font>
    <font>
      <sz val="8"/>
      <name val="Times New Roman Cyr"/>
      <family val="1"/>
      <charset val="204"/>
    </font>
    <font>
      <b/>
      <sz val="9"/>
      <color indexed="9"/>
      <name val="Times New Roman Cyr"/>
      <charset val="204"/>
    </font>
    <font>
      <sz val="9"/>
      <name val="Times New Roman Cyr"/>
      <charset val="204"/>
    </font>
    <font>
      <b/>
      <i/>
      <sz val="10"/>
      <name val="Times New Roman Cyr"/>
      <family val="1"/>
      <charset val="204"/>
    </font>
    <font>
      <sz val="9"/>
      <color indexed="10"/>
      <name val="Times New Roman Cyr"/>
      <family val="1"/>
      <charset val="204"/>
    </font>
    <font>
      <sz val="9"/>
      <color rgb="FFFF0000"/>
      <name val="Times New Roman Cyr"/>
      <family val="1"/>
      <charset val="204"/>
    </font>
    <font>
      <b/>
      <i/>
      <sz val="10"/>
      <name val="Times New Roman Cyr"/>
      <charset val="204"/>
    </font>
    <font>
      <b/>
      <sz val="9"/>
      <color indexed="9"/>
      <name val="Times New Roman Cyr"/>
      <family val="1"/>
      <charset val="204"/>
    </font>
    <font>
      <b/>
      <sz val="8"/>
      <name val="Times New Roman Cyr"/>
      <family val="1"/>
      <charset val="204"/>
    </font>
    <font>
      <sz val="8"/>
      <color indexed="9"/>
      <name val="Times New Roman Cyr"/>
      <family val="1"/>
      <charset val="204"/>
    </font>
    <font>
      <i/>
      <sz val="9"/>
      <color rgb="FFFF0000"/>
      <name val="Times New Roman Cyr"/>
      <charset val="204"/>
    </font>
    <font>
      <sz val="9"/>
      <color rgb="FFFF0000"/>
      <name val="Times New Roman Cyr"/>
      <charset val="204"/>
    </font>
    <font>
      <sz val="9"/>
      <color indexed="9"/>
      <name val="Times New Roman Cyr"/>
      <charset val="204"/>
    </font>
    <font>
      <sz val="9"/>
      <color theme="0"/>
      <name val="Times New Roman Cyr"/>
      <family val="1"/>
      <charset val="204"/>
    </font>
    <font>
      <b/>
      <sz val="14"/>
      <name val="Times New Roman Cyr"/>
      <family val="1"/>
      <charset val="204"/>
    </font>
    <font>
      <sz val="12"/>
      <name val="Times New Roman Cyr"/>
      <family val="1"/>
      <charset val="204"/>
    </font>
    <font>
      <sz val="9"/>
      <name val="Arial"/>
      <family val="2"/>
      <charset val="204"/>
    </font>
    <font>
      <b/>
      <i/>
      <sz val="9"/>
      <color indexed="9"/>
      <name val="Times New Roman"/>
      <family val="1"/>
      <charset val="204"/>
    </font>
    <font>
      <b/>
      <i/>
      <sz val="9"/>
      <color indexed="10"/>
      <name val="Times New Roman"/>
      <family val="1"/>
      <charset val="204"/>
    </font>
    <font>
      <b/>
      <sz val="12"/>
      <color indexed="9"/>
      <name val="Times New Roman Cyr"/>
      <charset val="204"/>
    </font>
    <font>
      <sz val="8"/>
      <color indexed="17"/>
      <name val="Times New Roman"/>
      <family val="1"/>
      <charset val="204"/>
    </font>
    <font>
      <u/>
      <sz val="9"/>
      <name val="Times New Roman Cyr"/>
      <family val="1"/>
      <charset val="204"/>
    </font>
    <font>
      <i/>
      <sz val="7"/>
      <name val="Times New Roman"/>
      <family val="1"/>
      <charset val="204"/>
    </font>
    <font>
      <i/>
      <sz val="9"/>
      <color indexed="8"/>
      <name val="Times New Roman Cyr"/>
      <family val="1"/>
      <charset val="204"/>
    </font>
    <font>
      <b/>
      <sz val="14"/>
      <color indexed="9"/>
      <name val="Times New Roman Cyr"/>
      <family val="1"/>
      <charset val="204"/>
    </font>
    <font>
      <b/>
      <sz val="11"/>
      <color theme="0"/>
      <name val="Times New Roman Cyr"/>
      <family val="1"/>
      <charset val="204"/>
    </font>
    <font>
      <b/>
      <sz val="14"/>
      <name val="Times New Roman Cyr"/>
      <charset val="204"/>
    </font>
    <font>
      <sz val="11"/>
      <color indexed="9"/>
      <name val="Times New Roman"/>
      <family val="1"/>
      <charset val="204"/>
    </font>
    <font>
      <sz val="11"/>
      <color indexed="8"/>
      <name val="Calibri"/>
      <family val="2"/>
      <charset val="204"/>
    </font>
    <font>
      <b/>
      <i/>
      <sz val="9"/>
      <color indexed="10"/>
      <name val="Times New Roman Cyr"/>
      <family val="1"/>
      <charset val="204"/>
    </font>
    <font>
      <b/>
      <i/>
      <sz val="9"/>
      <color indexed="9"/>
      <name val="Times New Roman Cyr"/>
      <charset val="204"/>
    </font>
    <font>
      <i/>
      <sz val="9"/>
      <color indexed="10"/>
      <name val="Times New Roman Cyr"/>
      <family val="1"/>
      <charset val="204"/>
    </font>
    <font>
      <i/>
      <sz val="9"/>
      <color indexed="9"/>
      <name val="Times New Roman Cyr"/>
      <charset val="204"/>
    </font>
    <font>
      <i/>
      <sz val="9"/>
      <color theme="0"/>
      <name val="Times New Roman Cyr"/>
      <charset val="204"/>
    </font>
    <font>
      <i/>
      <sz val="9"/>
      <color theme="0"/>
      <name val="Times New Roman"/>
      <family val="1"/>
      <charset val="204"/>
    </font>
    <font>
      <i/>
      <sz val="9"/>
      <color theme="0"/>
      <name val="Times New Roman Cyr"/>
      <family val="1"/>
      <charset val="204"/>
    </font>
    <font>
      <sz val="9"/>
      <color theme="0"/>
      <name val="Times New Roman Cyr"/>
      <charset val="204"/>
    </font>
    <font>
      <sz val="9"/>
      <color rgb="FF0070C0"/>
      <name val="Times New Roman Cyr"/>
      <family val="1"/>
      <charset val="204"/>
    </font>
    <font>
      <b/>
      <i/>
      <sz val="9"/>
      <color theme="0"/>
      <name val="Times New Roman Cyr"/>
      <charset val="204"/>
    </font>
    <font>
      <sz val="9"/>
      <color indexed="10"/>
      <name val="Times New Roman Cyr"/>
      <charset val="204"/>
    </font>
    <font>
      <b/>
      <sz val="9"/>
      <color indexed="20"/>
      <name val="Times New Roman"/>
      <family val="1"/>
      <charset val="204"/>
    </font>
    <font>
      <b/>
      <sz val="12"/>
      <color theme="0"/>
      <name val="Times New Roman Cyr"/>
      <charset val="204"/>
    </font>
    <font>
      <b/>
      <sz val="12"/>
      <color rgb="FF0070C0"/>
      <name val="Times New Roman Cyr"/>
      <charset val="204"/>
    </font>
    <font>
      <b/>
      <sz val="12"/>
      <color rgb="FFFF0000"/>
      <name val="Times New Roman Cyr"/>
      <charset val="204"/>
    </font>
    <font>
      <b/>
      <sz val="10"/>
      <color theme="0"/>
      <name val="Times New Roman Cyr"/>
      <charset val="204"/>
    </font>
    <font>
      <b/>
      <sz val="9"/>
      <color theme="0"/>
      <name val="Times New Roman Cyr"/>
      <charset val="204"/>
    </font>
    <font>
      <b/>
      <sz val="10"/>
      <color rgb="FFFF0000"/>
      <name val="Times New Roman Cyr"/>
      <charset val="204"/>
    </font>
    <font>
      <sz val="10"/>
      <color rgb="FFFF0000"/>
      <name val="Times New Roman Cyr"/>
      <family val="1"/>
      <charset val="204"/>
    </font>
    <font>
      <b/>
      <sz val="9"/>
      <color rgb="FFFF0000"/>
      <name val="Times New Roman Cyr"/>
      <charset val="204"/>
    </font>
    <font>
      <sz val="8"/>
      <name val="Times New Roman Cyr"/>
      <charset val="204"/>
    </font>
    <font>
      <b/>
      <sz val="10"/>
      <color indexed="10"/>
      <name val="Times New Roman Cyr"/>
      <charset val="204"/>
    </font>
    <font>
      <i/>
      <sz val="10"/>
      <color rgb="FFFF0000"/>
      <name val="Times New Roman Cyr"/>
      <charset val="204"/>
    </font>
    <font>
      <i/>
      <sz val="10"/>
      <name val="Times New Roman Cyr"/>
      <family val="1"/>
      <charset val="204"/>
    </font>
    <font>
      <i/>
      <sz val="10"/>
      <color indexed="10"/>
      <name val="Times New Roman Cyr"/>
      <charset val="204"/>
    </font>
    <font>
      <i/>
      <sz val="10"/>
      <color rgb="FF0070C0"/>
      <name val="Times New Roman Cyr"/>
      <family val="1"/>
      <charset val="204"/>
    </font>
    <font>
      <i/>
      <sz val="10"/>
      <color rgb="FF0070C0"/>
      <name val="Times New Roman Cyr"/>
      <charset val="204"/>
    </font>
    <font>
      <b/>
      <sz val="9"/>
      <name val="Calibri"/>
      <family val="2"/>
      <charset val="204"/>
    </font>
    <font>
      <sz val="10"/>
      <color indexed="30"/>
      <name val="Times New Roman"/>
      <family val="1"/>
      <charset val="204"/>
    </font>
    <font>
      <sz val="9"/>
      <color indexed="30"/>
      <name val="Times New Roman"/>
      <family val="1"/>
      <charset val="204"/>
    </font>
    <font>
      <b/>
      <sz val="12"/>
      <color theme="1"/>
      <name val="Calibri"/>
      <family val="2"/>
      <charset val="204"/>
      <scheme val="minor"/>
    </font>
    <font>
      <b/>
      <sz val="10"/>
      <color rgb="FF0070C0"/>
      <name val="Times New Roman"/>
      <family val="1"/>
      <charset val="204"/>
    </font>
    <font>
      <b/>
      <sz val="14"/>
      <color indexed="9"/>
      <name val="Times New Roman"/>
      <family val="1"/>
      <charset val="204"/>
    </font>
    <font>
      <b/>
      <sz val="8"/>
      <name val="Times New Roman Cyr"/>
      <charset val="204"/>
    </font>
    <font>
      <b/>
      <sz val="9"/>
      <color rgb="FF0070C0"/>
      <name val="Times New Roman"/>
      <family val="1"/>
      <charset val="204"/>
    </font>
    <font>
      <b/>
      <i/>
      <sz val="10"/>
      <color rgb="FFFF0000"/>
      <name val="Times New Roman Cyr"/>
      <family val="1"/>
      <charset val="204"/>
    </font>
    <font>
      <b/>
      <i/>
      <sz val="10"/>
      <color indexed="10"/>
      <name val="Times New Roman Cyr"/>
      <family val="1"/>
      <charset val="204"/>
    </font>
    <font>
      <i/>
      <sz val="9"/>
      <color rgb="FFFF0000"/>
      <name val="Times New Roman Cyr"/>
      <family val="1"/>
      <charset val="204"/>
    </font>
    <font>
      <i/>
      <sz val="9"/>
      <color indexed="62"/>
      <name val="Times New Roman"/>
      <family val="1"/>
      <charset val="204"/>
    </font>
    <font>
      <sz val="10"/>
      <color indexed="30"/>
      <name val="Times New Roman Cyr"/>
      <family val="1"/>
      <charset val="204"/>
    </font>
    <font>
      <sz val="10"/>
      <color indexed="62"/>
      <name val="Times New Roman Cyr"/>
      <family val="1"/>
      <charset val="204"/>
    </font>
    <font>
      <sz val="10"/>
      <color indexed="62"/>
      <name val="Times New Roman"/>
      <family val="1"/>
      <charset val="204"/>
    </font>
    <font>
      <i/>
      <sz val="9"/>
      <color rgb="FF0070C0"/>
      <name val="Times New Roman"/>
      <family val="1"/>
      <charset val="204"/>
    </font>
    <font>
      <i/>
      <sz val="9"/>
      <color rgb="FF00B050"/>
      <name val="Times New Roman"/>
      <family val="1"/>
      <charset val="204"/>
    </font>
    <font>
      <b/>
      <sz val="12"/>
      <color indexed="9"/>
      <name val="Times New Roman Cyr"/>
      <family val="1"/>
      <charset val="204"/>
    </font>
    <font>
      <sz val="10"/>
      <color indexed="14"/>
      <name val="Times New Roman Cyr"/>
      <family val="1"/>
      <charset val="204"/>
    </font>
    <font>
      <b/>
      <sz val="11"/>
      <color rgb="FF0070C0"/>
      <name val="Times New Roman"/>
      <family val="1"/>
      <charset val="204"/>
    </font>
    <font>
      <sz val="11"/>
      <color rgb="FF0070C0"/>
      <name val="Times New Roman"/>
      <family val="1"/>
      <charset val="204"/>
    </font>
    <font>
      <sz val="8"/>
      <color indexed="10"/>
      <name val="Times New Roman Cyr"/>
      <family val="1"/>
      <charset val="204"/>
    </font>
    <font>
      <sz val="11"/>
      <color indexed="30"/>
      <name val="Times New Roman"/>
      <family val="1"/>
      <charset val="204"/>
    </font>
    <font>
      <sz val="11"/>
      <color indexed="36"/>
      <name val="Times New Roman"/>
      <family val="1"/>
      <charset val="204"/>
    </font>
    <font>
      <sz val="11"/>
      <color indexed="17"/>
      <name val="Times New Roman"/>
      <family val="1"/>
      <charset val="204"/>
    </font>
    <font>
      <sz val="10"/>
      <color indexed="17"/>
      <name val="Times New Roman"/>
      <family val="1"/>
      <charset val="204"/>
    </font>
    <font>
      <sz val="8"/>
      <color indexed="30"/>
      <name val="Times New Roman"/>
      <family val="1"/>
      <charset val="204"/>
    </font>
    <font>
      <sz val="8"/>
      <color indexed="36"/>
      <name val="Times New Roman"/>
      <family val="1"/>
      <charset val="204"/>
    </font>
    <font>
      <b/>
      <sz val="10"/>
      <color indexed="30"/>
      <name val="Times New Roman"/>
      <family val="1"/>
      <charset val="204"/>
    </font>
    <font>
      <b/>
      <sz val="10"/>
      <color indexed="36"/>
      <name val="Times New Roman"/>
      <family val="1"/>
      <charset val="204"/>
    </font>
    <font>
      <b/>
      <sz val="10"/>
      <color indexed="17"/>
      <name val="Times New Roman"/>
      <family val="1"/>
      <charset val="204"/>
    </font>
    <font>
      <sz val="10"/>
      <color indexed="36"/>
      <name val="Times New Roman"/>
      <family val="1"/>
      <charset val="204"/>
    </font>
    <font>
      <b/>
      <sz val="11"/>
      <color indexed="36"/>
      <name val="Times New Roman"/>
      <family val="1"/>
      <charset val="204"/>
    </font>
    <font>
      <b/>
      <sz val="11"/>
      <color indexed="17"/>
      <name val="Times New Roman"/>
      <family val="1"/>
      <charset val="204"/>
    </font>
    <font>
      <b/>
      <sz val="9"/>
      <color indexed="17"/>
      <name val="Times New Roman"/>
      <family val="1"/>
      <charset val="204"/>
    </font>
    <font>
      <i/>
      <sz val="10"/>
      <color indexed="30"/>
      <name val="Times New Roman"/>
      <family val="1"/>
      <charset val="204"/>
    </font>
    <font>
      <i/>
      <sz val="10"/>
      <color indexed="36"/>
      <name val="Times New Roman"/>
      <family val="1"/>
      <charset val="204"/>
    </font>
    <font>
      <i/>
      <sz val="9"/>
      <color indexed="17"/>
      <name val="Times New Roman"/>
      <family val="1"/>
      <charset val="204"/>
    </font>
    <font>
      <sz val="10"/>
      <color indexed="17"/>
      <name val="Arial"/>
      <family val="2"/>
      <charset val="204"/>
    </font>
    <font>
      <i/>
      <sz val="11"/>
      <name val="Times New Roman"/>
      <family val="1"/>
      <charset val="204"/>
    </font>
    <font>
      <sz val="10"/>
      <color indexed="17"/>
      <name val="Times New Roman"/>
      <family val="1"/>
    </font>
    <font>
      <b/>
      <i/>
      <sz val="16"/>
      <name val="Times New Roman"/>
      <family val="1"/>
    </font>
    <font>
      <b/>
      <sz val="9"/>
      <color indexed="10"/>
      <name val="Times New Roman Cyr"/>
      <family val="1"/>
      <charset val="204"/>
    </font>
    <font>
      <b/>
      <sz val="12"/>
      <color indexed="10"/>
      <name val="Times New Roman"/>
      <family val="1"/>
      <charset val="204"/>
    </font>
    <font>
      <b/>
      <sz val="11"/>
      <color indexed="17"/>
      <name val="Times New Roman"/>
      <family val="1"/>
    </font>
    <font>
      <i/>
      <sz val="11"/>
      <color indexed="8"/>
      <name val="Times New Roman"/>
      <family val="1"/>
      <charset val="204"/>
    </font>
    <font>
      <sz val="10"/>
      <color rgb="FF0070C0"/>
      <name val="Arial"/>
      <family val="2"/>
      <charset val="204"/>
    </font>
    <font>
      <b/>
      <sz val="12"/>
      <color rgb="FF0070C0"/>
      <name val="Times New Roman"/>
      <family val="1"/>
      <charset val="204"/>
    </font>
    <font>
      <b/>
      <sz val="11"/>
      <color rgb="FF0070C0"/>
      <name val="Times New Roman"/>
      <family val="1"/>
    </font>
    <font>
      <b/>
      <sz val="12"/>
      <color indexed="17"/>
      <name val="Times New Roman"/>
      <family val="1"/>
    </font>
    <font>
      <sz val="12"/>
      <color indexed="17"/>
      <name val="Times New Roman"/>
      <family val="1"/>
    </font>
    <font>
      <i/>
      <sz val="11"/>
      <color theme="0"/>
      <name val="Times New Roman"/>
      <family val="1"/>
      <charset val="204"/>
    </font>
    <font>
      <i/>
      <sz val="11"/>
      <color rgb="FFFF0000"/>
      <name val="Times New Roman"/>
      <family val="1"/>
      <charset val="204"/>
    </font>
    <font>
      <i/>
      <sz val="10"/>
      <color theme="0"/>
      <name val="Times New Roman"/>
      <family val="1"/>
      <charset val="204"/>
    </font>
    <font>
      <i/>
      <sz val="11"/>
      <color indexed="10"/>
      <name val="Times New Roman"/>
      <family val="1"/>
      <charset val="204"/>
    </font>
    <font>
      <sz val="9"/>
      <color indexed="36"/>
      <name val="Times New Roman"/>
      <family val="1"/>
      <charset val="204"/>
    </font>
    <font>
      <b/>
      <sz val="9"/>
      <color indexed="30"/>
      <name val="Times New Roman"/>
      <family val="1"/>
      <charset val="204"/>
    </font>
    <font>
      <sz val="9"/>
      <color indexed="17"/>
      <name val="Times New Roman"/>
      <family val="1"/>
      <charset val="204"/>
    </font>
    <font>
      <i/>
      <sz val="9"/>
      <color indexed="30"/>
      <name val="Times New Roman"/>
      <family val="1"/>
      <charset val="204"/>
    </font>
    <font>
      <i/>
      <sz val="11"/>
      <color indexed="30"/>
      <name val="Times New Roman"/>
      <family val="1"/>
      <charset val="204"/>
    </font>
    <font>
      <sz val="11"/>
      <name val="Calibri"/>
      <family val="2"/>
      <scheme val="minor"/>
    </font>
    <font>
      <b/>
      <sz val="13"/>
      <color rgb="FFFF0000"/>
      <name val="Times New Roman"/>
      <family val="1"/>
      <charset val="204"/>
    </font>
    <font>
      <sz val="13"/>
      <color indexed="10"/>
      <name val="Times New Roman"/>
      <family val="1"/>
      <charset val="204"/>
    </font>
    <font>
      <sz val="13"/>
      <color rgb="FFFF0000"/>
      <name val="Times New Roman"/>
      <family val="1"/>
      <charset val="204"/>
    </font>
    <font>
      <sz val="10"/>
      <color rgb="FF7030A0"/>
      <name val="Times New Roman"/>
      <family val="1"/>
      <charset val="204"/>
    </font>
    <font>
      <b/>
      <sz val="13"/>
      <color indexed="10"/>
      <name val="Times New Roman"/>
      <family val="1"/>
      <charset val="204"/>
    </font>
    <font>
      <sz val="12"/>
      <name val="Times New Roman"/>
      <family val="1"/>
      <charset val="1"/>
    </font>
    <font>
      <sz val="12"/>
      <color rgb="FF000000"/>
      <name val="Times New Roman"/>
      <family val="1"/>
      <charset val="204"/>
    </font>
  </fonts>
  <fills count="2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theme="8" tint="0.79998168889431442"/>
        <bgColor indexed="64"/>
      </patternFill>
    </fill>
    <fill>
      <patternFill patternType="solid">
        <fgColor indexed="47"/>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rgb="FFFF99CC"/>
        <bgColor indexed="64"/>
      </patternFill>
    </fill>
    <fill>
      <patternFill patternType="solid">
        <fgColor rgb="FF7030A0"/>
        <bgColor indexed="64"/>
      </patternFill>
    </fill>
    <fill>
      <patternFill patternType="solid">
        <fgColor indexed="10"/>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indexed="3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71" fillId="0" borderId="0"/>
    <xf numFmtId="0" fontId="71" fillId="0" borderId="0"/>
    <xf numFmtId="0" fontId="203" fillId="0" borderId="0"/>
    <xf numFmtId="0" fontId="144" fillId="0" borderId="0"/>
  </cellStyleXfs>
  <cellXfs count="2094">
    <xf numFmtId="0" fontId="0" fillId="0" borderId="0" xfId="0"/>
    <xf numFmtId="0" fontId="2" fillId="0" borderId="0" xfId="0" applyFont="1"/>
    <xf numFmtId="0" fontId="3" fillId="2" borderId="0" xfId="0" applyFont="1" applyFill="1"/>
    <xf numFmtId="0" fontId="2" fillId="3" borderId="0" xfId="0" applyFont="1" applyFill="1"/>
    <xf numFmtId="0" fontId="4" fillId="0" borderId="0" xfId="0" applyFont="1"/>
    <xf numFmtId="0" fontId="5" fillId="0" borderId="1" xfId="0" applyFont="1" applyBorder="1" applyAlignment="1">
      <alignment vertical="center" wrapText="1"/>
    </xf>
    <xf numFmtId="0" fontId="6" fillId="2" borderId="2" xfId="0" applyFont="1" applyFill="1" applyBorder="1" applyAlignment="1">
      <alignment vertical="center" wrapText="1"/>
    </xf>
    <xf numFmtId="0" fontId="2" fillId="0" borderId="3" xfId="0" applyFont="1" applyBorder="1"/>
    <xf numFmtId="0" fontId="7" fillId="0" borderId="4" xfId="0" applyFont="1" applyBorder="1"/>
    <xf numFmtId="0" fontId="2" fillId="0" borderId="4" xfId="0" applyFont="1" applyBorder="1"/>
    <xf numFmtId="2" fontId="7" fillId="0" borderId="4" xfId="0" applyNumberFormat="1" applyFont="1" applyBorder="1"/>
    <xf numFmtId="0" fontId="7" fillId="0" borderId="5" xfId="0" applyFont="1" applyBorder="1"/>
    <xf numFmtId="0" fontId="7" fillId="0" borderId="0" xfId="0" applyFont="1"/>
    <xf numFmtId="0" fontId="10" fillId="0" borderId="2" xfId="0" applyFont="1" applyBorder="1"/>
    <xf numFmtId="0" fontId="10" fillId="0" borderId="6" xfId="0" applyFont="1" applyBorder="1"/>
    <xf numFmtId="2" fontId="10" fillId="0" borderId="6" xfId="0" applyNumberFormat="1" applyFont="1" applyBorder="1"/>
    <xf numFmtId="0" fontId="11" fillId="0" borderId="0" xfId="0" applyFont="1"/>
    <xf numFmtId="0" fontId="5" fillId="0" borderId="1" xfId="0" applyFont="1" applyBorder="1" applyAlignment="1">
      <alignment vertical="center"/>
    </xf>
    <xf numFmtId="0" fontId="6" fillId="2" borderId="2" xfId="0" applyFont="1" applyFill="1" applyBorder="1" applyAlignment="1">
      <alignment vertical="center"/>
    </xf>
    <xf numFmtId="0" fontId="10" fillId="0" borderId="2" xfId="0" applyFont="1" applyBorder="1" applyAlignment="1">
      <alignment horizontal="left"/>
    </xf>
    <xf numFmtId="0" fontId="13" fillId="0" borderId="0" xfId="0" applyFont="1"/>
    <xf numFmtId="0" fontId="14" fillId="0" borderId="0" xfId="0" applyFont="1"/>
    <xf numFmtId="0" fontId="15" fillId="0" borderId="0" xfId="0" applyFont="1"/>
    <xf numFmtId="0" fontId="16" fillId="0" borderId="0" xfId="0" applyFont="1"/>
    <xf numFmtId="0" fontId="17" fillId="2" borderId="0" xfId="0" applyFont="1" applyFill="1"/>
    <xf numFmtId="0" fontId="10" fillId="0" borderId="0" xfId="0" applyFont="1"/>
    <xf numFmtId="0" fontId="18" fillId="0" borderId="0" xfId="0" applyFont="1" applyAlignment="1">
      <alignment horizontal="left"/>
    </xf>
    <xf numFmtId="0" fontId="13" fillId="0" borderId="0" xfId="0" applyFont="1" applyAlignment="1">
      <alignment horizontal="left"/>
    </xf>
    <xf numFmtId="0" fontId="19" fillId="0" borderId="0" xfId="0" applyFont="1" applyAlignment="1">
      <alignment vertical="center"/>
    </xf>
    <xf numFmtId="0" fontId="22" fillId="0" borderId="0" xfId="0" applyFont="1" applyAlignment="1">
      <alignment horizontal="center"/>
    </xf>
    <xf numFmtId="0" fontId="16" fillId="3" borderId="0" xfId="0" applyFont="1" applyFill="1"/>
    <xf numFmtId="0" fontId="16" fillId="0" borderId="3" xfId="0" applyFont="1" applyBorder="1"/>
    <xf numFmtId="0" fontId="3" fillId="2" borderId="4" xfId="0" applyFont="1" applyFill="1" applyBorder="1"/>
    <xf numFmtId="0" fontId="23" fillId="0" borderId="4" xfId="0" applyFont="1" applyBorder="1"/>
    <xf numFmtId="0" fontId="24" fillId="0" borderId="4" xfId="0" applyFont="1" applyBorder="1" applyAlignment="1">
      <alignment horizontal="center"/>
    </xf>
    <xf numFmtId="0" fontId="22" fillId="0" borderId="4" xfId="0" applyFont="1" applyBorder="1" applyAlignment="1">
      <alignment horizontal="center"/>
    </xf>
    <xf numFmtId="0" fontId="16" fillId="0" borderId="4" xfId="0" applyFont="1" applyBorder="1"/>
    <xf numFmtId="0" fontId="16" fillId="3" borderId="4" xfId="0" applyFont="1" applyFill="1" applyBorder="1"/>
    <xf numFmtId="0" fontId="16" fillId="0" borderId="5" xfId="0" applyFont="1" applyBorder="1"/>
    <xf numFmtId="0" fontId="16" fillId="0" borderId="2" xfId="0" applyFont="1" applyBorder="1"/>
    <xf numFmtId="0" fontId="3" fillId="2" borderId="6" xfId="0" applyFont="1" applyFill="1" applyBorder="1"/>
    <xf numFmtId="0" fontId="23" fillId="0" borderId="6" xfId="0" applyFont="1" applyBorder="1"/>
    <xf numFmtId="0" fontId="24" fillId="0" borderId="6" xfId="0" applyFont="1" applyBorder="1" applyAlignment="1">
      <alignment horizontal="center"/>
    </xf>
    <xf numFmtId="0" fontId="16" fillId="0" borderId="6" xfId="0" applyFont="1" applyBorder="1"/>
    <xf numFmtId="0" fontId="22" fillId="0" borderId="6" xfId="0" applyFont="1" applyBorder="1" applyAlignment="1">
      <alignment horizontal="center"/>
    </xf>
    <xf numFmtId="0" fontId="16" fillId="3" borderId="6" xfId="0" applyFont="1" applyFill="1" applyBorder="1"/>
    <xf numFmtId="1" fontId="16" fillId="0" borderId="6" xfId="0" applyNumberFormat="1" applyFont="1" applyBorder="1"/>
    <xf numFmtId="0" fontId="2" fillId="0" borderId="6" xfId="0" applyFont="1" applyBorder="1"/>
    <xf numFmtId="0" fontId="16" fillId="0" borderId="7" xfId="0" applyFont="1" applyBorder="1"/>
    <xf numFmtId="0" fontId="26" fillId="2" borderId="8" xfId="0" applyFont="1" applyFill="1" applyBorder="1" applyAlignment="1">
      <alignment horizontal="center"/>
    </xf>
    <xf numFmtId="0" fontId="16" fillId="3" borderId="1" xfId="0" applyFont="1" applyFill="1" applyBorder="1" applyAlignment="1">
      <alignment horizontal="center" wrapText="1"/>
    </xf>
    <xf numFmtId="0" fontId="25" fillId="0" borderId="0" xfId="0" applyFont="1" applyAlignment="1">
      <alignment horizontal="center"/>
    </xf>
    <xf numFmtId="0" fontId="26" fillId="2" borderId="9" xfId="0" applyFont="1" applyFill="1" applyBorder="1" applyAlignment="1">
      <alignment horizontal="center"/>
    </xf>
    <xf numFmtId="0" fontId="25" fillId="3" borderId="1" xfId="0" applyFont="1" applyFill="1" applyBorder="1" applyAlignment="1">
      <alignment horizontal="center"/>
    </xf>
    <xf numFmtId="0" fontId="25" fillId="0" borderId="1" xfId="0" applyFont="1" applyBorder="1" applyAlignment="1">
      <alignment horizontal="center"/>
    </xf>
    <xf numFmtId="0" fontId="28" fillId="0" borderId="1" xfId="0" applyFont="1" applyBorder="1" applyAlignment="1">
      <alignment horizontal="center"/>
    </xf>
    <xf numFmtId="0" fontId="29" fillId="0" borderId="0" xfId="0" applyFont="1"/>
    <xf numFmtId="0" fontId="30" fillId="0" borderId="1" xfId="0" applyFont="1" applyBorder="1" applyAlignment="1">
      <alignment horizontal="left"/>
    </xf>
    <xf numFmtId="0" fontId="31" fillId="2" borderId="1" xfId="0" applyFont="1" applyFill="1" applyBorder="1" applyAlignment="1">
      <alignment horizontal="left"/>
    </xf>
    <xf numFmtId="0" fontId="25" fillId="0" borderId="1" xfId="0" applyFont="1" applyBorder="1" applyAlignment="1">
      <alignment horizontal="center" wrapText="1"/>
    </xf>
    <xf numFmtId="0" fontId="16" fillId="0" borderId="1" xfId="0" applyFont="1" applyBorder="1" applyAlignment="1">
      <alignment horizontal="center" wrapText="1"/>
    </xf>
    <xf numFmtId="2" fontId="32" fillId="0" borderId="1" xfId="0" applyNumberFormat="1" applyFont="1" applyBorder="1" applyAlignment="1">
      <alignment horizontal="left"/>
    </xf>
    <xf numFmtId="0" fontId="29" fillId="0" borderId="1" xfId="0" applyFont="1" applyBorder="1" applyAlignment="1">
      <alignment horizontal="left"/>
    </xf>
    <xf numFmtId="0" fontId="33" fillId="2" borderId="3" xfId="0" applyFont="1" applyFill="1" applyBorder="1" applyAlignment="1">
      <alignment horizontal="left"/>
    </xf>
    <xf numFmtId="49" fontId="29" fillId="0" borderId="3" xfId="0" applyNumberFormat="1" applyFont="1" applyBorder="1" applyAlignment="1">
      <alignment horizontal="right" wrapText="1"/>
    </xf>
    <xf numFmtId="1" fontId="29" fillId="0" borderId="1" xfId="0" applyNumberFormat="1" applyFont="1" applyBorder="1" applyAlignment="1">
      <alignment horizontal="center" wrapText="1"/>
    </xf>
    <xf numFmtId="1" fontId="29" fillId="3" borderId="1" xfId="0" applyNumberFormat="1" applyFont="1" applyFill="1" applyBorder="1" applyAlignment="1">
      <alignment horizontal="center"/>
    </xf>
    <xf numFmtId="1" fontId="29" fillId="0" borderId="1" xfId="0" applyNumberFormat="1" applyFont="1" applyBorder="1" applyAlignment="1">
      <alignment horizontal="center"/>
    </xf>
    <xf numFmtId="1" fontId="34" fillId="0" borderId="1" xfId="0" applyNumberFormat="1" applyFont="1" applyBorder="1" applyAlignment="1">
      <alignment horizontal="center"/>
    </xf>
    <xf numFmtId="1" fontId="35" fillId="0" borderId="1" xfId="0" applyNumberFormat="1" applyFont="1" applyBorder="1" applyAlignment="1">
      <alignment horizontal="right"/>
    </xf>
    <xf numFmtId="1" fontId="29" fillId="0" borderId="0" xfId="0" applyNumberFormat="1" applyFont="1" applyAlignment="1">
      <alignment horizontal="center"/>
    </xf>
    <xf numFmtId="0" fontId="36" fillId="0" borderId="0" xfId="0" applyFont="1"/>
    <xf numFmtId="0" fontId="16" fillId="0" borderId="1" xfId="0" applyFont="1" applyBorder="1" applyAlignment="1">
      <alignment wrapText="1"/>
    </xf>
    <xf numFmtId="0" fontId="3" fillId="2" borderId="1" xfId="0" applyFont="1" applyFill="1" applyBorder="1" applyAlignment="1">
      <alignment wrapText="1"/>
    </xf>
    <xf numFmtId="49" fontId="16" fillId="0" borderId="1" xfId="0" applyNumberFormat="1" applyFont="1" applyBorder="1" applyAlignment="1">
      <alignment horizontal="right"/>
    </xf>
    <xf numFmtId="1" fontId="22" fillId="0" borderId="5" xfId="0" applyNumberFormat="1" applyFont="1" applyBorder="1" applyAlignment="1">
      <alignment horizontal="right"/>
    </xf>
    <xf numFmtId="1" fontId="22" fillId="3" borderId="5" xfId="0" applyNumberFormat="1" applyFont="1" applyFill="1" applyBorder="1" applyAlignment="1">
      <alignment horizontal="right"/>
    </xf>
    <xf numFmtId="1" fontId="38" fillId="0" borderId="5" xfId="0" applyNumberFormat="1" applyFont="1" applyBorder="1" applyAlignment="1">
      <alignment horizontal="right"/>
    </xf>
    <xf numFmtId="1" fontId="22" fillId="0" borderId="0" xfId="0" applyNumberFormat="1" applyFont="1" applyAlignment="1">
      <alignment horizontal="right"/>
    </xf>
    <xf numFmtId="1" fontId="8" fillId="0" borderId="0" xfId="0" applyNumberFormat="1" applyFont="1"/>
    <xf numFmtId="0" fontId="37" fillId="0" borderId="1" xfId="0" applyFont="1" applyBorder="1" applyAlignment="1">
      <alignment wrapText="1"/>
    </xf>
    <xf numFmtId="0" fontId="39" fillId="2" borderId="3" xfId="0" applyFont="1" applyFill="1" applyBorder="1" applyAlignment="1">
      <alignment wrapText="1"/>
    </xf>
    <xf numFmtId="49" fontId="37" fillId="0" borderId="3" xfId="0" applyNumberFormat="1" applyFont="1" applyBorder="1" applyAlignment="1">
      <alignment horizontal="right"/>
    </xf>
    <xf numFmtId="1" fontId="40" fillId="0" borderId="1" xfId="0" applyNumberFormat="1" applyFont="1" applyBorder="1"/>
    <xf numFmtId="1" fontId="40" fillId="3" borderId="1" xfId="0" applyNumberFormat="1" applyFont="1" applyFill="1" applyBorder="1"/>
    <xf numFmtId="1" fontId="41" fillId="0" borderId="5" xfId="0" applyNumberFormat="1" applyFont="1" applyBorder="1" applyAlignment="1">
      <alignment horizontal="right"/>
    </xf>
    <xf numFmtId="1" fontId="42" fillId="0" borderId="1" xfId="0" applyNumberFormat="1" applyFont="1" applyBorder="1" applyAlignment="1">
      <alignment horizontal="right"/>
    </xf>
    <xf numFmtId="1" fontId="40" fillId="0" borderId="0" xfId="0" applyNumberFormat="1" applyFont="1"/>
    <xf numFmtId="0" fontId="43" fillId="0" borderId="0" xfId="0" applyFont="1"/>
    <xf numFmtId="0" fontId="37" fillId="0" borderId="0" xfId="0" applyFont="1"/>
    <xf numFmtId="1" fontId="39" fillId="0" borderId="0" xfId="0" applyNumberFormat="1" applyFont="1"/>
    <xf numFmtId="0" fontId="16" fillId="4" borderId="1" xfId="0" applyFont="1" applyFill="1" applyBorder="1" applyAlignment="1">
      <alignment wrapText="1"/>
    </xf>
    <xf numFmtId="0" fontId="3" fillId="2" borderId="3" xfId="0" applyFont="1" applyFill="1" applyBorder="1" applyAlignment="1">
      <alignment wrapText="1"/>
    </xf>
    <xf numFmtId="49" fontId="16" fillId="0" borderId="3" xfId="0" applyNumberFormat="1" applyFont="1" applyBorder="1" applyAlignment="1">
      <alignment horizontal="right"/>
    </xf>
    <xf numFmtId="1" fontId="22" fillId="0" borderId="1" xfId="0" applyNumberFormat="1" applyFont="1" applyBorder="1"/>
    <xf numFmtId="1" fontId="22" fillId="3" borderId="1" xfId="0" applyNumberFormat="1" applyFont="1" applyFill="1" applyBorder="1"/>
    <xf numFmtId="1" fontId="22" fillId="0" borderId="0" xfId="0" applyNumberFormat="1" applyFont="1"/>
    <xf numFmtId="1" fontId="4" fillId="0" borderId="0" xfId="0" applyNumberFormat="1" applyFont="1"/>
    <xf numFmtId="0" fontId="16" fillId="0" borderId="1" xfId="0" applyFont="1" applyBorder="1"/>
    <xf numFmtId="0" fontId="3" fillId="2" borderId="3" xfId="0" applyFont="1" applyFill="1" applyBorder="1"/>
    <xf numFmtId="1" fontId="38" fillId="0" borderId="1" xfId="0" applyNumberFormat="1" applyFont="1" applyBorder="1"/>
    <xf numFmtId="0" fontId="27" fillId="0" borderId="0" xfId="0" applyFont="1"/>
    <xf numFmtId="1" fontId="3" fillId="0" borderId="0" xfId="0" applyNumberFormat="1" applyFont="1"/>
    <xf numFmtId="0" fontId="27" fillId="0" borderId="1" xfId="0" applyFont="1" applyBorder="1" applyAlignment="1">
      <alignment wrapText="1"/>
    </xf>
    <xf numFmtId="0" fontId="44" fillId="2" borderId="3" xfId="0" applyFont="1" applyFill="1" applyBorder="1" applyAlignment="1">
      <alignment wrapText="1"/>
    </xf>
    <xf numFmtId="49" fontId="27" fillId="0" borderId="3" xfId="0" applyNumberFormat="1" applyFont="1" applyBorder="1" applyAlignment="1">
      <alignment horizontal="right"/>
    </xf>
    <xf numFmtId="1" fontId="45" fillId="0" borderId="1" xfId="0" applyNumberFormat="1" applyFont="1" applyBorder="1"/>
    <xf numFmtId="1" fontId="45" fillId="3" borderId="1" xfId="0" applyNumberFormat="1" applyFont="1" applyFill="1" applyBorder="1"/>
    <xf numFmtId="1" fontId="46" fillId="0" borderId="1" xfId="0" applyNumberFormat="1" applyFont="1" applyBorder="1"/>
    <xf numFmtId="1" fontId="45" fillId="0" borderId="0" xfId="0" applyNumberFormat="1" applyFont="1"/>
    <xf numFmtId="0" fontId="47" fillId="0" borderId="0" xfId="0" applyFont="1"/>
    <xf numFmtId="1" fontId="16" fillId="0" borderId="1" xfId="0" applyNumberFormat="1" applyFont="1" applyBorder="1"/>
    <xf numFmtId="0" fontId="16" fillId="3" borderId="1" xfId="0" applyFont="1" applyFill="1" applyBorder="1"/>
    <xf numFmtId="1" fontId="2" fillId="0" borderId="1" xfId="0" applyNumberFormat="1" applyFont="1" applyBorder="1"/>
    <xf numFmtId="1" fontId="16" fillId="0" borderId="0" xfId="0" applyNumberFormat="1" applyFont="1"/>
    <xf numFmtId="0" fontId="37" fillId="0" borderId="1" xfId="0" applyFont="1" applyBorder="1" applyAlignment="1">
      <alignment vertical="top" wrapText="1"/>
    </xf>
    <xf numFmtId="49" fontId="48" fillId="0" borderId="3" xfId="0" applyNumberFormat="1" applyFont="1" applyBorder="1" applyAlignment="1">
      <alignment horizontal="right"/>
    </xf>
    <xf numFmtId="1" fontId="49" fillId="3" borderId="1" xfId="0" applyNumberFormat="1" applyFont="1" applyFill="1" applyBorder="1"/>
    <xf numFmtId="0" fontId="24" fillId="0" borderId="1" xfId="0" applyFont="1" applyBorder="1" applyAlignment="1">
      <alignment wrapText="1"/>
    </xf>
    <xf numFmtId="0" fontId="51" fillId="2" borderId="3" xfId="0" applyFont="1" applyFill="1" applyBorder="1" applyAlignment="1">
      <alignment wrapText="1"/>
    </xf>
    <xf numFmtId="0" fontId="52" fillId="0" borderId="0" xfId="0" applyFont="1"/>
    <xf numFmtId="49" fontId="44" fillId="0" borderId="3" xfId="0" applyNumberFormat="1" applyFont="1" applyBorder="1" applyAlignment="1">
      <alignment horizontal="right"/>
    </xf>
    <xf numFmtId="2" fontId="53" fillId="0" borderId="1" xfId="0" applyNumberFormat="1" applyFont="1" applyBorder="1"/>
    <xf numFmtId="2" fontId="54" fillId="0" borderId="1" xfId="0" applyNumberFormat="1" applyFont="1" applyBorder="1"/>
    <xf numFmtId="1" fontId="55" fillId="0" borderId="1" xfId="0" applyNumberFormat="1" applyFont="1" applyBorder="1"/>
    <xf numFmtId="1" fontId="56" fillId="3" borderId="1" xfId="0" applyNumberFormat="1" applyFont="1" applyFill="1" applyBorder="1"/>
    <xf numFmtId="1" fontId="57" fillId="0" borderId="1" xfId="0" applyNumberFormat="1" applyFont="1" applyBorder="1" applyAlignment="1">
      <alignment horizontal="right"/>
    </xf>
    <xf numFmtId="1" fontId="46" fillId="0" borderId="5" xfId="0" applyNumberFormat="1" applyFont="1" applyBorder="1" applyAlignment="1">
      <alignment horizontal="right"/>
    </xf>
    <xf numFmtId="1" fontId="44" fillId="0" borderId="0" xfId="0" applyNumberFormat="1" applyFont="1"/>
    <xf numFmtId="0" fontId="40" fillId="0" borderId="1" xfId="0" applyFont="1" applyBorder="1" applyAlignment="1">
      <alignment wrapText="1"/>
    </xf>
    <xf numFmtId="0" fontId="58" fillId="2" borderId="3" xfId="0" applyFont="1" applyFill="1" applyBorder="1" applyAlignment="1">
      <alignment wrapText="1"/>
    </xf>
    <xf numFmtId="2" fontId="59" fillId="0" borderId="3" xfId="0" applyNumberFormat="1" applyFont="1" applyBorder="1" applyAlignment="1">
      <alignment horizontal="right"/>
    </xf>
    <xf numFmtId="0" fontId="60" fillId="0" borderId="0" xfId="0" applyFont="1"/>
    <xf numFmtId="49" fontId="33" fillId="0" borderId="3" xfId="0" applyNumberFormat="1" applyFont="1" applyBorder="1" applyAlignment="1">
      <alignment horizontal="right"/>
    </xf>
    <xf numFmtId="1" fontId="61" fillId="0" borderId="1" xfId="0" applyNumberFormat="1" applyFont="1" applyBorder="1"/>
    <xf numFmtId="1" fontId="62" fillId="0" borderId="1" xfId="0" applyNumberFormat="1" applyFont="1" applyBorder="1"/>
    <xf numFmtId="0" fontId="22" fillId="0" borderId="1" xfId="0" applyFont="1" applyBorder="1" applyAlignment="1">
      <alignment wrapText="1"/>
    </xf>
    <xf numFmtId="0" fontId="62" fillId="2" borderId="3" xfId="0" applyFont="1" applyFill="1" applyBorder="1" applyAlignment="1">
      <alignment wrapText="1"/>
    </xf>
    <xf numFmtId="1" fontId="2" fillId="0" borderId="0" xfId="0" applyNumberFormat="1" applyFont="1"/>
    <xf numFmtId="2" fontId="2" fillId="0" borderId="0" xfId="0" applyNumberFormat="1" applyFont="1"/>
    <xf numFmtId="0" fontId="40" fillId="5" borderId="1" xfId="0" applyFont="1" applyFill="1" applyBorder="1" applyAlignment="1">
      <alignment wrapText="1"/>
    </xf>
    <xf numFmtId="1" fontId="40" fillId="5" borderId="1" xfId="0" applyNumberFormat="1" applyFont="1" applyFill="1" applyBorder="1"/>
    <xf numFmtId="1" fontId="63" fillId="0" borderId="1" xfId="0" applyNumberFormat="1" applyFont="1" applyBorder="1"/>
    <xf numFmtId="2" fontId="16" fillId="0" borderId="0" xfId="0" applyNumberFormat="1" applyFont="1"/>
    <xf numFmtId="164" fontId="3" fillId="0" borderId="3" xfId="0" applyNumberFormat="1" applyFont="1" applyBorder="1" applyAlignment="1">
      <alignment horizontal="right"/>
    </xf>
    <xf numFmtId="1" fontId="63" fillId="3" borderId="1" xfId="0" applyNumberFormat="1" applyFont="1" applyFill="1" applyBorder="1"/>
    <xf numFmtId="4" fontId="2" fillId="0" borderId="0" xfId="0" applyNumberFormat="1" applyFont="1"/>
    <xf numFmtId="2" fontId="3" fillId="2" borderId="3" xfId="0" applyNumberFormat="1" applyFont="1" applyFill="1" applyBorder="1"/>
    <xf numFmtId="0" fontId="8" fillId="0" borderId="0" xfId="0" applyFont="1"/>
    <xf numFmtId="0" fontId="8" fillId="0" borderId="1" xfId="0" applyFont="1" applyBorder="1"/>
    <xf numFmtId="49" fontId="8" fillId="0" borderId="4" xfId="0" applyNumberFormat="1" applyFont="1" applyBorder="1" applyAlignment="1">
      <alignment horizontal="right"/>
    </xf>
    <xf numFmtId="1" fontId="16" fillId="3" borderId="1" xfId="0" applyNumberFormat="1" applyFont="1" applyFill="1" applyBorder="1"/>
    <xf numFmtId="1" fontId="63" fillId="0" borderId="0" xfId="0" applyNumberFormat="1" applyFont="1"/>
    <xf numFmtId="1" fontId="37" fillId="0" borderId="0" xfId="0" applyNumberFormat="1" applyFont="1"/>
    <xf numFmtId="0" fontId="16" fillId="0" borderId="8" xfId="0" applyFont="1" applyBorder="1"/>
    <xf numFmtId="0" fontId="3" fillId="2" borderId="10" xfId="0" applyFont="1" applyFill="1" applyBorder="1"/>
    <xf numFmtId="49" fontId="16" fillId="0" borderId="10" xfId="0" applyNumberFormat="1" applyFont="1" applyBorder="1" applyAlignment="1">
      <alignment horizontal="right"/>
    </xf>
    <xf numFmtId="1" fontId="22" fillId="0" borderId="8" xfId="0" applyNumberFormat="1" applyFont="1" applyBorder="1"/>
    <xf numFmtId="1" fontId="22" fillId="3" borderId="8" xfId="0" applyNumberFormat="1" applyFont="1" applyFill="1" applyBorder="1"/>
    <xf numFmtId="1" fontId="38" fillId="0" borderId="11" xfId="0" applyNumberFormat="1" applyFont="1" applyBorder="1" applyAlignment="1">
      <alignment horizontal="right"/>
    </xf>
    <xf numFmtId="0" fontId="64" fillId="0" borderId="0" xfId="0" applyFont="1"/>
    <xf numFmtId="2" fontId="64" fillId="0" borderId="0" xfId="0" applyNumberFormat="1" applyFont="1"/>
    <xf numFmtId="0" fontId="37" fillId="0" borderId="8" xfId="0" applyFont="1" applyBorder="1" applyAlignment="1">
      <alignment wrapText="1"/>
    </xf>
    <xf numFmtId="0" fontId="39" fillId="2" borderId="0" xfId="0" applyFont="1" applyFill="1" applyAlignment="1">
      <alignment wrapText="1"/>
    </xf>
    <xf numFmtId="49" fontId="48" fillId="0" borderId="10" xfId="0" applyNumberFormat="1" applyFont="1" applyBorder="1" applyAlignment="1">
      <alignment horizontal="right"/>
    </xf>
    <xf numFmtId="1" fontId="40" fillId="0" borderId="8" xfId="0" applyNumberFormat="1" applyFont="1" applyBorder="1"/>
    <xf numFmtId="1" fontId="49" fillId="3" borderId="0" xfId="0" applyNumberFormat="1" applyFont="1" applyFill="1"/>
    <xf numFmtId="1" fontId="41" fillId="0" borderId="0" xfId="0" applyNumberFormat="1" applyFont="1" applyAlignment="1">
      <alignment horizontal="right"/>
    </xf>
    <xf numFmtId="1" fontId="42" fillId="0" borderId="5" xfId="0" applyNumberFormat="1" applyFont="1" applyBorder="1" applyAlignment="1">
      <alignment horizontal="right"/>
    </xf>
    <xf numFmtId="0" fontId="37" fillId="0" borderId="12" xfId="0" applyFont="1" applyBorder="1" applyAlignment="1">
      <alignment wrapText="1"/>
    </xf>
    <xf numFmtId="49" fontId="48" fillId="0" borderId="13" xfId="0" applyNumberFormat="1" applyFont="1" applyBorder="1" applyAlignment="1">
      <alignment horizontal="right"/>
    </xf>
    <xf numFmtId="1" fontId="40" fillId="0" borderId="12" xfId="0" applyNumberFormat="1" applyFont="1" applyBorder="1"/>
    <xf numFmtId="49" fontId="37" fillId="0" borderId="9" xfId="0" applyNumberFormat="1" applyFont="1" applyBorder="1" applyAlignment="1">
      <alignment wrapText="1"/>
    </xf>
    <xf numFmtId="49" fontId="48" fillId="0" borderId="2" xfId="0" applyNumberFormat="1" applyFont="1" applyBorder="1" applyAlignment="1">
      <alignment horizontal="right"/>
    </xf>
    <xf numFmtId="1" fontId="49" fillId="0" borderId="9" xfId="0" applyNumberFormat="1" applyFont="1" applyBorder="1"/>
    <xf numFmtId="1" fontId="49" fillId="0" borderId="12" xfId="0" applyNumberFormat="1" applyFont="1" applyBorder="1"/>
    <xf numFmtId="1" fontId="37" fillId="0" borderId="9" xfId="0" applyNumberFormat="1" applyFont="1" applyBorder="1"/>
    <xf numFmtId="2" fontId="60" fillId="0" borderId="0" xfId="0" applyNumberFormat="1" applyFont="1"/>
    <xf numFmtId="49" fontId="37" fillId="0" borderId="1" xfId="0" applyNumberFormat="1" applyFont="1" applyBorder="1" applyAlignment="1">
      <alignment wrapText="1"/>
    </xf>
    <xf numFmtId="1" fontId="37" fillId="3" borderId="1" xfId="0" applyNumberFormat="1" applyFont="1" applyFill="1" applyBorder="1"/>
    <xf numFmtId="0" fontId="16" fillId="0" borderId="9" xfId="0" applyFont="1" applyBorder="1"/>
    <xf numFmtId="0" fontId="3" fillId="2" borderId="2" xfId="0" applyFont="1" applyFill="1" applyBorder="1"/>
    <xf numFmtId="49" fontId="16" fillId="0" borderId="2" xfId="0" applyNumberFormat="1" applyFont="1" applyBorder="1" applyAlignment="1">
      <alignment horizontal="right"/>
    </xf>
    <xf numFmtId="1" fontId="22" fillId="0" borderId="9" xfId="0" applyNumberFormat="1" applyFont="1" applyBorder="1"/>
    <xf numFmtId="1" fontId="63" fillId="0" borderId="9" xfId="0" applyNumberFormat="1" applyFont="1" applyBorder="1"/>
    <xf numFmtId="1" fontId="38" fillId="0" borderId="1" xfId="0" applyNumberFormat="1" applyFont="1" applyBorder="1" applyAlignment="1">
      <alignment horizontal="right"/>
    </xf>
    <xf numFmtId="0" fontId="24" fillId="0" borderId="1" xfId="0" applyFont="1" applyBorder="1"/>
    <xf numFmtId="0" fontId="51" fillId="2" borderId="3" xfId="0" applyFont="1" applyFill="1" applyBorder="1"/>
    <xf numFmtId="1" fontId="65" fillId="0" borderId="1" xfId="0" applyNumberFormat="1" applyFont="1" applyBorder="1" applyAlignment="1">
      <alignment horizontal="right"/>
    </xf>
    <xf numFmtId="1" fontId="47" fillId="0" borderId="0" xfId="0" applyNumberFormat="1" applyFont="1"/>
    <xf numFmtId="0" fontId="24" fillId="0" borderId="3" xfId="0" applyFont="1" applyBorder="1"/>
    <xf numFmtId="2" fontId="44" fillId="0" borderId="1" xfId="0" applyNumberFormat="1" applyFont="1" applyBorder="1" applyAlignment="1">
      <alignment horizontal="right"/>
    </xf>
    <xf numFmtId="1" fontId="66" fillId="0" borderId="4" xfId="0" applyNumberFormat="1" applyFont="1" applyBorder="1"/>
    <xf numFmtId="164" fontId="55" fillId="0" borderId="4" xfId="0" applyNumberFormat="1" applyFont="1" applyBorder="1"/>
    <xf numFmtId="2" fontId="55" fillId="0" borderId="4" xfId="0" applyNumberFormat="1" applyFont="1" applyBorder="1"/>
    <xf numFmtId="1" fontId="67" fillId="3" borderId="4" xfId="0" applyNumberFormat="1" applyFont="1" applyFill="1" applyBorder="1"/>
    <xf numFmtId="1" fontId="67" fillId="0" borderId="4" xfId="0" applyNumberFormat="1" applyFont="1" applyBorder="1"/>
    <xf numFmtId="1" fontId="46" fillId="0" borderId="4" xfId="0" applyNumberFormat="1" applyFont="1" applyBorder="1"/>
    <xf numFmtId="1" fontId="64" fillId="0" borderId="0" xfId="0" applyNumberFormat="1" applyFont="1"/>
    <xf numFmtId="0" fontId="16" fillId="0" borderId="10" xfId="0" applyFont="1" applyBorder="1"/>
    <xf numFmtId="0" fontId="3" fillId="0" borderId="3" xfId="0" applyFont="1" applyBorder="1" applyAlignment="1">
      <alignment wrapText="1"/>
    </xf>
    <xf numFmtId="49" fontId="3" fillId="0" borderId="1" xfId="0" applyNumberFormat="1" applyFont="1" applyBorder="1" applyAlignment="1">
      <alignment horizontal="right"/>
    </xf>
    <xf numFmtId="1" fontId="62" fillId="3" borderId="1" xfId="0" applyNumberFormat="1" applyFont="1" applyFill="1" applyBorder="1"/>
    <xf numFmtId="1" fontId="68" fillId="0" borderId="1" xfId="0" applyNumberFormat="1" applyFont="1" applyBorder="1" applyAlignment="1">
      <alignment horizontal="right"/>
    </xf>
    <xf numFmtId="1" fontId="62" fillId="0" borderId="0" xfId="0" applyNumberFormat="1" applyFont="1"/>
    <xf numFmtId="0" fontId="3" fillId="0" borderId="0" xfId="0" applyFont="1"/>
    <xf numFmtId="0" fontId="3" fillId="0" borderId="1" xfId="0" applyFont="1" applyBorder="1"/>
    <xf numFmtId="49" fontId="3" fillId="0" borderId="3" xfId="0" applyNumberFormat="1" applyFont="1" applyBorder="1" applyAlignment="1">
      <alignment horizontal="right"/>
    </xf>
    <xf numFmtId="0" fontId="27" fillId="0" borderId="1" xfId="0" applyFont="1" applyBorder="1"/>
    <xf numFmtId="0" fontId="44" fillId="2" borderId="3" xfId="0" applyFont="1" applyFill="1" applyBorder="1"/>
    <xf numFmtId="164" fontId="45" fillId="0" borderId="1" xfId="0" applyNumberFormat="1" applyFont="1" applyBorder="1"/>
    <xf numFmtId="164" fontId="2" fillId="0" borderId="0" xfId="0" applyNumberFormat="1" applyFont="1"/>
    <xf numFmtId="165" fontId="8" fillId="0" borderId="0" xfId="0" applyNumberFormat="1" applyFont="1"/>
    <xf numFmtId="1" fontId="16" fillId="0" borderId="5" xfId="0" applyNumberFormat="1" applyFont="1" applyBorder="1"/>
    <xf numFmtId="0" fontId="16" fillId="0" borderId="1" xfId="0" applyFont="1" applyBorder="1" applyAlignment="1">
      <alignment horizontal="center"/>
    </xf>
    <xf numFmtId="164" fontId="22" fillId="0" borderId="1" xfId="0" applyNumberFormat="1" applyFont="1" applyBorder="1"/>
    <xf numFmtId="0" fontId="2" fillId="0" borderId="1" xfId="0" applyFont="1" applyBorder="1"/>
    <xf numFmtId="1" fontId="44" fillId="0" borderId="1" xfId="0" applyNumberFormat="1" applyFont="1" applyBorder="1"/>
    <xf numFmtId="1" fontId="52" fillId="0" borderId="1" xfId="0" applyNumberFormat="1" applyFont="1" applyBorder="1"/>
    <xf numFmtId="49" fontId="27" fillId="0" borderId="1" xfId="0" applyNumberFormat="1" applyFont="1" applyBorder="1" applyAlignment="1">
      <alignment horizontal="right"/>
    </xf>
    <xf numFmtId="1" fontId="27" fillId="0" borderId="5" xfId="0" applyNumberFormat="1" applyFont="1" applyBorder="1"/>
    <xf numFmtId="1" fontId="66" fillId="0" borderId="1" xfId="0" applyNumberFormat="1" applyFont="1" applyBorder="1"/>
    <xf numFmtId="0" fontId="27" fillId="0" borderId="1" xfId="0" applyFont="1" applyBorder="1" applyAlignment="1">
      <alignment horizontal="center"/>
    </xf>
    <xf numFmtId="0" fontId="64" fillId="0" borderId="1" xfId="0" applyFont="1" applyBorder="1"/>
    <xf numFmtId="0" fontId="42" fillId="0" borderId="1" xfId="0" applyFont="1" applyBorder="1"/>
    <xf numFmtId="49" fontId="16" fillId="0" borderId="0" xfId="0" applyNumberFormat="1" applyFont="1" applyAlignment="1">
      <alignment horizontal="right"/>
    </xf>
    <xf numFmtId="1" fontId="22" fillId="3" borderId="0" xfId="0" applyNumberFormat="1" applyFont="1" applyFill="1"/>
    <xf numFmtId="1" fontId="38" fillId="0" borderId="0" xfId="0" applyNumberFormat="1" applyFont="1"/>
    <xf numFmtId="0" fontId="16" fillId="0" borderId="0" xfId="0" applyFont="1" applyAlignment="1">
      <alignment horizontal="left"/>
    </xf>
    <xf numFmtId="0" fontId="3" fillId="2" borderId="0" xfId="0" applyFont="1" applyFill="1" applyAlignment="1">
      <alignment horizontal="left"/>
    </xf>
    <xf numFmtId="0" fontId="16" fillId="0" borderId="0" xfId="0" applyFont="1" applyAlignment="1">
      <alignment horizontal="center"/>
    </xf>
    <xf numFmtId="1" fontId="16"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left"/>
    </xf>
    <xf numFmtId="1" fontId="3" fillId="2" borderId="0" xfId="0" applyNumberFormat="1" applyFont="1" applyFill="1" applyAlignment="1">
      <alignment horizontal="center"/>
    </xf>
    <xf numFmtId="2" fontId="2" fillId="3" borderId="0" xfId="0" applyNumberFormat="1" applyFont="1" applyFill="1"/>
    <xf numFmtId="0" fontId="3" fillId="0" borderId="0" xfId="0" applyFont="1" applyAlignment="1">
      <alignment horizontal="left"/>
    </xf>
    <xf numFmtId="2" fontId="3" fillId="2" borderId="0" xfId="0" applyNumberFormat="1" applyFont="1" applyFill="1"/>
    <xf numFmtId="49" fontId="72" fillId="0" borderId="0" xfId="1" applyNumberFormat="1" applyFont="1" applyAlignment="1">
      <alignment horizontal="center" vertical="center"/>
    </xf>
    <xf numFmtId="0" fontId="26" fillId="0" borderId="0" xfId="1" applyFont="1" applyAlignment="1">
      <alignment horizontal="center" vertical="center"/>
    </xf>
    <xf numFmtId="0" fontId="3" fillId="0" borderId="0" xfId="1" applyFont="1" applyAlignment="1">
      <alignment horizontal="center" vertical="center"/>
    </xf>
    <xf numFmtId="0" fontId="72" fillId="0" borderId="0" xfId="1" applyFont="1" applyAlignment="1">
      <alignment horizontal="center" vertical="center"/>
    </xf>
    <xf numFmtId="0" fontId="8" fillId="0" borderId="0" xfId="1" applyFont="1" applyAlignment="1">
      <alignment horizontal="center" vertical="center"/>
    </xf>
    <xf numFmtId="0" fontId="73" fillId="0" borderId="0" xfId="0" applyFont="1"/>
    <xf numFmtId="0" fontId="72" fillId="0" borderId="0" xfId="0" applyFont="1" applyAlignment="1">
      <alignment horizontal="center" vertical="center" readingOrder="1"/>
    </xf>
    <xf numFmtId="0" fontId="26" fillId="0" borderId="0" xfId="1" applyFont="1" applyAlignment="1">
      <alignment horizontal="center" vertical="center" wrapText="1"/>
    </xf>
    <xf numFmtId="0" fontId="74" fillId="0" borderId="0" xfId="1" applyFont="1" applyAlignment="1">
      <alignment horizontal="center" vertical="center"/>
    </xf>
    <xf numFmtId="0" fontId="8" fillId="0" borderId="0" xfId="0" applyFont="1" applyAlignment="1">
      <alignment horizontal="center" vertical="center" readingOrder="1"/>
    </xf>
    <xf numFmtId="0" fontId="10" fillId="0" borderId="0" xfId="1" applyFont="1" applyAlignment="1">
      <alignment horizontal="center" vertical="center"/>
    </xf>
    <xf numFmtId="1" fontId="10" fillId="0" borderId="0" xfId="1" applyNumberFormat="1" applyFont="1" applyAlignment="1">
      <alignment horizontal="center" vertical="center"/>
    </xf>
    <xf numFmtId="0" fontId="10" fillId="0" borderId="0" xfId="1" applyFont="1" applyAlignment="1">
      <alignment horizontal="left" vertical="center"/>
    </xf>
    <xf numFmtId="1" fontId="72" fillId="0" borderId="0" xfId="1" applyNumberFormat="1" applyFont="1" applyAlignment="1">
      <alignment horizontal="center" vertical="center"/>
    </xf>
    <xf numFmtId="0" fontId="75" fillId="0" borderId="0" xfId="1" applyFont="1" applyAlignment="1">
      <alignment horizontal="center" vertical="center"/>
    </xf>
    <xf numFmtId="0" fontId="23" fillId="0" borderId="0" xfId="0" applyFont="1" applyAlignment="1">
      <alignment horizontal="left" vertical="center" readingOrder="1"/>
    </xf>
    <xf numFmtId="0" fontId="6" fillId="0" borderId="0" xfId="1" applyFont="1" applyAlignment="1">
      <alignment horizontal="left" vertical="center"/>
    </xf>
    <xf numFmtId="0" fontId="10" fillId="0" borderId="0" xfId="0" applyFont="1" applyAlignment="1">
      <alignment horizontal="left" vertical="center" readingOrder="1"/>
    </xf>
    <xf numFmtId="0" fontId="69" fillId="0" borderId="0" xfId="1" applyFont="1" applyAlignment="1">
      <alignment horizontal="center" vertical="center" wrapText="1"/>
    </xf>
    <xf numFmtId="0" fontId="77" fillId="0" borderId="14" xfId="0" applyFont="1" applyBorder="1"/>
    <xf numFmtId="0" fontId="78" fillId="0" borderId="0" xfId="1" applyFont="1" applyAlignment="1">
      <alignment horizontal="center" vertical="center" wrapText="1"/>
    </xf>
    <xf numFmtId="0" fontId="72" fillId="0" borderId="11" xfId="1" applyFont="1" applyBorder="1" applyAlignment="1">
      <alignment horizontal="center" vertical="center" wrapText="1"/>
    </xf>
    <xf numFmtId="0" fontId="72" fillId="6" borderId="36" xfId="1" applyFont="1" applyFill="1" applyBorder="1" applyAlignment="1">
      <alignment vertical="center" textRotation="90" wrapText="1"/>
    </xf>
    <xf numFmtId="0" fontId="72" fillId="6" borderId="9" xfId="1" applyFont="1" applyFill="1" applyBorder="1" applyAlignment="1">
      <alignment vertical="center" textRotation="90" wrapText="1"/>
    </xf>
    <xf numFmtId="0" fontId="72" fillId="6" borderId="37" xfId="1" applyFont="1" applyFill="1" applyBorder="1" applyAlignment="1">
      <alignment vertical="center" textRotation="90" wrapText="1"/>
    </xf>
    <xf numFmtId="0" fontId="8" fillId="0" borderId="1" xfId="1" applyFont="1" applyBorder="1" applyAlignment="1">
      <alignment horizontal="center" vertical="center" wrapText="1"/>
    </xf>
    <xf numFmtId="0" fontId="72" fillId="0" borderId="7" xfId="1" applyFont="1" applyBorder="1" applyAlignment="1">
      <alignment horizontal="center" vertical="center" wrapText="1"/>
    </xf>
    <xf numFmtId="0" fontId="78" fillId="0" borderId="6" xfId="1" applyFont="1" applyBorder="1" applyAlignment="1">
      <alignment horizontal="center" vertical="center" wrapText="1"/>
    </xf>
    <xf numFmtId="0" fontId="79" fillId="0" borderId="33" xfId="1" applyFont="1" applyBorder="1" applyAlignment="1">
      <alignment horizontal="center" vertical="center"/>
    </xf>
    <xf numFmtId="1" fontId="79" fillId="0" borderId="1" xfId="1" applyNumberFormat="1" applyFont="1" applyBorder="1" applyAlignment="1">
      <alignment horizontal="center" vertical="center"/>
    </xf>
    <xf numFmtId="0" fontId="79" fillId="0" borderId="1" xfId="1" applyFont="1" applyBorder="1" applyAlignment="1">
      <alignment horizontal="center" vertical="center"/>
    </xf>
    <xf numFmtId="1" fontId="79" fillId="0" borderId="0" xfId="1" applyNumberFormat="1" applyFont="1" applyAlignment="1">
      <alignment horizontal="center" vertical="center"/>
    </xf>
    <xf numFmtId="49" fontId="78" fillId="4" borderId="1" xfId="1" applyNumberFormat="1" applyFont="1" applyFill="1" applyBorder="1" applyAlignment="1">
      <alignment horizontal="center" vertical="center"/>
    </xf>
    <xf numFmtId="0" fontId="78" fillId="4" borderId="3" xfId="1" applyFont="1" applyFill="1" applyBorder="1" applyAlignment="1">
      <alignment vertical="center" wrapText="1"/>
    </xf>
    <xf numFmtId="0" fontId="78" fillId="4" borderId="4" xfId="1" applyFont="1" applyFill="1" applyBorder="1" applyAlignment="1">
      <alignment vertical="center" wrapText="1"/>
    </xf>
    <xf numFmtId="0" fontId="78" fillId="4" borderId="5" xfId="1" applyFont="1" applyFill="1" applyBorder="1" applyAlignment="1">
      <alignment vertical="center" wrapText="1"/>
    </xf>
    <xf numFmtId="0" fontId="78" fillId="0" borderId="0" xfId="1" applyFont="1" applyAlignment="1">
      <alignment horizontal="left" vertical="center" wrapText="1"/>
    </xf>
    <xf numFmtId="0" fontId="78" fillId="4" borderId="0" xfId="1" applyFont="1" applyFill="1" applyAlignment="1">
      <alignment horizontal="center" vertical="center"/>
    </xf>
    <xf numFmtId="49" fontId="78" fillId="0" borderId="1" xfId="1" applyNumberFormat="1" applyFont="1" applyBorder="1" applyAlignment="1">
      <alignment horizontal="center" vertical="center"/>
    </xf>
    <xf numFmtId="0" fontId="78" fillId="0" borderId="1" xfId="1" applyFont="1" applyBorder="1" applyAlignment="1">
      <alignment horizontal="left" vertical="center" wrapText="1"/>
    </xf>
    <xf numFmtId="1" fontId="78" fillId="0" borderId="1" xfId="1" applyNumberFormat="1" applyFont="1" applyBorder="1" applyAlignment="1">
      <alignment horizontal="center" vertical="center" wrapText="1"/>
    </xf>
    <xf numFmtId="0" fontId="78" fillId="6" borderId="1" xfId="1" applyFont="1" applyFill="1" applyBorder="1" applyAlignment="1">
      <alignment horizontal="left" vertical="center" wrapText="1"/>
    </xf>
    <xf numFmtId="1" fontId="52" fillId="0" borderId="1" xfId="1" applyNumberFormat="1" applyFont="1" applyBorder="1" applyAlignment="1">
      <alignment horizontal="left" vertical="center" wrapText="1"/>
    </xf>
    <xf numFmtId="166" fontId="78" fillId="0" borderId="1" xfId="1" applyNumberFormat="1" applyFont="1" applyBorder="1" applyAlignment="1">
      <alignment horizontal="left" vertical="center" wrapText="1"/>
    </xf>
    <xf numFmtId="2" fontId="78" fillId="0" borderId="1" xfId="1" applyNumberFormat="1" applyFont="1" applyBorder="1" applyAlignment="1">
      <alignment horizontal="left" vertical="center" wrapText="1"/>
    </xf>
    <xf numFmtId="0" fontId="52" fillId="0" borderId="1" xfId="1" applyFont="1" applyBorder="1" applyAlignment="1">
      <alignment horizontal="left" vertical="center" wrapText="1"/>
    </xf>
    <xf numFmtId="1" fontId="78" fillId="7" borderId="1" xfId="1" applyNumberFormat="1" applyFont="1" applyFill="1" applyBorder="1" applyAlignment="1">
      <alignment horizontal="right" vertical="center" wrapText="1"/>
    </xf>
    <xf numFmtId="1" fontId="78" fillId="0" borderId="1" xfId="1" applyNumberFormat="1" applyFont="1" applyBorder="1" applyAlignment="1">
      <alignment horizontal="left" vertical="center" wrapText="1"/>
    </xf>
    <xf numFmtId="1" fontId="78" fillId="0" borderId="0" xfId="1" applyNumberFormat="1" applyFont="1" applyAlignment="1">
      <alignment horizontal="right" vertical="center" wrapText="1"/>
    </xf>
    <xf numFmtId="0" fontId="78" fillId="0" borderId="0" xfId="1" applyFont="1" applyAlignment="1">
      <alignment horizontal="center" vertical="center"/>
    </xf>
    <xf numFmtId="0" fontId="78" fillId="0" borderId="2" xfId="1" applyFont="1" applyBorder="1" applyAlignment="1">
      <alignment horizontal="left" vertical="center" wrapText="1"/>
    </xf>
    <xf numFmtId="49" fontId="80" fillId="0" borderId="1" xfId="1" applyNumberFormat="1" applyFont="1" applyBorder="1" applyAlignment="1">
      <alignment horizontal="center" vertical="center"/>
    </xf>
    <xf numFmtId="0" fontId="80" fillId="0" borderId="2" xfId="1" applyFont="1" applyBorder="1" applyAlignment="1">
      <alignment horizontal="left" vertical="center" wrapText="1"/>
    </xf>
    <xf numFmtId="0" fontId="80" fillId="0" borderId="1" xfId="1" applyFont="1" applyBorder="1" applyAlignment="1">
      <alignment horizontal="center" vertical="center" wrapText="1"/>
    </xf>
    <xf numFmtId="0" fontId="80" fillId="6" borderId="1" xfId="1" applyFont="1" applyFill="1" applyBorder="1" applyAlignment="1">
      <alignment horizontal="left" vertical="center" wrapText="1"/>
    </xf>
    <xf numFmtId="0" fontId="80" fillId="0" borderId="1" xfId="1" applyFont="1" applyBorder="1" applyAlignment="1">
      <alignment horizontal="left" vertical="center" wrapText="1"/>
    </xf>
    <xf numFmtId="1" fontId="81" fillId="0" borderId="1" xfId="1" applyNumberFormat="1" applyFont="1" applyBorder="1" applyAlignment="1">
      <alignment horizontal="left" vertical="center" wrapText="1"/>
    </xf>
    <xf numFmtId="2" fontId="80" fillId="0" borderId="1" xfId="1" applyNumberFormat="1" applyFont="1" applyBorder="1" applyAlignment="1">
      <alignment horizontal="left" vertical="center" wrapText="1"/>
    </xf>
    <xf numFmtId="0" fontId="81" fillId="0" borderId="1" xfId="1" applyFont="1" applyBorder="1" applyAlignment="1">
      <alignment horizontal="left" vertical="center" wrapText="1"/>
    </xf>
    <xf numFmtId="1" fontId="80" fillId="7" borderId="1" xfId="1" applyNumberFormat="1" applyFont="1" applyFill="1" applyBorder="1" applyAlignment="1">
      <alignment horizontal="right" vertical="center" wrapText="1"/>
    </xf>
    <xf numFmtId="1" fontId="80" fillId="0" borderId="1" xfId="1" applyNumberFormat="1" applyFont="1" applyBorder="1" applyAlignment="1">
      <alignment horizontal="left" vertical="center" wrapText="1"/>
    </xf>
    <xf numFmtId="1" fontId="80" fillId="0" borderId="0" xfId="1" applyNumberFormat="1" applyFont="1" applyAlignment="1">
      <alignment horizontal="right" vertical="center" wrapText="1"/>
    </xf>
    <xf numFmtId="1" fontId="82" fillId="0" borderId="0" xfId="1" applyNumberFormat="1" applyFont="1" applyAlignment="1">
      <alignment horizontal="center" vertical="center"/>
    </xf>
    <xf numFmtId="0" fontId="80" fillId="0" borderId="0" xfId="1" applyFont="1" applyAlignment="1">
      <alignment horizontal="center" vertical="center"/>
    </xf>
    <xf numFmtId="2" fontId="78" fillId="2" borderId="1" xfId="1" applyNumberFormat="1" applyFont="1" applyFill="1" applyBorder="1" applyAlignment="1">
      <alignment horizontal="left" vertical="center" wrapText="1"/>
    </xf>
    <xf numFmtId="2" fontId="31" fillId="0" borderId="1" xfId="1" applyNumberFormat="1" applyFont="1" applyBorder="1" applyAlignment="1">
      <alignment horizontal="left" vertical="center" wrapText="1"/>
    </xf>
    <xf numFmtId="1" fontId="52" fillId="2" borderId="1" xfId="1" applyNumberFormat="1" applyFont="1" applyFill="1" applyBorder="1" applyAlignment="1">
      <alignment horizontal="left" vertical="center" wrapText="1"/>
    </xf>
    <xf numFmtId="166" fontId="78" fillId="0" borderId="1" xfId="1" applyNumberFormat="1" applyFont="1" applyBorder="1" applyAlignment="1">
      <alignment horizontal="center" vertical="center" wrapText="1"/>
    </xf>
    <xf numFmtId="49" fontId="78" fillId="7" borderId="1" xfId="1" applyNumberFormat="1" applyFont="1" applyFill="1" applyBorder="1" applyAlignment="1">
      <alignment horizontal="center" vertical="center"/>
    </xf>
    <xf numFmtId="0" fontId="78" fillId="7" borderId="1" xfId="1" applyFont="1" applyFill="1" applyBorder="1" applyAlignment="1">
      <alignment horizontal="left" vertical="center" wrapText="1"/>
    </xf>
    <xf numFmtId="166" fontId="78" fillId="7" borderId="1" xfId="1" applyNumberFormat="1" applyFont="1" applyFill="1" applyBorder="1" applyAlignment="1">
      <alignment horizontal="center" vertical="center"/>
    </xf>
    <xf numFmtId="0" fontId="78" fillId="7" borderId="1" xfId="1" applyFont="1" applyFill="1" applyBorder="1" applyAlignment="1">
      <alignment horizontal="center" vertical="center"/>
    </xf>
    <xf numFmtId="0" fontId="52" fillId="7" borderId="1" xfId="1" applyFont="1" applyFill="1" applyBorder="1" applyAlignment="1">
      <alignment horizontal="center" vertical="center"/>
    </xf>
    <xf numFmtId="0" fontId="31" fillId="7" borderId="1" xfId="1" applyFont="1" applyFill="1" applyBorder="1" applyAlignment="1">
      <alignment horizontal="center" vertical="center"/>
    </xf>
    <xf numFmtId="1" fontId="78" fillId="7" borderId="1" xfId="1" applyNumberFormat="1" applyFont="1" applyFill="1" applyBorder="1" applyAlignment="1">
      <alignment horizontal="right" vertical="center"/>
    </xf>
    <xf numFmtId="1" fontId="78" fillId="0" borderId="1" xfId="1" applyNumberFormat="1" applyFont="1" applyBorder="1" applyAlignment="1">
      <alignment horizontal="right" vertical="center"/>
    </xf>
    <xf numFmtId="1" fontId="78" fillId="0" borderId="0" xfId="1" applyNumberFormat="1" applyFont="1" applyAlignment="1">
      <alignment horizontal="right" vertical="center"/>
    </xf>
    <xf numFmtId="1" fontId="78" fillId="7" borderId="0" xfId="1" applyNumberFormat="1" applyFont="1" applyFill="1" applyAlignment="1">
      <alignment horizontal="center" vertical="center"/>
    </xf>
    <xf numFmtId="0" fontId="78" fillId="7" borderId="0" xfId="1" applyFont="1" applyFill="1" applyAlignment="1">
      <alignment horizontal="center" vertical="center"/>
    </xf>
    <xf numFmtId="0" fontId="78" fillId="0" borderId="3" xfId="1" applyFont="1" applyBorder="1" applyAlignment="1">
      <alignment horizontal="left" vertical="center" wrapText="1"/>
    </xf>
    <xf numFmtId="166" fontId="78" fillId="0" borderId="4" xfId="1" applyNumberFormat="1" applyFont="1" applyBorder="1" applyAlignment="1">
      <alignment horizontal="center" vertical="center"/>
    </xf>
    <xf numFmtId="0" fontId="78" fillId="0" borderId="4" xfId="1" applyFont="1" applyBorder="1" applyAlignment="1">
      <alignment horizontal="center" vertical="center"/>
    </xf>
    <xf numFmtId="0" fontId="52" fillId="0" borderId="4" xfId="1" applyFont="1" applyBorder="1" applyAlignment="1">
      <alignment horizontal="center" vertical="center"/>
    </xf>
    <xf numFmtId="1" fontId="78" fillId="0" borderId="4" xfId="1" applyNumberFormat="1" applyFont="1" applyBorder="1" applyAlignment="1">
      <alignment horizontal="right" vertical="center"/>
    </xf>
    <xf numFmtId="1" fontId="78" fillId="0" borderId="5" xfId="1" applyNumberFormat="1" applyFont="1" applyBorder="1" applyAlignment="1">
      <alignment horizontal="right" vertical="center"/>
    </xf>
    <xf numFmtId="1" fontId="78" fillId="0" borderId="0" xfId="1" applyNumberFormat="1" applyFont="1" applyAlignment="1">
      <alignment horizontal="center" vertical="center"/>
    </xf>
    <xf numFmtId="0" fontId="78" fillId="4" borderId="3" xfId="1" applyFont="1" applyFill="1" applyBorder="1" applyAlignment="1">
      <alignment vertical="center"/>
    </xf>
    <xf numFmtId="0" fontId="83" fillId="4" borderId="2" xfId="1" applyFont="1" applyFill="1" applyBorder="1" applyAlignment="1">
      <alignment horizontal="left" vertical="center" wrapText="1"/>
    </xf>
    <xf numFmtId="0" fontId="78" fillId="4" borderId="4" xfId="1" applyFont="1" applyFill="1" applyBorder="1" applyAlignment="1">
      <alignment horizontal="left" vertical="center" wrapText="1"/>
    </xf>
    <xf numFmtId="0" fontId="78" fillId="4" borderId="5" xfId="1" applyFont="1" applyFill="1" applyBorder="1" applyAlignment="1">
      <alignment horizontal="left" vertical="center" wrapText="1"/>
    </xf>
    <xf numFmtId="0" fontId="72" fillId="6" borderId="1" xfId="1" applyFont="1" applyFill="1" applyBorder="1" applyAlignment="1">
      <alignment horizontal="center" vertical="center"/>
    </xf>
    <xf numFmtId="1" fontId="78" fillId="7" borderId="1" xfId="1" applyNumberFormat="1" applyFont="1" applyFill="1" applyBorder="1" applyAlignment="1">
      <alignment horizontal="center" vertical="center"/>
    </xf>
    <xf numFmtId="0" fontId="72" fillId="7" borderId="1" xfId="1" applyFont="1" applyFill="1" applyBorder="1" applyAlignment="1">
      <alignment horizontal="center" vertical="center"/>
    </xf>
    <xf numFmtId="0" fontId="52" fillId="7" borderId="1" xfId="1" applyFont="1" applyFill="1" applyBorder="1" applyAlignment="1">
      <alignment horizontal="left" vertical="center" wrapText="1"/>
    </xf>
    <xf numFmtId="2" fontId="78" fillId="7" borderId="1" xfId="1" applyNumberFormat="1" applyFont="1" applyFill="1" applyBorder="1" applyAlignment="1">
      <alignment horizontal="left" vertical="center" wrapText="1"/>
    </xf>
    <xf numFmtId="0" fontId="31" fillId="7" borderId="1" xfId="1" applyFont="1" applyFill="1" applyBorder="1" applyAlignment="1">
      <alignment horizontal="center" vertical="center" wrapText="1"/>
    </xf>
    <xf numFmtId="0" fontId="83" fillId="4" borderId="3" xfId="1" applyFont="1" applyFill="1" applyBorder="1" applyAlignment="1">
      <alignment vertical="center"/>
    </xf>
    <xf numFmtId="0" fontId="83" fillId="4" borderId="4" xfId="1" applyFont="1" applyFill="1" applyBorder="1" applyAlignment="1">
      <alignment vertical="center" wrapText="1"/>
    </xf>
    <xf numFmtId="0" fontId="83" fillId="4" borderId="4" xfId="1" applyFont="1" applyFill="1" applyBorder="1" applyAlignment="1">
      <alignment vertical="center"/>
    </xf>
    <xf numFmtId="0" fontId="83" fillId="4" borderId="5" xfId="1" applyFont="1" applyFill="1" applyBorder="1" applyAlignment="1">
      <alignment vertical="center"/>
    </xf>
    <xf numFmtId="1" fontId="52" fillId="0" borderId="0" xfId="1" applyNumberFormat="1" applyFont="1" applyAlignment="1">
      <alignment horizontal="center" vertical="center"/>
    </xf>
    <xf numFmtId="0" fontId="31" fillId="0" borderId="1" xfId="1" applyFont="1" applyBorder="1" applyAlignment="1">
      <alignment horizontal="left" vertical="center" wrapText="1"/>
    </xf>
    <xf numFmtId="1" fontId="78" fillId="8" borderId="1" xfId="1" applyNumberFormat="1" applyFont="1" applyFill="1" applyBorder="1" applyAlignment="1">
      <alignment horizontal="left" vertical="center" wrapText="1"/>
    </xf>
    <xf numFmtId="0" fontId="78" fillId="8" borderId="1" xfId="1" applyFont="1" applyFill="1" applyBorder="1" applyAlignment="1">
      <alignment horizontal="left" vertical="center" wrapText="1"/>
    </xf>
    <xf numFmtId="1" fontId="31" fillId="0" borderId="1" xfId="1" applyNumberFormat="1" applyFont="1" applyBorder="1" applyAlignment="1">
      <alignment horizontal="left" vertical="center" wrapText="1"/>
    </xf>
    <xf numFmtId="1" fontId="78" fillId="2" borderId="0" xfId="1" applyNumberFormat="1" applyFont="1" applyFill="1" applyAlignment="1">
      <alignment horizontal="right" vertical="center" wrapText="1"/>
    </xf>
    <xf numFmtId="49" fontId="72" fillId="0" borderId="1" xfId="1" applyNumberFormat="1" applyFont="1" applyBorder="1" applyAlignment="1">
      <alignment horizontal="center" vertical="center"/>
    </xf>
    <xf numFmtId="0" fontId="72" fillId="0" borderId="1" xfId="1" applyFont="1" applyBorder="1" applyAlignment="1">
      <alignment horizontal="center" vertical="center"/>
    </xf>
    <xf numFmtId="0" fontId="72" fillId="0" borderId="1" xfId="1" applyFont="1" applyBorder="1" applyAlignment="1">
      <alignment horizontal="left" vertical="center" wrapText="1"/>
    </xf>
    <xf numFmtId="0" fontId="8" fillId="0" borderId="1" xfId="1" applyFont="1" applyBorder="1" applyAlignment="1">
      <alignment horizontal="center" vertical="center"/>
    </xf>
    <xf numFmtId="1" fontId="72" fillId="7" borderId="1" xfId="1" applyNumberFormat="1" applyFont="1" applyFill="1" applyBorder="1" applyAlignment="1">
      <alignment horizontal="center" vertical="center"/>
    </xf>
    <xf numFmtId="1" fontId="31" fillId="7" borderId="1" xfId="1" applyNumberFormat="1" applyFont="1" applyFill="1" applyBorder="1" applyAlignment="1">
      <alignment horizontal="center" vertical="center"/>
    </xf>
    <xf numFmtId="1" fontId="78" fillId="0" borderId="4" xfId="1" applyNumberFormat="1" applyFont="1" applyBorder="1" applyAlignment="1">
      <alignment horizontal="center" vertical="center"/>
    </xf>
    <xf numFmtId="0" fontId="72" fillId="0" borderId="4" xfId="1" applyFont="1" applyBorder="1" applyAlignment="1">
      <alignment horizontal="center" vertical="center"/>
    </xf>
    <xf numFmtId="0" fontId="78" fillId="0" borderId="4" xfId="1" applyFont="1" applyBorder="1" applyAlignment="1">
      <alignment horizontal="left" vertical="center" wrapText="1"/>
    </xf>
    <xf numFmtId="0" fontId="52" fillId="0" borderId="4" xfId="1" applyFont="1" applyBorder="1" applyAlignment="1">
      <alignment horizontal="left" vertical="center" wrapText="1"/>
    </xf>
    <xf numFmtId="2" fontId="78" fillId="0" borderId="4" xfId="1" applyNumberFormat="1" applyFont="1" applyBorder="1" applyAlignment="1">
      <alignment horizontal="left" vertical="center" wrapText="1"/>
    </xf>
    <xf numFmtId="0" fontId="78" fillId="0" borderId="4" xfId="1" applyFont="1" applyBorder="1" applyAlignment="1">
      <alignment horizontal="center" vertical="center" wrapText="1"/>
    </xf>
    <xf numFmtId="1" fontId="78" fillId="0" borderId="4" xfId="1" applyNumberFormat="1" applyFont="1" applyBorder="1" applyAlignment="1">
      <alignment horizontal="right" vertical="center" wrapText="1"/>
    </xf>
    <xf numFmtId="0" fontId="78" fillId="7" borderId="4" xfId="1" applyFont="1" applyFill="1" applyBorder="1" applyAlignment="1">
      <alignment horizontal="left" vertical="center" wrapText="1"/>
    </xf>
    <xf numFmtId="0" fontId="52" fillId="7" borderId="4" xfId="1" applyFont="1" applyFill="1" applyBorder="1" applyAlignment="1">
      <alignment horizontal="left" vertical="center" wrapText="1"/>
    </xf>
    <xf numFmtId="1" fontId="78" fillId="7" borderId="4" xfId="1" applyNumberFormat="1" applyFont="1" applyFill="1" applyBorder="1" applyAlignment="1">
      <alignment horizontal="right" vertical="center" wrapText="1"/>
    </xf>
    <xf numFmtId="1" fontId="78" fillId="7" borderId="5" xfId="1" applyNumberFormat="1" applyFont="1" applyFill="1" applyBorder="1" applyAlignment="1">
      <alignment horizontal="right" vertical="center" wrapText="1"/>
    </xf>
    <xf numFmtId="0" fontId="83" fillId="4" borderId="3" xfId="1" applyFont="1" applyFill="1" applyBorder="1" applyAlignment="1">
      <alignment vertical="center" wrapText="1"/>
    </xf>
    <xf numFmtId="0" fontId="83" fillId="4" borderId="5" xfId="1" applyFont="1" applyFill="1" applyBorder="1" applyAlignment="1">
      <alignment vertical="center" wrapText="1"/>
    </xf>
    <xf numFmtId="0" fontId="78" fillId="7" borderId="1" xfId="1" applyFont="1" applyFill="1" applyBorder="1" applyAlignment="1">
      <alignment horizontal="right" vertical="center" wrapText="1"/>
    </xf>
    <xf numFmtId="2" fontId="52" fillId="0" borderId="1" xfId="1" applyNumberFormat="1" applyFont="1" applyBorder="1" applyAlignment="1">
      <alignment horizontal="left" vertical="center" wrapText="1"/>
    </xf>
    <xf numFmtId="1" fontId="78" fillId="0" borderId="8" xfId="1" applyNumberFormat="1" applyFont="1" applyBorder="1" applyAlignment="1">
      <alignment horizontal="center" vertical="center" wrapText="1"/>
    </xf>
    <xf numFmtId="0" fontId="78" fillId="0" borderId="8" xfId="1" applyFont="1" applyBorder="1" applyAlignment="1">
      <alignment horizontal="left" vertical="center" wrapText="1"/>
    </xf>
    <xf numFmtId="0" fontId="78" fillId="2" borderId="1" xfId="1" applyFont="1" applyFill="1" applyBorder="1" applyAlignment="1">
      <alignment horizontal="left" vertical="center" wrapText="1"/>
    </xf>
    <xf numFmtId="0" fontId="78" fillId="0" borderId="8" xfId="1" applyFont="1" applyBorder="1" applyAlignment="1">
      <alignment horizontal="center" vertical="center" wrapText="1"/>
    </xf>
    <xf numFmtId="1" fontId="78" fillId="0" borderId="8" xfId="1" applyNumberFormat="1" applyFont="1" applyBorder="1" applyAlignment="1">
      <alignment horizontal="left" vertical="center" wrapText="1"/>
    </xf>
    <xf numFmtId="1" fontId="78" fillId="7" borderId="1" xfId="1" applyNumberFormat="1" applyFont="1" applyFill="1" applyBorder="1" applyAlignment="1">
      <alignment horizontal="left" vertical="center" wrapText="1"/>
    </xf>
    <xf numFmtId="1" fontId="78" fillId="0" borderId="0" xfId="1" applyNumberFormat="1" applyFont="1" applyAlignment="1">
      <alignment horizontal="left" vertical="center" wrapText="1"/>
    </xf>
    <xf numFmtId="0" fontId="78" fillId="7" borderId="3" xfId="1" applyFont="1" applyFill="1" applyBorder="1" applyAlignment="1">
      <alignment horizontal="left" vertical="center" wrapText="1"/>
    </xf>
    <xf numFmtId="49" fontId="72" fillId="4" borderId="1" xfId="1" applyNumberFormat="1" applyFont="1" applyFill="1" applyBorder="1" applyAlignment="1">
      <alignment horizontal="center" vertical="center"/>
    </xf>
    <xf numFmtId="0" fontId="72" fillId="4" borderId="0" xfId="1" applyFont="1" applyFill="1" applyAlignment="1">
      <alignment horizontal="center" vertical="center"/>
    </xf>
    <xf numFmtId="49" fontId="82" fillId="0" borderId="1" xfId="1" applyNumberFormat="1" applyFont="1" applyBorder="1" applyAlignment="1">
      <alignment horizontal="center" vertical="center"/>
    </xf>
    <xf numFmtId="1" fontId="80" fillId="0" borderId="1" xfId="1" applyNumberFormat="1" applyFont="1" applyBorder="1" applyAlignment="1">
      <alignment horizontal="center" vertical="center" wrapText="1"/>
    </xf>
    <xf numFmtId="0" fontId="82" fillId="0" borderId="0" xfId="1" applyFont="1" applyAlignment="1">
      <alignment horizontal="center" vertical="center"/>
    </xf>
    <xf numFmtId="1" fontId="78" fillId="0" borderId="8" xfId="1" applyNumberFormat="1" applyFont="1" applyBorder="1" applyAlignment="1">
      <alignment horizontal="center" vertical="center"/>
    </xf>
    <xf numFmtId="1" fontId="78" fillId="7" borderId="8" xfId="1" applyNumberFormat="1" applyFont="1" applyFill="1" applyBorder="1" applyAlignment="1">
      <alignment horizontal="center" vertical="center"/>
    </xf>
    <xf numFmtId="49" fontId="78" fillId="0" borderId="0" xfId="1" applyNumberFormat="1" applyFont="1" applyAlignment="1">
      <alignment horizontal="center" vertical="center"/>
    </xf>
    <xf numFmtId="166" fontId="78" fillId="0" borderId="0" xfId="1" applyNumberFormat="1" applyFont="1" applyAlignment="1">
      <alignment horizontal="center" vertical="center"/>
    </xf>
    <xf numFmtId="0" fontId="52" fillId="0" borderId="0" xfId="1" applyFont="1" applyAlignment="1">
      <alignment horizontal="center" vertical="center"/>
    </xf>
    <xf numFmtId="49" fontId="78" fillId="9" borderId="1" xfId="1" applyNumberFormat="1" applyFont="1" applyFill="1" applyBorder="1" applyAlignment="1">
      <alignment horizontal="center" vertical="center"/>
    </xf>
    <xf numFmtId="0" fontId="78" fillId="9" borderId="1" xfId="1" applyFont="1" applyFill="1" applyBorder="1" applyAlignment="1">
      <alignment horizontal="left" vertical="center" wrapText="1"/>
    </xf>
    <xf numFmtId="0" fontId="78" fillId="9" borderId="1" xfId="1" applyFont="1" applyFill="1" applyBorder="1" applyAlignment="1">
      <alignment horizontal="center" vertical="center" wrapText="1"/>
    </xf>
    <xf numFmtId="0" fontId="52" fillId="9" borderId="1" xfId="1" applyFont="1" applyFill="1" applyBorder="1" applyAlignment="1">
      <alignment horizontal="left" vertical="center" wrapText="1"/>
    </xf>
    <xf numFmtId="1" fontId="78" fillId="9" borderId="1" xfId="1" applyNumberFormat="1" applyFont="1" applyFill="1" applyBorder="1" applyAlignment="1">
      <alignment horizontal="left" vertical="center" wrapText="1"/>
    </xf>
    <xf numFmtId="0" fontId="78" fillId="9" borderId="0" xfId="1" applyFont="1" applyFill="1" applyAlignment="1">
      <alignment horizontal="center" vertical="center"/>
    </xf>
    <xf numFmtId="1" fontId="52" fillId="0" borderId="0" xfId="1" applyNumberFormat="1" applyFont="1" applyAlignment="1">
      <alignment horizontal="left" vertical="center" wrapText="1"/>
    </xf>
    <xf numFmtId="2" fontId="78" fillId="0" borderId="0" xfId="1" applyNumberFormat="1" applyFont="1" applyAlignment="1">
      <alignment horizontal="left" vertical="center" wrapText="1"/>
    </xf>
    <xf numFmtId="0" fontId="52" fillId="0" borderId="0" xfId="1" applyFont="1" applyAlignment="1">
      <alignment horizontal="left" vertical="center" wrapText="1"/>
    </xf>
    <xf numFmtId="2" fontId="52" fillId="0" borderId="0" xfId="1" applyNumberFormat="1" applyFont="1" applyAlignment="1">
      <alignment horizontal="left" vertical="center" wrapText="1"/>
    </xf>
    <xf numFmtId="2" fontId="78" fillId="0" borderId="1" xfId="1" applyNumberFormat="1" applyFont="1" applyBorder="1" applyAlignment="1">
      <alignment horizontal="center" vertical="center" wrapText="1"/>
    </xf>
    <xf numFmtId="1" fontId="78" fillId="0" borderId="1" xfId="1" applyNumberFormat="1" applyFont="1" applyBorder="1" applyAlignment="1">
      <alignment horizontal="center" vertical="center"/>
    </xf>
    <xf numFmtId="0" fontId="78" fillId="0" borderId="1" xfId="1" applyFont="1" applyBorder="1" applyAlignment="1">
      <alignment horizontal="center" vertical="center"/>
    </xf>
    <xf numFmtId="0" fontId="52" fillId="0" borderId="1" xfId="1" applyFont="1" applyBorder="1" applyAlignment="1">
      <alignment horizontal="center" vertical="center"/>
    </xf>
    <xf numFmtId="0" fontId="84" fillId="6" borderId="1" xfId="1" applyFont="1" applyFill="1" applyBorder="1" applyAlignment="1">
      <alignment horizontal="left" vertical="center" wrapText="1"/>
    </xf>
    <xf numFmtId="49" fontId="78" fillId="7" borderId="41" xfId="1" applyNumberFormat="1" applyFont="1" applyFill="1" applyBorder="1" applyAlignment="1">
      <alignment horizontal="center" vertical="center"/>
    </xf>
    <xf numFmtId="0" fontId="78" fillId="7" borderId="42" xfId="1" applyFont="1" applyFill="1" applyBorder="1" applyAlignment="1">
      <alignment horizontal="left" vertical="center" wrapText="1"/>
    </xf>
    <xf numFmtId="166" fontId="78" fillId="7" borderId="42" xfId="1" applyNumberFormat="1" applyFont="1" applyFill="1" applyBorder="1" applyAlignment="1">
      <alignment horizontal="center" vertical="center"/>
    </xf>
    <xf numFmtId="0" fontId="78" fillId="7" borderId="42" xfId="1" applyFont="1" applyFill="1" applyBorder="1" applyAlignment="1">
      <alignment horizontal="center" vertical="center"/>
    </xf>
    <xf numFmtId="0" fontId="52" fillId="7" borderId="42" xfId="1" applyFont="1" applyFill="1" applyBorder="1" applyAlignment="1">
      <alignment horizontal="center" vertical="center"/>
    </xf>
    <xf numFmtId="1" fontId="78" fillId="7" borderId="42" xfId="1" applyNumberFormat="1" applyFont="1" applyFill="1" applyBorder="1" applyAlignment="1">
      <alignment horizontal="center" vertical="center"/>
    </xf>
    <xf numFmtId="0" fontId="85" fillId="0" borderId="0" xfId="0" applyFont="1" applyAlignment="1">
      <alignment horizontal="center"/>
    </xf>
    <xf numFmtId="0" fontId="85" fillId="0" borderId="0" xfId="0" applyFont="1"/>
    <xf numFmtId="166" fontId="8" fillId="0" borderId="0" xfId="1" applyNumberFormat="1" applyFont="1" applyAlignment="1">
      <alignment horizontal="center" vertical="center"/>
    </xf>
    <xf numFmtId="1" fontId="8" fillId="0" borderId="0" xfId="1" applyNumberFormat="1" applyFont="1" applyAlignment="1">
      <alignment horizontal="center" vertical="center"/>
    </xf>
    <xf numFmtId="0" fontId="86"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left"/>
    </xf>
    <xf numFmtId="0" fontId="87" fillId="0" borderId="0" xfId="0" applyFont="1" applyAlignment="1">
      <alignment horizontal="center"/>
    </xf>
    <xf numFmtId="0" fontId="87" fillId="0" borderId="0" xfId="0" applyFont="1" applyAlignment="1">
      <alignment horizontal="left"/>
    </xf>
    <xf numFmtId="0" fontId="86" fillId="0" borderId="0" xfId="0" applyFont="1" applyAlignment="1">
      <alignment horizontal="left"/>
    </xf>
    <xf numFmtId="0" fontId="72" fillId="0" borderId="0" xfId="1" applyFont="1" applyAlignment="1">
      <alignment horizontal="left" vertical="center"/>
    </xf>
    <xf numFmtId="0" fontId="88" fillId="0" borderId="0" xfId="0" applyFont="1"/>
    <xf numFmtId="1" fontId="26" fillId="0" borderId="0" xfId="1" applyNumberFormat="1" applyFont="1" applyAlignment="1">
      <alignment horizontal="center" vertical="center"/>
    </xf>
    <xf numFmtId="1" fontId="89" fillId="0" borderId="0" xfId="1" applyNumberFormat="1" applyFont="1" applyAlignment="1">
      <alignment horizontal="center" vertical="center"/>
    </xf>
    <xf numFmtId="0" fontId="79" fillId="0" borderId="0" xfId="1" applyFont="1" applyAlignment="1">
      <alignment horizontal="center" vertical="center"/>
    </xf>
    <xf numFmtId="0" fontId="90" fillId="0" borderId="0" xfId="0" applyFont="1"/>
    <xf numFmtId="0" fontId="90" fillId="0" borderId="0" xfId="0" applyFont="1" applyAlignment="1">
      <alignment horizontal="left"/>
    </xf>
    <xf numFmtId="0" fontId="10" fillId="0" borderId="0" xfId="0" applyFont="1" applyAlignment="1">
      <alignment horizontal="left"/>
    </xf>
    <xf numFmtId="0" fontId="77" fillId="0" borderId="0" xfId="0" applyFont="1"/>
    <xf numFmtId="0" fontId="72" fillId="0" borderId="1" xfId="1" applyFont="1" applyBorder="1" applyAlignment="1">
      <alignment horizontal="center" vertical="center" wrapText="1"/>
    </xf>
    <xf numFmtId="0" fontId="78" fillId="0" borderId="1" xfId="1" applyFont="1" applyBorder="1" applyAlignment="1">
      <alignment horizontal="center" vertical="center" wrapText="1"/>
    </xf>
    <xf numFmtId="0" fontId="72" fillId="6" borderId="1" xfId="1" applyFont="1" applyFill="1" applyBorder="1" applyAlignment="1">
      <alignment vertical="center" textRotation="90" wrapText="1"/>
    </xf>
    <xf numFmtId="0" fontId="72" fillId="0" borderId="33" xfId="1" applyFont="1" applyBorder="1" applyAlignment="1">
      <alignment horizontal="center" vertical="center"/>
    </xf>
    <xf numFmtId="1" fontId="72" fillId="0" borderId="1" xfId="1" applyNumberFormat="1" applyFont="1" applyBorder="1" applyAlignment="1">
      <alignment horizontal="center" vertical="center"/>
    </xf>
    <xf numFmtId="166" fontId="80" fillId="0" borderId="1" xfId="1" applyNumberFormat="1" applyFont="1" applyBorder="1" applyAlignment="1">
      <alignment horizontal="left" vertical="center" wrapText="1"/>
    </xf>
    <xf numFmtId="2" fontId="80" fillId="2" borderId="1" xfId="1" applyNumberFormat="1" applyFont="1" applyFill="1" applyBorder="1" applyAlignment="1">
      <alignment horizontal="left" vertical="center" wrapText="1"/>
    </xf>
    <xf numFmtId="1" fontId="81" fillId="2" borderId="1" xfId="1" applyNumberFormat="1" applyFont="1" applyFill="1" applyBorder="1" applyAlignment="1">
      <alignment horizontal="left" vertical="center" wrapText="1"/>
    </xf>
    <xf numFmtId="0" fontId="78" fillId="0" borderId="6" xfId="1" applyFont="1" applyBorder="1" applyAlignment="1">
      <alignment horizontal="center" vertical="center"/>
    </xf>
    <xf numFmtId="0" fontId="83" fillId="4" borderId="6" xfId="1" applyFont="1" applyFill="1" applyBorder="1" applyAlignment="1">
      <alignment vertical="center" wrapText="1"/>
    </xf>
    <xf numFmtId="1" fontId="83" fillId="4" borderId="4" xfId="1" applyNumberFormat="1" applyFont="1" applyFill="1" applyBorder="1" applyAlignment="1">
      <alignment vertical="center"/>
    </xf>
    <xf numFmtId="2" fontId="72" fillId="0" borderId="1" xfId="1" applyNumberFormat="1" applyFont="1" applyBorder="1" applyAlignment="1">
      <alignment horizontal="center" vertical="center"/>
    </xf>
    <xf numFmtId="2" fontId="78" fillId="7" borderId="1" xfId="1" applyNumberFormat="1" applyFont="1" applyFill="1" applyBorder="1" applyAlignment="1">
      <alignment horizontal="center" vertical="center"/>
    </xf>
    <xf numFmtId="1" fontId="78" fillId="0" borderId="5" xfId="1" applyNumberFormat="1" applyFont="1" applyBorder="1" applyAlignment="1">
      <alignment horizontal="right" vertical="center" wrapText="1"/>
    </xf>
    <xf numFmtId="1" fontId="80" fillId="0" borderId="8" xfId="1" applyNumberFormat="1" applyFont="1" applyBorder="1" applyAlignment="1">
      <alignment horizontal="center" vertical="center" wrapText="1"/>
    </xf>
    <xf numFmtId="0" fontId="80" fillId="0" borderId="8" xfId="1" applyFont="1" applyBorder="1" applyAlignment="1">
      <alignment horizontal="left" vertical="center" wrapText="1"/>
    </xf>
    <xf numFmtId="0" fontId="80" fillId="2" borderId="1" xfId="1" applyFont="1" applyFill="1" applyBorder="1" applyAlignment="1">
      <alignment horizontal="left" vertical="center" wrapText="1"/>
    </xf>
    <xf numFmtId="0" fontId="80" fillId="0" borderId="8" xfId="1" applyFont="1" applyBorder="1" applyAlignment="1">
      <alignment horizontal="center" vertical="center" wrapText="1"/>
    </xf>
    <xf numFmtId="1" fontId="80" fillId="0" borderId="8" xfId="1" applyNumberFormat="1" applyFont="1" applyBorder="1" applyAlignment="1">
      <alignment horizontal="left" vertical="center" wrapText="1"/>
    </xf>
    <xf numFmtId="0" fontId="80" fillId="7" borderId="1" xfId="1" applyFont="1" applyFill="1" applyBorder="1" applyAlignment="1">
      <alignment horizontal="right" vertical="center" wrapText="1"/>
    </xf>
    <xf numFmtId="0" fontId="78" fillId="4" borderId="1" xfId="1" applyFont="1" applyFill="1" applyBorder="1" applyAlignment="1">
      <alignment vertical="center"/>
    </xf>
    <xf numFmtId="0" fontId="78" fillId="4" borderId="1" xfId="1" applyFont="1" applyFill="1" applyBorder="1" applyAlignment="1">
      <alignment vertical="center" wrapText="1"/>
    </xf>
    <xf numFmtId="2" fontId="31" fillId="0" borderId="1" xfId="1" applyNumberFormat="1" applyFont="1" applyBorder="1" applyAlignment="1">
      <alignment horizontal="center" vertical="center" wrapText="1"/>
    </xf>
    <xf numFmtId="0" fontId="78" fillId="0" borderId="9" xfId="1" applyFont="1" applyBorder="1" applyAlignment="1">
      <alignment horizontal="center" vertical="center"/>
    </xf>
    <xf numFmtId="2" fontId="80" fillId="0" borderId="1" xfId="1" applyNumberFormat="1" applyFont="1" applyBorder="1" applyAlignment="1">
      <alignment horizontal="center" vertical="center" wrapText="1"/>
    </xf>
    <xf numFmtId="0" fontId="78" fillId="7" borderId="9" xfId="1" applyFont="1" applyFill="1" applyBorder="1" applyAlignment="1">
      <alignment horizontal="center" vertical="center"/>
    </xf>
    <xf numFmtId="2" fontId="78" fillId="7" borderId="42" xfId="1" applyNumberFormat="1" applyFont="1" applyFill="1" applyBorder="1" applyAlignment="1">
      <alignment horizontal="center" vertical="center"/>
    </xf>
    <xf numFmtId="1" fontId="31" fillId="7" borderId="43" xfId="1" applyNumberFormat="1" applyFont="1" applyFill="1" applyBorder="1" applyAlignment="1">
      <alignment horizontal="center" vertical="center"/>
    </xf>
    <xf numFmtId="1" fontId="78" fillId="7" borderId="43" xfId="1" applyNumberFormat="1" applyFont="1" applyFill="1" applyBorder="1" applyAlignment="1">
      <alignment horizontal="center" vertical="center"/>
    </xf>
    <xf numFmtId="0" fontId="89" fillId="0" borderId="0" xfId="1" applyFont="1" applyAlignment="1">
      <alignment horizontal="center" vertical="center"/>
    </xf>
    <xf numFmtId="0" fontId="72" fillId="0" borderId="33" xfId="1" applyFont="1" applyBorder="1" applyAlignment="1">
      <alignment horizontal="center" vertical="center" wrapText="1"/>
    </xf>
    <xf numFmtId="0" fontId="72" fillId="0" borderId="36" xfId="1" applyFont="1" applyBorder="1" applyAlignment="1">
      <alignment horizontal="center" vertical="center" wrapText="1"/>
    </xf>
    <xf numFmtId="0" fontId="82" fillId="6" borderId="1" xfId="1" applyFont="1" applyFill="1" applyBorder="1" applyAlignment="1">
      <alignment horizontal="center" vertical="center"/>
    </xf>
    <xf numFmtId="0" fontId="82" fillId="0" borderId="1" xfId="1" applyFont="1" applyBorder="1" applyAlignment="1">
      <alignment horizontal="center" vertical="center"/>
    </xf>
    <xf numFmtId="0" fontId="78" fillId="10" borderId="1" xfId="1" applyFont="1" applyFill="1" applyBorder="1" applyAlignment="1">
      <alignment horizontal="left" vertical="center" wrapText="1"/>
    </xf>
    <xf numFmtId="1" fontId="91" fillId="0" borderId="5" xfId="1" applyNumberFormat="1" applyFont="1" applyBorder="1" applyAlignment="1">
      <alignment horizontal="right" vertical="center" wrapText="1"/>
    </xf>
    <xf numFmtId="0" fontId="92" fillId="0" borderId="1" xfId="1" applyFont="1" applyBorder="1" applyAlignment="1">
      <alignment horizontal="left" vertical="center" wrapText="1"/>
    </xf>
    <xf numFmtId="1" fontId="44" fillId="0" borderId="1" xfId="1" applyNumberFormat="1" applyFont="1" applyBorder="1" applyAlignment="1">
      <alignment horizontal="left" vertical="center" wrapText="1"/>
    </xf>
    <xf numFmtId="2" fontId="8" fillId="0" borderId="0" xfId="1" applyNumberFormat="1" applyFont="1" applyAlignment="1">
      <alignment horizontal="center" vertical="center"/>
    </xf>
    <xf numFmtId="1" fontId="80" fillId="11" borderId="0" xfId="1" applyNumberFormat="1" applyFont="1" applyFill="1" applyAlignment="1">
      <alignment horizontal="right" vertical="center" wrapText="1"/>
    </xf>
    <xf numFmtId="0" fontId="83" fillId="4" borderId="2" xfId="1" applyFont="1" applyFill="1" applyBorder="1" applyAlignment="1">
      <alignment horizontal="left" vertical="center"/>
    </xf>
    <xf numFmtId="1" fontId="31" fillId="7" borderId="1" xfId="1" applyNumberFormat="1" applyFont="1" applyFill="1" applyBorder="1" applyAlignment="1">
      <alignment horizontal="center" vertical="center" wrapText="1"/>
    </xf>
    <xf numFmtId="1" fontId="80" fillId="2" borderId="0" xfId="1" applyNumberFormat="1" applyFont="1" applyFill="1" applyAlignment="1">
      <alignment horizontal="right" vertical="center" wrapText="1"/>
    </xf>
    <xf numFmtId="49" fontId="26" fillId="0" borderId="0" xfId="1" applyNumberFormat="1" applyFont="1" applyAlignment="1">
      <alignment horizontal="center" vertical="center"/>
    </xf>
    <xf numFmtId="0" fontId="31" fillId="10" borderId="1" xfId="1" applyFont="1" applyFill="1" applyBorder="1" applyAlignment="1">
      <alignment horizontal="left" vertical="center" wrapText="1"/>
    </xf>
    <xf numFmtId="166" fontId="26" fillId="0" borderId="0" xfId="1" applyNumberFormat="1" applyFont="1" applyAlignment="1">
      <alignment horizontal="center" vertical="top"/>
    </xf>
    <xf numFmtId="1" fontId="26" fillId="0" borderId="0" xfId="1" applyNumberFormat="1" applyFont="1" applyAlignment="1">
      <alignment horizontal="center" vertical="top"/>
    </xf>
    <xf numFmtId="166" fontId="89" fillId="0" borderId="0" xfId="1" applyNumberFormat="1" applyFont="1" applyAlignment="1">
      <alignment horizontal="center" vertical="center"/>
    </xf>
    <xf numFmtId="0" fontId="72" fillId="6" borderId="0" xfId="1" applyFont="1" applyFill="1" applyAlignment="1">
      <alignment horizontal="center" vertical="center"/>
    </xf>
    <xf numFmtId="0" fontId="77" fillId="12" borderId="14" xfId="0" applyFont="1" applyFill="1" applyBorder="1"/>
    <xf numFmtId="2" fontId="78" fillId="0" borderId="0" xfId="1" applyNumberFormat="1" applyFont="1" applyAlignment="1">
      <alignment horizontal="center" vertical="center"/>
    </xf>
    <xf numFmtId="2" fontId="81" fillId="0" borderId="1" xfId="1" applyNumberFormat="1" applyFont="1" applyBorder="1" applyAlignment="1">
      <alignment horizontal="left" vertical="center" wrapText="1"/>
    </xf>
    <xf numFmtId="1" fontId="31" fillId="0" borderId="4" xfId="1" applyNumberFormat="1" applyFont="1" applyBorder="1" applyAlignment="1">
      <alignment horizontal="right" vertical="center"/>
    </xf>
    <xf numFmtId="0" fontId="78" fillId="0" borderId="4" xfId="1" applyFont="1" applyBorder="1" applyAlignment="1">
      <alignment vertical="center" wrapText="1"/>
    </xf>
    <xf numFmtId="1" fontId="31" fillId="7" borderId="1" xfId="1" applyNumberFormat="1" applyFont="1" applyFill="1" applyBorder="1" applyAlignment="1">
      <alignment horizontal="right" vertical="center" wrapText="1"/>
    </xf>
    <xf numFmtId="1" fontId="78" fillId="0" borderId="1" xfId="1" applyNumberFormat="1" applyFont="1" applyBorder="1" applyAlignment="1">
      <alignment horizontal="right" vertical="center" wrapText="1"/>
    </xf>
    <xf numFmtId="0" fontId="52" fillId="4" borderId="1" xfId="1" applyFont="1" applyFill="1" applyBorder="1" applyAlignment="1">
      <alignment vertical="center" wrapText="1"/>
    </xf>
    <xf numFmtId="1" fontId="52" fillId="9" borderId="1" xfId="1" applyNumberFormat="1" applyFont="1" applyFill="1" applyBorder="1" applyAlignment="1">
      <alignment horizontal="left" vertical="center" wrapText="1"/>
    </xf>
    <xf numFmtId="2" fontId="78" fillId="9" borderId="1" xfId="1" applyNumberFormat="1" applyFont="1" applyFill="1" applyBorder="1" applyAlignment="1">
      <alignment horizontal="left" vertical="center" wrapText="1"/>
    </xf>
    <xf numFmtId="2" fontId="52" fillId="9" borderId="1" xfId="1" applyNumberFormat="1" applyFont="1" applyFill="1" applyBorder="1" applyAlignment="1">
      <alignment horizontal="left" vertical="center" wrapText="1"/>
    </xf>
    <xf numFmtId="1" fontId="72" fillId="9" borderId="0" xfId="1" applyNumberFormat="1" applyFont="1" applyFill="1" applyAlignment="1">
      <alignment horizontal="center" vertical="center"/>
    </xf>
    <xf numFmtId="1" fontId="52" fillId="7" borderId="1" xfId="1" applyNumberFormat="1" applyFont="1" applyFill="1" applyBorder="1" applyAlignment="1">
      <alignment horizontal="center" vertical="center"/>
    </xf>
    <xf numFmtId="0" fontId="81" fillId="0" borderId="1" xfId="1" applyFont="1" applyBorder="1" applyAlignment="1">
      <alignment horizontal="center" vertical="center" wrapText="1"/>
    </xf>
    <xf numFmtId="1" fontId="80" fillId="0" borderId="1" xfId="1" applyNumberFormat="1" applyFont="1" applyBorder="1" applyAlignment="1">
      <alignment horizontal="right" vertical="center" wrapText="1"/>
    </xf>
    <xf numFmtId="2" fontId="80" fillId="7" borderId="1" xfId="1" applyNumberFormat="1" applyFont="1" applyFill="1" applyBorder="1" applyAlignment="1">
      <alignment horizontal="right" vertical="center" wrapText="1"/>
    </xf>
    <xf numFmtId="1" fontId="52" fillId="0" borderId="2" xfId="1" applyNumberFormat="1" applyFont="1" applyBorder="1" applyAlignment="1">
      <alignment horizontal="left" vertical="center" wrapText="1"/>
    </xf>
    <xf numFmtId="0" fontId="52" fillId="0" borderId="2" xfId="1" applyFont="1" applyBorder="1" applyAlignment="1">
      <alignment horizontal="left" vertical="center" wrapText="1"/>
    </xf>
    <xf numFmtId="0" fontId="52" fillId="0" borderId="2" xfId="1" applyFont="1" applyBorder="1" applyAlignment="1">
      <alignment horizontal="center" vertical="center" wrapText="1"/>
    </xf>
    <xf numFmtId="2" fontId="78" fillId="7" borderId="1" xfId="1" applyNumberFormat="1" applyFont="1" applyFill="1" applyBorder="1" applyAlignment="1">
      <alignment horizontal="right" vertical="center" wrapText="1"/>
    </xf>
    <xf numFmtId="1" fontId="81" fillId="0" borderId="2" xfId="1" applyNumberFormat="1" applyFont="1" applyBorder="1" applyAlignment="1">
      <alignment horizontal="left" vertical="center" wrapText="1"/>
    </xf>
    <xf numFmtId="0" fontId="81" fillId="0" borderId="2" xfId="1" applyFont="1" applyBorder="1" applyAlignment="1">
      <alignment horizontal="left" vertical="center" wrapText="1"/>
    </xf>
    <xf numFmtId="0" fontId="81" fillId="0" borderId="2" xfId="1" applyFont="1" applyBorder="1" applyAlignment="1">
      <alignment horizontal="center" vertical="center" wrapText="1"/>
    </xf>
    <xf numFmtId="1" fontId="31" fillId="0" borderId="1" xfId="1" applyNumberFormat="1" applyFont="1" applyBorder="1" applyAlignment="1">
      <alignment horizontal="right" vertical="center" wrapText="1"/>
    </xf>
    <xf numFmtId="2" fontId="78" fillId="7" borderId="0" xfId="1" applyNumberFormat="1" applyFont="1" applyFill="1" applyAlignment="1">
      <alignment horizontal="center" vertical="center"/>
    </xf>
    <xf numFmtId="1" fontId="52" fillId="7" borderId="42" xfId="1" applyNumberFormat="1" applyFont="1" applyFill="1" applyBorder="1" applyAlignment="1">
      <alignment horizontal="center" vertical="center"/>
    </xf>
    <xf numFmtId="1" fontId="31" fillId="0" borderId="0" xfId="1" applyNumberFormat="1" applyFont="1" applyAlignment="1">
      <alignment horizontal="center" vertical="center"/>
    </xf>
    <xf numFmtId="1" fontId="93" fillId="0" borderId="0" xfId="1" applyNumberFormat="1" applyFont="1" applyAlignment="1">
      <alignment horizontal="center" vertical="center"/>
    </xf>
    <xf numFmtId="49" fontId="3" fillId="0" borderId="0" xfId="1" applyNumberFormat="1" applyFont="1" applyAlignment="1">
      <alignment horizontal="center" vertical="center"/>
    </xf>
    <xf numFmtId="2" fontId="3" fillId="0" borderId="0" xfId="1" applyNumberFormat="1" applyFont="1" applyAlignment="1">
      <alignment horizontal="center" vertical="center"/>
    </xf>
    <xf numFmtId="1" fontId="94" fillId="0" borderId="0" xfId="1" applyNumberFormat="1" applyFont="1" applyAlignment="1">
      <alignment horizontal="center" vertical="center"/>
    </xf>
    <xf numFmtId="1" fontId="3" fillId="0" borderId="0" xfId="1" applyNumberFormat="1" applyFont="1" applyAlignment="1">
      <alignment horizontal="center" vertical="center"/>
    </xf>
    <xf numFmtId="1" fontId="44" fillId="0" borderId="0" xfId="1" applyNumberFormat="1" applyFont="1" applyAlignment="1">
      <alignment horizontal="right" vertical="center"/>
    </xf>
    <xf numFmtId="0" fontId="94" fillId="0" borderId="0" xfId="1" applyFont="1" applyAlignment="1">
      <alignment horizontal="center" vertical="center"/>
    </xf>
    <xf numFmtId="1" fontId="85" fillId="0" borderId="0" xfId="0" applyNumberFormat="1" applyFont="1"/>
    <xf numFmtId="0" fontId="73" fillId="0" borderId="0" xfId="0" applyFont="1" applyAlignment="1">
      <alignment horizontal="left" indent="15"/>
    </xf>
    <xf numFmtId="0" fontId="96" fillId="0" borderId="0" xfId="0" applyFont="1"/>
    <xf numFmtId="0" fontId="10" fillId="0" borderId="0" xfId="0" applyFont="1" applyAlignment="1">
      <alignment horizontal="center"/>
    </xf>
    <xf numFmtId="1" fontId="10" fillId="0" borderId="0" xfId="0" applyNumberFormat="1" applyFont="1" applyAlignment="1">
      <alignment horizontal="center"/>
    </xf>
    <xf numFmtId="0" fontId="97" fillId="0" borderId="0" xfId="0" applyFont="1" applyAlignment="1">
      <alignment horizontal="center"/>
    </xf>
    <xf numFmtId="0" fontId="8" fillId="0" borderId="0" xfId="0" applyFont="1" applyAlignment="1">
      <alignment horizontal="center"/>
    </xf>
    <xf numFmtId="0" fontId="10" fillId="0" borderId="0" xfId="0" applyFont="1" applyAlignment="1">
      <alignment wrapText="1"/>
    </xf>
    <xf numFmtId="0" fontId="72" fillId="0" borderId="0" xfId="0" applyFont="1" applyAlignment="1">
      <alignment wrapText="1"/>
    </xf>
    <xf numFmtId="0" fontId="72" fillId="0" borderId="0" xfId="0" applyFont="1" applyAlignment="1">
      <alignment horizontal="center" wrapText="1"/>
    </xf>
    <xf numFmtId="0" fontId="6" fillId="0" borderId="0" xfId="0" applyFont="1"/>
    <xf numFmtId="0" fontId="6" fillId="0" borderId="0" xfId="0" applyFont="1" applyAlignment="1">
      <alignment horizontal="left" vertical="center" readingOrder="1"/>
    </xf>
    <xf numFmtId="0" fontId="26" fillId="0" borderId="0" xfId="0" applyFont="1" applyAlignment="1">
      <alignment horizontal="center" wrapText="1"/>
    </xf>
    <xf numFmtId="0" fontId="74" fillId="0" borderId="0" xfId="0" applyFont="1"/>
    <xf numFmtId="0" fontId="98" fillId="0" borderId="0" xfId="0" applyFont="1"/>
    <xf numFmtId="0" fontId="99" fillId="0" borderId="0" xfId="0" applyFont="1"/>
    <xf numFmtId="0" fontId="100" fillId="0" borderId="0" xfId="0" applyFont="1"/>
    <xf numFmtId="0" fontId="103" fillId="0" borderId="0" xfId="0" applyFont="1"/>
    <xf numFmtId="0" fontId="23" fillId="0" borderId="0" xfId="0" applyFont="1"/>
    <xf numFmtId="0" fontId="104" fillId="0" borderId="0" xfId="0" applyFont="1"/>
    <xf numFmtId="1" fontId="105" fillId="0" borderId="0" xfId="0" applyNumberFormat="1" applyFont="1"/>
    <xf numFmtId="0" fontId="10" fillId="0" borderId="1" xfId="0" applyFont="1" applyBorder="1" applyAlignment="1">
      <alignment horizontal="center" vertical="center" wrapText="1"/>
    </xf>
    <xf numFmtId="0" fontId="99" fillId="0" borderId="1" xfId="0" applyFont="1" applyBorder="1" applyAlignment="1">
      <alignment horizontal="center"/>
    </xf>
    <xf numFmtId="0" fontId="99" fillId="0" borderId="3" xfId="0" applyFont="1" applyBorder="1" applyAlignment="1">
      <alignment horizontal="center"/>
    </xf>
    <xf numFmtId="49" fontId="99" fillId="0" borderId="1" xfId="0" applyNumberFormat="1" applyFont="1" applyBorder="1" applyAlignment="1">
      <alignment horizontal="center"/>
    </xf>
    <xf numFmtId="0" fontId="99" fillId="0" borderId="1" xfId="0" applyFont="1" applyBorder="1"/>
    <xf numFmtId="0" fontId="103" fillId="0" borderId="3" xfId="0" applyFont="1" applyBorder="1"/>
    <xf numFmtId="0" fontId="103" fillId="0" borderId="4" xfId="0" applyFont="1" applyBorder="1"/>
    <xf numFmtId="0" fontId="61" fillId="0" borderId="5" xfId="0" applyFont="1" applyBorder="1" applyAlignment="1">
      <alignment horizontal="center" wrapText="1"/>
    </xf>
    <xf numFmtId="0" fontId="99" fillId="0" borderId="5" xfId="0" applyFont="1" applyBorder="1" applyAlignment="1">
      <alignment horizontal="center" vertical="center"/>
    </xf>
    <xf numFmtId="0" fontId="99" fillId="0" borderId="1" xfId="0" applyFont="1" applyBorder="1" applyAlignment="1">
      <alignment horizontal="center" vertical="center"/>
    </xf>
    <xf numFmtId="166" fontId="99" fillId="0" borderId="1" xfId="0" applyNumberFormat="1" applyFont="1" applyBorder="1" applyAlignment="1">
      <alignment horizontal="center"/>
    </xf>
    <xf numFmtId="166" fontId="107" fillId="0" borderId="1" xfId="0" applyNumberFormat="1" applyFont="1" applyBorder="1" applyAlignment="1">
      <alignment horizontal="center"/>
    </xf>
    <xf numFmtId="0" fontId="107" fillId="0" borderId="1" xfId="0" applyFont="1" applyBorder="1" applyAlignment="1">
      <alignment horizontal="center"/>
    </xf>
    <xf numFmtId="0" fontId="107" fillId="0" borderId="1" xfId="0" applyFont="1" applyBorder="1" applyAlignment="1">
      <alignment wrapText="1"/>
    </xf>
    <xf numFmtId="0" fontId="99" fillId="0" borderId="1" xfId="0" applyFont="1" applyBorder="1" applyAlignment="1">
      <alignment wrapText="1"/>
    </xf>
    <xf numFmtId="166" fontId="106" fillId="0" borderId="1" xfId="0" applyNumberFormat="1" applyFont="1" applyBorder="1" applyAlignment="1">
      <alignment horizontal="center"/>
    </xf>
    <xf numFmtId="0" fontId="106" fillId="0" borderId="1" xfId="0" applyFont="1" applyBorder="1" applyAlignment="1">
      <alignment horizontal="center"/>
    </xf>
    <xf numFmtId="2" fontId="99" fillId="0" borderId="1" xfId="0" applyNumberFormat="1" applyFont="1" applyBorder="1" applyAlignment="1">
      <alignment horizontal="center"/>
    </xf>
    <xf numFmtId="0" fontId="106" fillId="0" borderId="1" xfId="0" applyFont="1" applyBorder="1"/>
    <xf numFmtId="0" fontId="107" fillId="0" borderId="1" xfId="0" applyFont="1" applyBorder="1"/>
    <xf numFmtId="44" fontId="99" fillId="0" borderId="1" xfId="0" applyNumberFormat="1" applyFont="1" applyBorder="1" applyAlignment="1">
      <alignment horizontal="left"/>
    </xf>
    <xf numFmtId="44" fontId="107" fillId="0" borderId="1" xfId="0" applyNumberFormat="1" applyFont="1" applyBorder="1" applyAlignment="1">
      <alignment horizontal="left" wrapText="1"/>
    </xf>
    <xf numFmtId="44" fontId="107" fillId="0" borderId="1" xfId="0" applyNumberFormat="1" applyFont="1" applyBorder="1" applyAlignment="1">
      <alignment horizontal="left"/>
    </xf>
    <xf numFmtId="49" fontId="99" fillId="0" borderId="1" xfId="0" applyNumberFormat="1" applyFont="1" applyBorder="1" applyAlignment="1">
      <alignment horizontal="left"/>
    </xf>
    <xf numFmtId="2" fontId="107" fillId="0" borderId="1" xfId="0" applyNumberFormat="1" applyFont="1" applyBorder="1" applyAlignment="1">
      <alignment horizontal="left"/>
    </xf>
    <xf numFmtId="49" fontId="99" fillId="0" borderId="1" xfId="0" applyNumberFormat="1" applyFont="1" applyBorder="1" applyAlignment="1">
      <alignment horizontal="right"/>
    </xf>
    <xf numFmtId="1" fontId="99" fillId="0" borderId="1" xfId="0" applyNumberFormat="1" applyFont="1" applyBorder="1" applyAlignment="1">
      <alignment horizontal="center"/>
    </xf>
    <xf numFmtId="44" fontId="99" fillId="0" borderId="1" xfId="0" applyNumberFormat="1" applyFont="1" applyBorder="1" applyAlignment="1">
      <alignment horizontal="left" vertical="top" wrapText="1"/>
    </xf>
    <xf numFmtId="1" fontId="106" fillId="0" borderId="1" xfId="0" applyNumberFormat="1" applyFont="1" applyBorder="1" applyAlignment="1">
      <alignment horizontal="center"/>
    </xf>
    <xf numFmtId="44" fontId="53" fillId="0" borderId="3" xfId="0" applyNumberFormat="1" applyFont="1" applyBorder="1" applyAlignment="1">
      <alignment horizontal="left"/>
    </xf>
    <xf numFmtId="44" fontId="53" fillId="0" borderId="4" xfId="0" applyNumberFormat="1" applyFont="1" applyBorder="1" applyAlignment="1">
      <alignment horizontal="left"/>
    </xf>
    <xf numFmtId="44" fontId="107" fillId="0" borderId="4" xfId="0" applyNumberFormat="1" applyFont="1" applyBorder="1" applyAlignment="1">
      <alignment horizontal="left"/>
    </xf>
    <xf numFmtId="1" fontId="108" fillId="0" borderId="1" xfId="0" applyNumberFormat="1" applyFont="1" applyBorder="1" applyAlignment="1">
      <alignment horizontal="center"/>
    </xf>
    <xf numFmtId="2" fontId="108" fillId="0" borderId="1" xfId="0" applyNumberFormat="1" applyFont="1" applyBorder="1" applyAlignment="1">
      <alignment horizontal="center"/>
    </xf>
    <xf numFmtId="166" fontId="108" fillId="0" borderId="1" xfId="0" applyNumberFormat="1" applyFont="1" applyBorder="1" applyAlignment="1">
      <alignment horizontal="center"/>
    </xf>
    <xf numFmtId="2" fontId="106" fillId="0" borderId="1" xfId="0" applyNumberFormat="1" applyFont="1" applyBorder="1" applyAlignment="1">
      <alignment horizontal="center"/>
    </xf>
    <xf numFmtId="2" fontId="8" fillId="0" borderId="0" xfId="0" applyNumberFormat="1" applyFont="1"/>
    <xf numFmtId="0" fontId="99" fillId="0" borderId="0" xfId="0" applyFont="1" applyAlignment="1">
      <alignment horizontal="center"/>
    </xf>
    <xf numFmtId="2" fontId="8" fillId="11" borderId="0" xfId="0" applyNumberFormat="1" applyFont="1" applyFill="1"/>
    <xf numFmtId="1" fontId="8" fillId="11" borderId="0" xfId="0" applyNumberFormat="1" applyFont="1" applyFill="1"/>
    <xf numFmtId="1" fontId="52" fillId="0" borderId="0" xfId="0" applyNumberFormat="1" applyFont="1"/>
    <xf numFmtId="0" fontId="88" fillId="0" borderId="0" xfId="0" applyFont="1" applyAlignment="1">
      <alignment horizontal="right"/>
    </xf>
    <xf numFmtId="0" fontId="33" fillId="0" borderId="0" xfId="0" applyFont="1" applyAlignment="1">
      <alignment horizontal="right"/>
    </xf>
    <xf numFmtId="1" fontId="88" fillId="0" borderId="0" xfId="0" applyNumberFormat="1" applyFont="1"/>
    <xf numFmtId="1" fontId="33" fillId="0" borderId="0" xfId="0" applyNumberFormat="1" applyFont="1"/>
    <xf numFmtId="0" fontId="44" fillId="0" borderId="0" xfId="0" applyFont="1"/>
    <xf numFmtId="0" fontId="52" fillId="0" borderId="0" xfId="0" applyFont="1" applyAlignment="1">
      <alignment horizontal="right"/>
    </xf>
    <xf numFmtId="1" fontId="61" fillId="0" borderId="0" xfId="0" applyNumberFormat="1" applyFont="1"/>
    <xf numFmtId="2" fontId="61" fillId="0" borderId="0" xfId="0" applyNumberFormat="1" applyFont="1"/>
    <xf numFmtId="2" fontId="55" fillId="0" borderId="0" xfId="0" applyNumberFormat="1" applyFont="1"/>
    <xf numFmtId="0" fontId="8" fillId="0" borderId="1" xfId="0" applyFont="1" applyBorder="1" applyAlignment="1">
      <alignment horizontal="center" wrapText="1"/>
    </xf>
    <xf numFmtId="1" fontId="8" fillId="0" borderId="1" xfId="0" applyNumberFormat="1" applyFont="1" applyBorder="1" applyAlignment="1">
      <alignment horizontal="center"/>
    </xf>
    <xf numFmtId="1" fontId="52" fillId="0" borderId="1" xfId="0" applyNumberFormat="1" applyFont="1" applyBorder="1" applyAlignment="1">
      <alignment horizontal="center" wrapText="1"/>
    </xf>
    <xf numFmtId="1" fontId="44" fillId="0" borderId="1" xfId="0" applyNumberFormat="1" applyFont="1" applyBorder="1" applyAlignment="1">
      <alignment horizontal="center" wrapText="1"/>
    </xf>
    <xf numFmtId="0" fontId="109" fillId="0" borderId="1" xfId="0" applyFont="1" applyBorder="1" applyAlignment="1">
      <alignment horizontal="center"/>
    </xf>
    <xf numFmtId="2" fontId="8" fillId="13" borderId="0" xfId="0" applyNumberFormat="1" applyFont="1" applyFill="1"/>
    <xf numFmtId="10" fontId="8" fillId="13" borderId="0" xfId="0" applyNumberFormat="1" applyFont="1" applyFill="1"/>
    <xf numFmtId="0" fontId="110" fillId="0" borderId="1" xfId="0" applyFont="1" applyBorder="1" applyAlignment="1">
      <alignment wrapText="1"/>
    </xf>
    <xf numFmtId="166" fontId="52" fillId="0" borderId="1" xfId="0" applyNumberFormat="1" applyFont="1" applyBorder="1" applyAlignment="1">
      <alignment wrapText="1"/>
    </xf>
    <xf numFmtId="1" fontId="75" fillId="0" borderId="1" xfId="0" applyNumberFormat="1" applyFont="1" applyBorder="1"/>
    <xf numFmtId="1" fontId="111" fillId="0" borderId="1" xfId="0" applyNumberFormat="1" applyFont="1" applyBorder="1"/>
    <xf numFmtId="1" fontId="109" fillId="0" borderId="1" xfId="0" applyNumberFormat="1" applyFont="1" applyBorder="1"/>
    <xf numFmtId="1" fontId="111" fillId="0" borderId="1" xfId="0" applyNumberFormat="1" applyFont="1" applyBorder="1" applyAlignment="1">
      <alignment horizontal="center"/>
    </xf>
    <xf numFmtId="2" fontId="8" fillId="2" borderId="0" xfId="0" applyNumberFormat="1" applyFont="1" applyFill="1"/>
    <xf numFmtId="2" fontId="111" fillId="0" borderId="1" xfId="0" applyNumberFormat="1" applyFont="1" applyBorder="1" applyAlignment="1">
      <alignment horizontal="center"/>
    </xf>
    <xf numFmtId="1" fontId="27" fillId="0" borderId="1" xfId="0" applyNumberFormat="1" applyFont="1" applyBorder="1"/>
    <xf numFmtId="167" fontId="44" fillId="5" borderId="0" xfId="0" applyNumberFormat="1" applyFont="1" applyFill="1" applyAlignment="1">
      <alignment horizontal="right"/>
    </xf>
    <xf numFmtId="167" fontId="63" fillId="0" borderId="0" xfId="0" applyNumberFormat="1" applyFont="1"/>
    <xf numFmtId="1" fontId="52" fillId="0" borderId="1" xfId="0" applyNumberFormat="1" applyFont="1" applyBorder="1" applyAlignment="1">
      <alignment horizontal="center"/>
    </xf>
    <xf numFmtId="0" fontId="52" fillId="0" borderId="1" xfId="0" applyFont="1" applyBorder="1"/>
    <xf numFmtId="166" fontId="52" fillId="0" borderId="1" xfId="0" applyNumberFormat="1" applyFont="1" applyBorder="1"/>
    <xf numFmtId="164" fontId="88" fillId="0" borderId="0" xfId="0" applyNumberFormat="1" applyFont="1" applyAlignment="1">
      <alignment horizontal="center"/>
    </xf>
    <xf numFmtId="166" fontId="52" fillId="0" borderId="0" xfId="0" applyNumberFormat="1" applyFont="1"/>
    <xf numFmtId="167" fontId="52" fillId="0" borderId="0" xfId="0" applyNumberFormat="1" applyFont="1"/>
    <xf numFmtId="164" fontId="52" fillId="0" borderId="0" xfId="0" applyNumberFormat="1" applyFont="1"/>
    <xf numFmtId="1" fontId="3" fillId="0" borderId="1" xfId="0" applyNumberFormat="1" applyFont="1" applyBorder="1" applyAlignment="1">
      <alignment horizontal="right"/>
    </xf>
    <xf numFmtId="166" fontId="3" fillId="0" borderId="1" xfId="0" applyNumberFormat="1" applyFont="1" applyBorder="1" applyAlignment="1">
      <alignment horizontal="right"/>
    </xf>
    <xf numFmtId="166" fontId="44" fillId="0" borderId="1" xfId="0" applyNumberFormat="1" applyFont="1" applyBorder="1" applyAlignment="1">
      <alignment wrapText="1"/>
    </xf>
    <xf numFmtId="1" fontId="3" fillId="0" borderId="1" xfId="0" applyNumberFormat="1" applyFont="1" applyBorder="1"/>
    <xf numFmtId="1" fontId="44" fillId="0" borderId="1" xfId="0" applyNumberFormat="1" applyFont="1" applyBorder="1" applyAlignment="1">
      <alignment horizontal="center"/>
    </xf>
    <xf numFmtId="164" fontId="3" fillId="0" borderId="0" xfId="0" applyNumberFormat="1" applyFont="1"/>
    <xf numFmtId="2" fontId="3" fillId="0" borderId="0" xfId="0" applyNumberFormat="1" applyFont="1"/>
    <xf numFmtId="166" fontId="8" fillId="0" borderId="1" xfId="0" applyNumberFormat="1" applyFont="1" applyBorder="1"/>
    <xf numFmtId="166" fontId="111" fillId="0" borderId="1" xfId="0" applyNumberFormat="1" applyFont="1" applyBorder="1" applyAlignment="1">
      <alignment horizontal="center"/>
    </xf>
    <xf numFmtId="166" fontId="8" fillId="0" borderId="0" xfId="0" applyNumberFormat="1" applyFont="1" applyAlignment="1">
      <alignment horizontal="right"/>
    </xf>
    <xf numFmtId="164" fontId="8" fillId="0" borderId="0" xfId="0" applyNumberFormat="1" applyFont="1"/>
    <xf numFmtId="0" fontId="112" fillId="0" borderId="1" xfId="0" applyFont="1" applyBorder="1" applyAlignment="1">
      <alignment horizontal="right"/>
    </xf>
    <xf numFmtId="1" fontId="113" fillId="0" borderId="1" xfId="0" applyNumberFormat="1" applyFont="1" applyBorder="1"/>
    <xf numFmtId="1" fontId="114" fillId="0" borderId="1" xfId="0" applyNumberFormat="1" applyFont="1" applyBorder="1"/>
    <xf numFmtId="166" fontId="114" fillId="0" borderId="1" xfId="0" applyNumberFormat="1" applyFont="1" applyBorder="1" applyAlignment="1">
      <alignment horizontal="center"/>
    </xf>
    <xf numFmtId="1" fontId="112" fillId="0" borderId="1" xfId="0" applyNumberFormat="1" applyFont="1" applyBorder="1"/>
    <xf numFmtId="166" fontId="3" fillId="0" borderId="1" xfId="0" applyNumberFormat="1" applyFont="1" applyBorder="1"/>
    <xf numFmtId="1" fontId="17" fillId="0" borderId="1" xfId="0" applyNumberFormat="1" applyFont="1" applyBorder="1"/>
    <xf numFmtId="166" fontId="109" fillId="0" borderId="1" xfId="0" applyNumberFormat="1" applyFont="1" applyBorder="1" applyAlignment="1">
      <alignment horizontal="center"/>
    </xf>
    <xf numFmtId="1" fontId="33" fillId="0" borderId="0" xfId="0" applyNumberFormat="1" applyFont="1" applyAlignment="1">
      <alignment horizontal="center"/>
    </xf>
    <xf numFmtId="0" fontId="89" fillId="0" borderId="1" xfId="0" applyFont="1" applyBorder="1"/>
    <xf numFmtId="166" fontId="115" fillId="0" borderId="1" xfId="0" applyNumberFormat="1" applyFont="1" applyBorder="1" applyAlignment="1">
      <alignment wrapText="1"/>
    </xf>
    <xf numFmtId="1" fontId="89" fillId="0" borderId="1" xfId="0" applyNumberFormat="1" applyFont="1" applyBorder="1"/>
    <xf numFmtId="1" fontId="115" fillId="0" borderId="1" xfId="0" applyNumberFormat="1" applyFont="1" applyBorder="1"/>
    <xf numFmtId="1" fontId="115" fillId="0" borderId="1" xfId="0" applyNumberFormat="1" applyFont="1" applyBorder="1" applyAlignment="1">
      <alignment horizontal="center"/>
    </xf>
    <xf numFmtId="1" fontId="116" fillId="0" borderId="0" xfId="0" applyNumberFormat="1" applyFont="1" applyAlignment="1">
      <alignment horizontal="center"/>
    </xf>
    <xf numFmtId="166" fontId="89" fillId="0" borderId="0" xfId="0" applyNumberFormat="1" applyFont="1"/>
    <xf numFmtId="164" fontId="89" fillId="0" borderId="0" xfId="0" applyNumberFormat="1" applyFont="1"/>
    <xf numFmtId="0" fontId="89" fillId="0" borderId="0" xfId="0" applyFont="1"/>
    <xf numFmtId="0" fontId="116" fillId="0" borderId="0" xfId="0" applyFont="1" applyAlignment="1">
      <alignment horizontal="center"/>
    </xf>
    <xf numFmtId="0" fontId="52" fillId="0" borderId="1" xfId="0" applyFont="1" applyBorder="1" applyAlignment="1">
      <alignment wrapText="1"/>
    </xf>
    <xf numFmtId="2" fontId="52" fillId="0" borderId="1" xfId="0" applyNumberFormat="1" applyFont="1" applyBorder="1" applyAlignment="1">
      <alignment wrapText="1"/>
    </xf>
    <xf numFmtId="1" fontId="27" fillId="0" borderId="1" xfId="0" applyNumberFormat="1" applyFont="1" applyBorder="1" applyAlignment="1">
      <alignment horizontal="center"/>
    </xf>
    <xf numFmtId="1" fontId="88" fillId="0" borderId="0" xfId="0" applyNumberFormat="1" applyFont="1" applyAlignment="1">
      <alignment horizontal="center"/>
    </xf>
    <xf numFmtId="0" fontId="88" fillId="0" borderId="0" xfId="0" applyFont="1" applyAlignment="1">
      <alignment horizontal="center"/>
    </xf>
    <xf numFmtId="0" fontId="75" fillId="0" borderId="1" xfId="0" applyFont="1" applyBorder="1"/>
    <xf numFmtId="166" fontId="48" fillId="0" borderId="1" xfId="0" applyNumberFormat="1" applyFont="1" applyBorder="1"/>
    <xf numFmtId="2" fontId="48" fillId="0" borderId="0" xfId="0" applyNumberFormat="1" applyFont="1"/>
    <xf numFmtId="0" fontId="48" fillId="0" borderId="0" xfId="0" applyFont="1"/>
    <xf numFmtId="9" fontId="17" fillId="0" borderId="1" xfId="0" applyNumberFormat="1" applyFont="1" applyBorder="1"/>
    <xf numFmtId="166" fontId="88" fillId="0" borderId="1" xfId="0" applyNumberFormat="1" applyFont="1" applyBorder="1" applyAlignment="1">
      <alignment wrapText="1"/>
    </xf>
    <xf numFmtId="2" fontId="48" fillId="11" borderId="0" xfId="0" applyNumberFormat="1" applyFont="1" applyFill="1"/>
    <xf numFmtId="0" fontId="109" fillId="0" borderId="1" xfId="0" applyFont="1" applyBorder="1"/>
    <xf numFmtId="2" fontId="109" fillId="0" borderId="1" xfId="0" applyNumberFormat="1" applyFont="1" applyBorder="1" applyAlignment="1">
      <alignment horizontal="center"/>
    </xf>
    <xf numFmtId="164" fontId="8" fillId="0" borderId="1" xfId="0" applyNumberFormat="1" applyFont="1" applyBorder="1" applyAlignment="1">
      <alignment wrapText="1"/>
    </xf>
    <xf numFmtId="164" fontId="52" fillId="0" borderId="1" xfId="0" applyNumberFormat="1" applyFont="1" applyBorder="1"/>
    <xf numFmtId="1" fontId="52" fillId="0" borderId="1" xfId="0" applyNumberFormat="1" applyFont="1" applyBorder="1" applyAlignment="1">
      <alignment wrapText="1"/>
    </xf>
    <xf numFmtId="0" fontId="44" fillId="0" borderId="1" xfId="0" applyFont="1" applyBorder="1"/>
    <xf numFmtId="164" fontId="44" fillId="0" borderId="1" xfId="0" applyNumberFormat="1" applyFont="1" applyBorder="1"/>
    <xf numFmtId="1" fontId="44" fillId="0" borderId="1" xfId="0" applyNumberFormat="1" applyFont="1" applyBorder="1" applyAlignment="1">
      <alignment wrapText="1"/>
    </xf>
    <xf numFmtId="1" fontId="52" fillId="0" borderId="0" xfId="0" applyNumberFormat="1" applyFont="1" applyAlignment="1">
      <alignment horizontal="center"/>
    </xf>
    <xf numFmtId="1" fontId="8" fillId="0" borderId="1" xfId="0" applyNumberFormat="1" applyFont="1" applyBorder="1"/>
    <xf numFmtId="164" fontId="52" fillId="0" borderId="1" xfId="0" applyNumberFormat="1" applyFont="1" applyBorder="1" applyAlignment="1">
      <alignment wrapText="1"/>
    </xf>
    <xf numFmtId="1" fontId="117" fillId="0" borderId="0" xfId="0" applyNumberFormat="1" applyFont="1"/>
    <xf numFmtId="166" fontId="3" fillId="0" borderId="0" xfId="0" applyNumberFormat="1" applyFont="1"/>
    <xf numFmtId="0" fontId="27" fillId="0" borderId="0" xfId="0" applyFont="1" applyAlignment="1">
      <alignment horizontal="left"/>
    </xf>
    <xf numFmtId="166" fontId="4" fillId="0" borderId="0" xfId="0" applyNumberFormat="1" applyFont="1"/>
    <xf numFmtId="2" fontId="4" fillId="0" borderId="0" xfId="0" applyNumberFormat="1" applyFont="1"/>
    <xf numFmtId="0" fontId="4" fillId="0" borderId="0" xfId="0" applyFont="1" applyAlignment="1">
      <alignment horizontal="center"/>
    </xf>
    <xf numFmtId="2" fontId="47" fillId="0" borderId="0" xfId="0" applyNumberFormat="1" applyFont="1"/>
    <xf numFmtId="0" fontId="52" fillId="0" borderId="0" xfId="0" applyFont="1" applyAlignment="1">
      <alignment horizontal="left"/>
    </xf>
    <xf numFmtId="2" fontId="8" fillId="0" borderId="0" xfId="0" applyNumberFormat="1" applyFont="1" applyAlignment="1">
      <alignment horizontal="left"/>
    </xf>
    <xf numFmtId="1" fontId="75" fillId="0" borderId="3" xfId="0" applyNumberFormat="1" applyFont="1" applyBorder="1"/>
    <xf numFmtId="1" fontId="75" fillId="0" borderId="0" xfId="0" applyNumberFormat="1" applyFont="1"/>
    <xf numFmtId="168" fontId="8" fillId="0" borderId="0" xfId="0" applyNumberFormat="1" applyFont="1"/>
    <xf numFmtId="0" fontId="75" fillId="0" borderId="0" xfId="0" applyFont="1"/>
    <xf numFmtId="2" fontId="75" fillId="0" borderId="0" xfId="0" applyNumberFormat="1" applyFont="1" applyAlignment="1">
      <alignment horizontal="center" vertical="center" wrapText="1"/>
    </xf>
    <xf numFmtId="2" fontId="75" fillId="0" borderId="1" xfId="0" applyNumberFormat="1" applyFont="1" applyBorder="1" applyAlignment="1">
      <alignment horizontal="center" vertical="center" wrapText="1"/>
    </xf>
    <xf numFmtId="169" fontId="63" fillId="0" borderId="0" xfId="0" applyNumberFormat="1" applyFont="1"/>
    <xf numFmtId="9" fontId="17" fillId="0" borderId="0" xfId="0" applyNumberFormat="1" applyFont="1"/>
    <xf numFmtId="1" fontId="17" fillId="0" borderId="3" xfId="0" applyNumberFormat="1" applyFont="1" applyBorder="1"/>
    <xf numFmtId="0" fontId="62" fillId="0" borderId="0" xfId="0" applyFont="1"/>
    <xf numFmtId="9" fontId="15" fillId="0" borderId="0" xfId="0" applyNumberFormat="1" applyFont="1"/>
    <xf numFmtId="0" fontId="118" fillId="0" borderId="0" xfId="0" applyFont="1"/>
    <xf numFmtId="0" fontId="67" fillId="0" borderId="0" xfId="0" applyFont="1"/>
    <xf numFmtId="0" fontId="119" fillId="0" borderId="0" xfId="0" applyFont="1"/>
    <xf numFmtId="166" fontId="63" fillId="0" borderId="0" xfId="0" applyNumberFormat="1" applyFont="1"/>
    <xf numFmtId="0" fontId="93" fillId="0" borderId="0" xfId="0" applyFont="1"/>
    <xf numFmtId="0" fontId="63" fillId="0" borderId="0" xfId="0" applyFont="1"/>
    <xf numFmtId="2" fontId="63" fillId="0" borderId="0" xfId="0" applyNumberFormat="1" applyFont="1"/>
    <xf numFmtId="10" fontId="63" fillId="0" borderId="0" xfId="0" applyNumberFormat="1" applyFont="1"/>
    <xf numFmtId="0" fontId="120" fillId="0" borderId="0" xfId="0" applyFont="1"/>
    <xf numFmtId="2" fontId="121" fillId="0" borderId="0" xfId="0" applyNumberFormat="1" applyFont="1"/>
    <xf numFmtId="0" fontId="122" fillId="0" borderId="0" xfId="0" applyFont="1"/>
    <xf numFmtId="0" fontId="122" fillId="0" borderId="1" xfId="0" applyFont="1" applyBorder="1" applyAlignment="1">
      <alignment horizontal="center"/>
    </xf>
    <xf numFmtId="2" fontId="121" fillId="0" borderId="1" xfId="0" applyNumberFormat="1" applyFont="1" applyBorder="1" applyAlignment="1">
      <alignment horizontal="center"/>
    </xf>
    <xf numFmtId="0" fontId="121" fillId="0" borderId="1" xfId="0" applyFont="1" applyBorder="1" applyAlignment="1">
      <alignment horizontal="center"/>
    </xf>
    <xf numFmtId="0" fontId="121" fillId="8" borderId="1" xfId="0" applyFont="1" applyFill="1" applyBorder="1" applyAlignment="1">
      <alignment horizontal="center"/>
    </xf>
    <xf numFmtId="0" fontId="121" fillId="5" borderId="1" xfId="0" applyFont="1" applyFill="1" applyBorder="1" applyAlignment="1">
      <alignment horizontal="center" wrapText="1"/>
    </xf>
    <xf numFmtId="0" fontId="121" fillId="0" borderId="1" xfId="0" applyFont="1" applyBorder="1" applyAlignment="1">
      <alignment horizontal="center" wrapText="1"/>
    </xf>
    <xf numFmtId="0" fontId="118" fillId="0" borderId="0" xfId="0" applyFont="1" applyAlignment="1">
      <alignment horizontal="center"/>
    </xf>
    <xf numFmtId="0" fontId="122" fillId="0" borderId="0" xfId="0" applyFont="1" applyAlignment="1">
      <alignment horizontal="center"/>
    </xf>
    <xf numFmtId="0" fontId="75" fillId="0" borderId="0" xfId="0" applyFont="1" applyAlignment="1">
      <alignment horizontal="center"/>
    </xf>
    <xf numFmtId="2" fontId="27" fillId="0" borderId="1" xfId="0" applyNumberFormat="1" applyFont="1" applyBorder="1" applyAlignment="1">
      <alignment wrapText="1"/>
    </xf>
    <xf numFmtId="164" fontId="27" fillId="0" borderId="1" xfId="0" applyNumberFormat="1" applyFont="1" applyBorder="1" applyAlignment="1">
      <alignment wrapText="1"/>
    </xf>
    <xf numFmtId="2" fontId="121" fillId="8" borderId="1" xfId="0" applyNumberFormat="1" applyFont="1" applyFill="1" applyBorder="1" applyAlignment="1">
      <alignment wrapText="1"/>
    </xf>
    <xf numFmtId="2" fontId="27" fillId="5" borderId="1" xfId="0" applyNumberFormat="1" applyFont="1" applyFill="1" applyBorder="1" applyAlignment="1">
      <alignment wrapText="1"/>
    </xf>
    <xf numFmtId="2" fontId="10" fillId="0" borderId="0" xfId="0" applyNumberFormat="1" applyFont="1"/>
    <xf numFmtId="0" fontId="123" fillId="0" borderId="1" xfId="0" applyFont="1" applyBorder="1"/>
    <xf numFmtId="2" fontId="123" fillId="0" borderId="1" xfId="0" applyNumberFormat="1" applyFont="1" applyBorder="1"/>
    <xf numFmtId="164" fontId="123" fillId="0" borderId="1" xfId="0" applyNumberFormat="1" applyFont="1" applyBorder="1"/>
    <xf numFmtId="2" fontId="123" fillId="8" borderId="1" xfId="0" applyNumberFormat="1" applyFont="1" applyFill="1" applyBorder="1"/>
    <xf numFmtId="2" fontId="123" fillId="5" borderId="1" xfId="0" applyNumberFormat="1" applyFont="1" applyFill="1" applyBorder="1"/>
    <xf numFmtId="0" fontId="124" fillId="0" borderId="0" xfId="0" applyFont="1"/>
    <xf numFmtId="0" fontId="123" fillId="0" borderId="0" xfId="0" applyFont="1"/>
    <xf numFmtId="0" fontId="125" fillId="0" borderId="0" xfId="0" applyFont="1"/>
    <xf numFmtId="0" fontId="126" fillId="0" borderId="0" xfId="0" applyFont="1"/>
    <xf numFmtId="1" fontId="23" fillId="0" borderId="0" xfId="0" applyNumberFormat="1" applyFont="1"/>
    <xf numFmtId="2" fontId="23" fillId="0" borderId="0" xfId="0" applyNumberFormat="1" applyFont="1"/>
    <xf numFmtId="0" fontId="27" fillId="4" borderId="1" xfId="0" applyFont="1" applyFill="1" applyBorder="1" applyAlignment="1">
      <alignment wrapText="1"/>
    </xf>
    <xf numFmtId="2" fontId="121" fillId="4" borderId="1" xfId="0" applyNumberFormat="1" applyFont="1" applyFill="1" applyBorder="1" applyAlignment="1">
      <alignment horizontal="center"/>
    </xf>
    <xf numFmtId="2" fontId="27" fillId="4" borderId="1" xfId="0" applyNumberFormat="1" applyFont="1" applyFill="1" applyBorder="1" applyAlignment="1">
      <alignment wrapText="1"/>
    </xf>
    <xf numFmtId="2" fontId="52" fillId="4" borderId="1" xfId="0" applyNumberFormat="1" applyFont="1" applyFill="1" applyBorder="1" applyAlignment="1">
      <alignment wrapText="1"/>
    </xf>
    <xf numFmtId="2" fontId="11" fillId="0" borderId="0" xfId="0" applyNumberFormat="1" applyFont="1"/>
    <xf numFmtId="2" fontId="23" fillId="11" borderId="0" xfId="0" applyNumberFormat="1" applyFont="1" applyFill="1"/>
    <xf numFmtId="2" fontId="14" fillId="0" borderId="0" xfId="0" applyNumberFormat="1" applyFont="1"/>
    <xf numFmtId="2" fontId="24" fillId="0" borderId="0" xfId="0" applyNumberFormat="1" applyFont="1"/>
    <xf numFmtId="2" fontId="69" fillId="0" borderId="0" xfId="0" applyNumberFormat="1" applyFont="1"/>
    <xf numFmtId="0" fontId="24" fillId="0" borderId="0" xfId="0" applyFont="1"/>
    <xf numFmtId="0" fontId="45" fillId="0" borderId="1" xfId="0" applyFont="1" applyBorder="1" applyAlignment="1">
      <alignment wrapText="1"/>
    </xf>
    <xf numFmtId="2" fontId="45" fillId="0" borderId="1" xfId="0" applyNumberFormat="1" applyFont="1" applyBorder="1" applyAlignment="1">
      <alignment horizontal="center"/>
    </xf>
    <xf numFmtId="2" fontId="45" fillId="0" borderId="1" xfId="0" applyNumberFormat="1" applyFont="1" applyBorder="1"/>
    <xf numFmtId="167" fontId="45" fillId="0" borderId="1" xfId="0" applyNumberFormat="1" applyFont="1" applyBorder="1"/>
    <xf numFmtId="2" fontId="121" fillId="8" borderId="1" xfId="0" applyNumberFormat="1" applyFont="1" applyFill="1" applyBorder="1"/>
    <xf numFmtId="2" fontId="52" fillId="5" borderId="1" xfId="0" applyNumberFormat="1" applyFont="1" applyFill="1" applyBorder="1" applyAlignment="1">
      <alignment wrapText="1"/>
    </xf>
    <xf numFmtId="2" fontId="49" fillId="0" borderId="1" xfId="0" applyNumberFormat="1" applyFont="1" applyBorder="1"/>
    <xf numFmtId="0" fontId="45" fillId="0" borderId="0" xfId="0" applyFont="1"/>
    <xf numFmtId="0" fontId="22" fillId="0" borderId="1" xfId="0" applyFont="1" applyBorder="1" applyAlignment="1">
      <alignment horizontal="right"/>
    </xf>
    <xf numFmtId="2" fontId="22" fillId="0" borderId="1" xfId="0" applyNumberFormat="1" applyFont="1" applyBorder="1" applyAlignment="1">
      <alignment horizontal="center"/>
    </xf>
    <xf numFmtId="2" fontId="22" fillId="0" borderId="1" xfId="0" applyNumberFormat="1" applyFont="1" applyBorder="1"/>
    <xf numFmtId="2" fontId="119" fillId="0" borderId="1" xfId="0" applyNumberFormat="1" applyFont="1" applyBorder="1"/>
    <xf numFmtId="2" fontId="122" fillId="8" borderId="1" xfId="0" applyNumberFormat="1" applyFont="1" applyFill="1" applyBorder="1"/>
    <xf numFmtId="0" fontId="38" fillId="0" borderId="0" xfId="0" applyFont="1"/>
    <xf numFmtId="0" fontId="45" fillId="0" borderId="1" xfId="0" applyFont="1" applyBorder="1"/>
    <xf numFmtId="166" fontId="121" fillId="8" borderId="1" xfId="0" applyNumberFormat="1" applyFont="1" applyFill="1" applyBorder="1" applyAlignment="1">
      <alignment wrapText="1"/>
    </xf>
    <xf numFmtId="166" fontId="45" fillId="8" borderId="1" xfId="0" applyNumberFormat="1" applyFont="1" applyFill="1" applyBorder="1"/>
    <xf numFmtId="0" fontId="46" fillId="0" borderId="0" xfId="0" applyFont="1"/>
    <xf numFmtId="2" fontId="45" fillId="8" borderId="1" xfId="0" applyNumberFormat="1" applyFont="1" applyFill="1" applyBorder="1"/>
    <xf numFmtId="0" fontId="127" fillId="0" borderId="0" xfId="0" applyFont="1"/>
    <xf numFmtId="2" fontId="127" fillId="0" borderId="0" xfId="0" applyNumberFormat="1" applyFont="1"/>
    <xf numFmtId="0" fontId="40" fillId="0" borderId="1" xfId="0" applyFont="1" applyBorder="1"/>
    <xf numFmtId="2" fontId="40" fillId="0" borderId="1" xfId="0" applyNumberFormat="1" applyFont="1" applyBorder="1"/>
    <xf numFmtId="2" fontId="128" fillId="8" borderId="1" xfId="0" applyNumberFormat="1" applyFont="1" applyFill="1" applyBorder="1"/>
    <xf numFmtId="166" fontId="40" fillId="8" borderId="1" xfId="0" applyNumberFormat="1" applyFont="1" applyFill="1" applyBorder="1"/>
    <xf numFmtId="0" fontId="129" fillId="0" borderId="0" xfId="0" applyFont="1"/>
    <xf numFmtId="0" fontId="40" fillId="0" borderId="0" xfId="0" applyFont="1"/>
    <xf numFmtId="2" fontId="40" fillId="0" borderId="0" xfId="0" applyNumberFormat="1" applyFont="1"/>
    <xf numFmtId="2" fontId="93" fillId="0" borderId="1" xfId="0" applyNumberFormat="1" applyFont="1" applyBorder="1"/>
    <xf numFmtId="2" fontId="67" fillId="0" borderId="0" xfId="0" applyNumberFormat="1" applyFont="1"/>
    <xf numFmtId="2" fontId="45" fillId="0" borderId="0" xfId="0" applyNumberFormat="1" applyFont="1"/>
    <xf numFmtId="2" fontId="130" fillId="0" borderId="1" xfId="0" applyNumberFormat="1" applyFont="1" applyBorder="1"/>
    <xf numFmtId="0" fontId="128" fillId="0" borderId="1" xfId="0" applyFont="1" applyBorder="1"/>
    <xf numFmtId="2" fontId="128" fillId="0" borderId="1" xfId="0" applyNumberFormat="1" applyFont="1" applyBorder="1"/>
    <xf numFmtId="166" fontId="128" fillId="8" borderId="1" xfId="0" applyNumberFormat="1" applyFont="1" applyFill="1" applyBorder="1"/>
    <xf numFmtId="0" fontId="122" fillId="0" borderId="1" xfId="0" applyFont="1" applyBorder="1"/>
    <xf numFmtId="2" fontId="122" fillId="0" borderId="1" xfId="0" applyNumberFormat="1" applyFont="1" applyBorder="1"/>
    <xf numFmtId="166" fontId="122" fillId="8" borderId="1" xfId="0" applyNumberFormat="1" applyFont="1" applyFill="1" applyBorder="1"/>
    <xf numFmtId="0" fontId="130" fillId="0" borderId="1" xfId="0" applyFont="1" applyBorder="1"/>
    <xf numFmtId="0" fontId="131" fillId="0" borderId="0" xfId="0" applyFont="1"/>
    <xf numFmtId="0" fontId="128" fillId="0" borderId="0" xfId="0" applyFont="1"/>
    <xf numFmtId="0" fontId="130" fillId="0" borderId="1" xfId="0" applyFont="1" applyBorder="1" applyAlignment="1">
      <alignment horizontal="left"/>
    </xf>
    <xf numFmtId="10" fontId="45" fillId="0" borderId="0" xfId="0" applyNumberFormat="1" applyFont="1"/>
    <xf numFmtId="0" fontId="128" fillId="0" borderId="1" xfId="0" applyFont="1" applyBorder="1" applyAlignment="1">
      <alignment horizontal="right"/>
    </xf>
    <xf numFmtId="0" fontId="132" fillId="0" borderId="0" xfId="0" applyFont="1"/>
    <xf numFmtId="0" fontId="128" fillId="0" borderId="1" xfId="0" applyFont="1" applyBorder="1" applyAlignment="1">
      <alignment horizontal="right" wrapText="1"/>
    </xf>
    <xf numFmtId="1" fontId="128" fillId="0" borderId="1" xfId="0" applyNumberFormat="1" applyFont="1" applyBorder="1" applyAlignment="1">
      <alignment horizontal="right" wrapText="1"/>
    </xf>
    <xf numFmtId="0" fontId="121" fillId="0" borderId="1" xfId="0" applyFont="1" applyBorder="1" applyAlignment="1">
      <alignment horizontal="left" wrapText="1"/>
    </xf>
    <xf numFmtId="0" fontId="121" fillId="0" borderId="1" xfId="0" applyFont="1" applyBorder="1"/>
    <xf numFmtId="2" fontId="121" fillId="0" borderId="1" xfId="0" applyNumberFormat="1" applyFont="1" applyBorder="1"/>
    <xf numFmtId="166" fontId="121" fillId="8" borderId="1" xfId="0" applyNumberFormat="1" applyFont="1" applyFill="1" applyBorder="1"/>
    <xf numFmtId="0" fontId="133" fillId="0" borderId="0" xfId="0" applyFont="1"/>
    <xf numFmtId="0" fontId="121" fillId="0" borderId="0" xfId="0" applyFont="1"/>
    <xf numFmtId="166" fontId="45" fillId="0" borderId="1" xfId="0" applyNumberFormat="1" applyFont="1" applyBorder="1"/>
    <xf numFmtId="166" fontId="27" fillId="8" borderId="1" xfId="0" applyNumberFormat="1" applyFont="1" applyFill="1" applyBorder="1" applyAlignment="1">
      <alignment wrapText="1"/>
    </xf>
    <xf numFmtId="0" fontId="128" fillId="0" borderId="1" xfId="0" applyFont="1" applyBorder="1" applyAlignment="1">
      <alignment wrapText="1"/>
    </xf>
    <xf numFmtId="2" fontId="130" fillId="5" borderId="1" xfId="0" applyNumberFormat="1" applyFont="1" applyFill="1" applyBorder="1" applyAlignment="1">
      <alignment wrapText="1"/>
    </xf>
    <xf numFmtId="2" fontId="130" fillId="0" borderId="0" xfId="0" applyNumberFormat="1" applyFont="1"/>
    <xf numFmtId="2" fontId="134" fillId="0" borderId="1" xfId="0" applyNumberFormat="1" applyFont="1" applyBorder="1"/>
    <xf numFmtId="2" fontId="128" fillId="0" borderId="0" xfId="0" applyNumberFormat="1" applyFont="1"/>
    <xf numFmtId="0" fontId="24" fillId="14" borderId="1" xfId="0" applyFont="1" applyFill="1" applyBorder="1"/>
    <xf numFmtId="49" fontId="27" fillId="14" borderId="1" xfId="0" applyNumberFormat="1" applyFont="1" applyFill="1" applyBorder="1" applyAlignment="1">
      <alignment horizontal="right"/>
    </xf>
    <xf numFmtId="2" fontId="45" fillId="14" borderId="1" xfId="0" applyNumberFormat="1" applyFont="1" applyFill="1" applyBorder="1"/>
    <xf numFmtId="2" fontId="110" fillId="14" borderId="1" xfId="0" applyNumberFormat="1" applyFont="1" applyFill="1" applyBorder="1" applyAlignment="1">
      <alignment wrapText="1"/>
    </xf>
    <xf numFmtId="2" fontId="52" fillId="14" borderId="1" xfId="0" applyNumberFormat="1" applyFont="1" applyFill="1" applyBorder="1" applyAlignment="1">
      <alignment wrapText="1"/>
    </xf>
    <xf numFmtId="2" fontId="49" fillId="14" borderId="1" xfId="0" applyNumberFormat="1" applyFont="1" applyFill="1" applyBorder="1"/>
    <xf numFmtId="2" fontId="124" fillId="0" borderId="0" xfId="0" applyNumberFormat="1" applyFont="1"/>
    <xf numFmtId="2" fontId="123" fillId="0" borderId="0" xfId="0" applyNumberFormat="1" applyFont="1"/>
    <xf numFmtId="167" fontId="8" fillId="0" borderId="0" xfId="0" applyNumberFormat="1" applyFont="1"/>
    <xf numFmtId="0" fontId="135" fillId="0" borderId="0" xfId="0" applyFont="1"/>
    <xf numFmtId="2" fontId="135" fillId="0" borderId="0" xfId="0" applyNumberFormat="1" applyFont="1"/>
    <xf numFmtId="0" fontId="136" fillId="0" borderId="0" xfId="0" applyFont="1"/>
    <xf numFmtId="2" fontId="136" fillId="0" borderId="0" xfId="0" applyNumberFormat="1" applyFont="1"/>
    <xf numFmtId="0" fontId="137" fillId="0" borderId="0" xfId="0" applyFont="1"/>
    <xf numFmtId="2" fontId="137" fillId="0" borderId="0" xfId="0" applyNumberFormat="1" applyFont="1"/>
    <xf numFmtId="2" fontId="89" fillId="0" borderId="0" xfId="0" applyNumberFormat="1" applyFont="1"/>
    <xf numFmtId="165" fontId="89" fillId="0" borderId="0" xfId="0" applyNumberFormat="1" applyFont="1"/>
    <xf numFmtId="0" fontId="138" fillId="0" borderId="0" xfId="0" applyFont="1"/>
    <xf numFmtId="164" fontId="139" fillId="0" borderId="0" xfId="0" applyNumberFormat="1" applyFont="1"/>
    <xf numFmtId="164" fontId="10" fillId="11" borderId="0" xfId="0" applyNumberFormat="1" applyFont="1" applyFill="1"/>
    <xf numFmtId="0" fontId="140" fillId="0" borderId="0" xfId="0" applyFont="1"/>
    <xf numFmtId="0" fontId="141" fillId="0" borderId="0" xfId="0" applyFont="1"/>
    <xf numFmtId="0" fontId="142" fillId="0" borderId="0" xfId="0" applyFont="1"/>
    <xf numFmtId="2" fontId="142" fillId="0" borderId="0" xfId="0" applyNumberFormat="1" applyFont="1"/>
    <xf numFmtId="0" fontId="89" fillId="0" borderId="0" xfId="0" applyFont="1" applyAlignment="1">
      <alignment horizontal="left"/>
    </xf>
    <xf numFmtId="0" fontId="140" fillId="0" borderId="0" xfId="0" applyFont="1" applyAlignment="1">
      <alignment horizontal="left"/>
    </xf>
    <xf numFmtId="2" fontId="3" fillId="0" borderId="0" xfId="0" applyNumberFormat="1" applyFont="1" applyAlignment="1">
      <alignment horizontal="left"/>
    </xf>
    <xf numFmtId="0" fontId="143" fillId="0" borderId="0" xfId="0" applyFont="1"/>
    <xf numFmtId="0" fontId="144" fillId="0" borderId="0" xfId="0" applyFont="1"/>
    <xf numFmtId="2" fontId="145" fillId="0" borderId="0" xfId="0" applyNumberFormat="1" applyFont="1"/>
    <xf numFmtId="2" fontId="16" fillId="0" borderId="0" xfId="0" applyNumberFormat="1" applyFont="1" applyAlignment="1">
      <alignment horizontal="left"/>
    </xf>
    <xf numFmtId="0" fontId="143" fillId="0" borderId="0" xfId="0" applyFont="1" applyAlignment="1">
      <alignment horizontal="left"/>
    </xf>
    <xf numFmtId="2" fontId="15" fillId="0" borderId="0" xfId="0" applyNumberFormat="1" applyFont="1"/>
    <xf numFmtId="2" fontId="118" fillId="0" borderId="0" xfId="0" applyNumberFormat="1" applyFont="1"/>
    <xf numFmtId="2" fontId="122" fillId="0" borderId="0" xfId="0" applyNumberFormat="1" applyFont="1"/>
    <xf numFmtId="2" fontId="75" fillId="0" borderId="0" xfId="0" applyNumberFormat="1" applyFont="1"/>
    <xf numFmtId="2" fontId="17" fillId="0" borderId="0" xfId="0" applyNumberFormat="1" applyFont="1"/>
    <xf numFmtId="0" fontId="146" fillId="0" borderId="0" xfId="0" applyFont="1" applyAlignment="1">
      <alignment horizontal="left"/>
    </xf>
    <xf numFmtId="0" fontId="72" fillId="0" borderId="0" xfId="0" applyFont="1"/>
    <xf numFmtId="0" fontId="25" fillId="0" borderId="0" xfId="0" applyFont="1"/>
    <xf numFmtId="166" fontId="135" fillId="0" borderId="0" xfId="0" applyNumberFormat="1" applyFont="1" applyAlignment="1">
      <alignment horizontal="left"/>
    </xf>
    <xf numFmtId="0" fontId="72" fillId="0" borderId="0" xfId="0" applyFont="1" applyAlignment="1">
      <alignment horizontal="center"/>
    </xf>
    <xf numFmtId="0" fontId="26" fillId="0" borderId="0" xfId="0" applyFont="1"/>
    <xf numFmtId="0" fontId="111" fillId="0" borderId="0" xfId="0" applyFont="1" applyAlignment="1">
      <alignment horizontal="right"/>
    </xf>
    <xf numFmtId="0" fontId="61" fillId="0" borderId="0" xfId="0" applyFont="1"/>
    <xf numFmtId="0" fontId="137" fillId="0" borderId="0" xfId="0" applyFont="1" applyAlignment="1">
      <alignment horizontal="center"/>
    </xf>
    <xf numFmtId="0" fontId="115" fillId="0" borderId="0" xfId="0" applyFont="1"/>
    <xf numFmtId="0" fontId="135" fillId="0" borderId="0" xfId="0" applyFont="1" applyAlignment="1">
      <alignment horizontal="right"/>
    </xf>
    <xf numFmtId="2" fontId="137" fillId="0" borderId="0" xfId="0" applyNumberFormat="1" applyFont="1" applyAlignment="1">
      <alignment horizontal="center"/>
    </xf>
    <xf numFmtId="0" fontId="22" fillId="0" borderId="1" xfId="0" applyFont="1" applyBorder="1"/>
    <xf numFmtId="0" fontId="29" fillId="0" borderId="1" xfId="0" applyFont="1" applyBorder="1" applyAlignment="1">
      <alignment horizontal="center" wrapText="1"/>
    </xf>
    <xf numFmtId="0" fontId="29" fillId="0" borderId="0" xfId="0" applyFont="1" applyAlignment="1">
      <alignment horizontal="center"/>
    </xf>
    <xf numFmtId="0" fontId="45" fillId="0" borderId="3" xfId="0" applyFont="1" applyBorder="1"/>
    <xf numFmtId="166" fontId="52" fillId="0" borderId="3" xfId="0" applyNumberFormat="1" applyFont="1" applyBorder="1"/>
    <xf numFmtId="166" fontId="27" fillId="0" borderId="3" xfId="0" applyNumberFormat="1" applyFont="1" applyBorder="1" applyAlignment="1">
      <alignment horizontal="right"/>
    </xf>
    <xf numFmtId="1" fontId="121" fillId="0" borderId="1" xfId="0" applyNumberFormat="1" applyFont="1" applyBorder="1"/>
    <xf numFmtId="1" fontId="29" fillId="0" borderId="1" xfId="0" applyNumberFormat="1" applyFont="1" applyBorder="1"/>
    <xf numFmtId="1" fontId="110" fillId="0" borderId="1" xfId="0" applyNumberFormat="1" applyFont="1" applyBorder="1"/>
    <xf numFmtId="1" fontId="33" fillId="0" borderId="1" xfId="0" applyNumberFormat="1" applyFont="1" applyBorder="1"/>
    <xf numFmtId="1" fontId="29" fillId="0" borderId="0" xfId="0" applyNumberFormat="1" applyFont="1"/>
    <xf numFmtId="1" fontId="93" fillId="0" borderId="0" xfId="0" applyNumberFormat="1" applyFont="1"/>
    <xf numFmtId="2" fontId="46" fillId="0" borderId="0" xfId="0" applyNumberFormat="1" applyFont="1"/>
    <xf numFmtId="0" fontId="22" fillId="0" borderId="3" xfId="0" applyFont="1" applyBorder="1" applyAlignment="1">
      <alignment horizontal="right"/>
    </xf>
    <xf numFmtId="166" fontId="8" fillId="0" borderId="3" xfId="0" applyNumberFormat="1" applyFont="1" applyBorder="1" applyAlignment="1">
      <alignment horizontal="right"/>
    </xf>
    <xf numFmtId="1" fontId="122" fillId="0" borderId="1" xfId="0" applyNumberFormat="1" applyFont="1" applyBorder="1"/>
    <xf numFmtId="1" fontId="75" fillId="0" borderId="1" xfId="0" applyNumberFormat="1" applyFont="1" applyBorder="1" applyAlignment="1">
      <alignment horizontal="center"/>
    </xf>
    <xf numFmtId="166" fontId="8" fillId="0" borderId="3" xfId="0" applyNumberFormat="1" applyFont="1" applyBorder="1"/>
    <xf numFmtId="166" fontId="38" fillId="0" borderId="0" xfId="0" applyNumberFormat="1" applyFont="1"/>
    <xf numFmtId="1" fontId="29" fillId="0" borderId="1" xfId="0" applyNumberFormat="1" applyFont="1" applyBorder="1" applyAlignment="1">
      <alignment horizontal="right"/>
    </xf>
    <xf numFmtId="0" fontId="122" fillId="0" borderId="3" xfId="0" applyFont="1" applyBorder="1"/>
    <xf numFmtId="0" fontId="17" fillId="0" borderId="3" xfId="0" applyFont="1" applyBorder="1" applyAlignment="1">
      <alignment horizontal="left" wrapText="1"/>
    </xf>
    <xf numFmtId="166" fontId="44" fillId="0" borderId="3" xfId="0" applyNumberFormat="1" applyFont="1" applyBorder="1" applyAlignment="1">
      <alignment horizontal="right"/>
    </xf>
    <xf numFmtId="1" fontId="66" fillId="0" borderId="0" xfId="0" applyNumberFormat="1" applyFont="1"/>
    <xf numFmtId="166" fontId="62" fillId="0" borderId="0" xfId="0" applyNumberFormat="1" applyFont="1"/>
    <xf numFmtId="166" fontId="62" fillId="0" borderId="3" xfId="0" applyNumberFormat="1" applyFont="1" applyBorder="1"/>
    <xf numFmtId="1" fontId="122" fillId="0" borderId="1" xfId="0" applyNumberFormat="1" applyFont="1" applyBorder="1" applyAlignment="1">
      <alignment horizontal="right"/>
    </xf>
    <xf numFmtId="0" fontId="62" fillId="0" borderId="3" xfId="0" applyFont="1" applyBorder="1" applyAlignment="1">
      <alignment horizontal="right"/>
    </xf>
    <xf numFmtId="2" fontId="22" fillId="0" borderId="3" xfId="0" applyNumberFormat="1" applyFont="1" applyBorder="1"/>
    <xf numFmtId="0" fontId="119" fillId="0" borderId="3" xfId="0" applyFont="1" applyBorder="1"/>
    <xf numFmtId="166" fontId="47" fillId="0" borderId="3" xfId="0" applyNumberFormat="1" applyFont="1" applyBorder="1" applyAlignment="1">
      <alignment horizontal="right"/>
    </xf>
    <xf numFmtId="1" fontId="118" fillId="0" borderId="1" xfId="0" applyNumberFormat="1" applyFont="1" applyBorder="1"/>
    <xf numFmtId="1" fontId="36" fillId="0" borderId="1" xfId="0" applyNumberFormat="1" applyFont="1" applyBorder="1"/>
    <xf numFmtId="1" fontId="36" fillId="0" borderId="0" xfId="0" applyNumberFormat="1" applyFont="1"/>
    <xf numFmtId="1" fontId="67" fillId="0" borderId="0" xfId="0" applyNumberFormat="1" applyFont="1"/>
    <xf numFmtId="166" fontId="52" fillId="0" borderId="3" xfId="0" applyNumberFormat="1" applyFont="1" applyBorder="1" applyAlignment="1">
      <alignment horizontal="right"/>
    </xf>
    <xf numFmtId="1" fontId="88" fillId="0" borderId="1" xfId="0" applyNumberFormat="1" applyFont="1" applyBorder="1"/>
    <xf numFmtId="166" fontId="66" fillId="0" borderId="3" xfId="0" applyNumberFormat="1" applyFont="1" applyBorder="1"/>
    <xf numFmtId="166" fontId="147" fillId="0" borderId="3" xfId="0" applyNumberFormat="1" applyFont="1" applyBorder="1"/>
    <xf numFmtId="166" fontId="115" fillId="0" borderId="3" xfId="0" applyNumberFormat="1" applyFont="1" applyBorder="1" applyAlignment="1">
      <alignment horizontal="right"/>
    </xf>
    <xf numFmtId="0" fontId="148" fillId="0" borderId="0" xfId="0" applyFont="1"/>
    <xf numFmtId="2" fontId="27" fillId="0" borderId="3" xfId="0" applyNumberFormat="1" applyFont="1" applyBorder="1" applyAlignment="1">
      <alignment horizontal="right"/>
    </xf>
    <xf numFmtId="166" fontId="148" fillId="0" borderId="0" xfId="0" applyNumberFormat="1" applyFont="1"/>
    <xf numFmtId="0" fontId="149" fillId="0" borderId="0" xfId="0" applyFont="1"/>
    <xf numFmtId="0" fontId="45" fillId="0" borderId="1" xfId="0" applyFont="1" applyBorder="1" applyAlignment="1">
      <alignment horizontal="left"/>
    </xf>
    <xf numFmtId="166" fontId="52" fillId="0" borderId="1" xfId="0" applyNumberFormat="1" applyFont="1" applyBorder="1" applyAlignment="1">
      <alignment horizontal="right"/>
    </xf>
    <xf numFmtId="166" fontId="27" fillId="0" borderId="1" xfId="0" applyNumberFormat="1" applyFont="1" applyBorder="1" applyAlignment="1">
      <alignment horizontal="right"/>
    </xf>
    <xf numFmtId="0" fontId="93" fillId="0" borderId="1" xfId="0" applyFont="1" applyBorder="1"/>
    <xf numFmtId="0" fontId="150" fillId="0" borderId="0" xfId="0" applyFont="1"/>
    <xf numFmtId="0" fontId="52" fillId="0" borderId="1" xfId="0" applyFont="1" applyBorder="1" applyAlignment="1">
      <alignment horizontal="left"/>
    </xf>
    <xf numFmtId="0" fontId="115" fillId="0" borderId="1" xfId="0" applyFont="1" applyBorder="1" applyAlignment="1">
      <alignment horizontal="left"/>
    </xf>
    <xf numFmtId="1" fontId="115" fillId="0" borderId="0" xfId="0" applyNumberFormat="1" applyFont="1"/>
    <xf numFmtId="1" fontId="27" fillId="0" borderId="0" xfId="0" applyNumberFormat="1" applyFont="1"/>
    <xf numFmtId="164" fontId="66" fillId="0" borderId="0" xfId="0" applyNumberFormat="1" applyFont="1" applyAlignment="1">
      <alignment horizontal="left"/>
    </xf>
    <xf numFmtId="166" fontId="115" fillId="0" borderId="0" xfId="0" applyNumberFormat="1" applyFont="1"/>
    <xf numFmtId="166" fontId="44" fillId="0" borderId="0" xfId="0" applyNumberFormat="1" applyFont="1"/>
    <xf numFmtId="0" fontId="49" fillId="0" borderId="3" xfId="0" applyFont="1" applyBorder="1" applyAlignment="1">
      <alignment horizontal="center"/>
    </xf>
    <xf numFmtId="0" fontId="75" fillId="0" borderId="1" xfId="0" applyFont="1" applyBorder="1" applyAlignment="1">
      <alignment horizontal="center" wrapText="1"/>
    </xf>
    <xf numFmtId="0" fontId="122" fillId="0" borderId="1" xfId="0" applyFont="1" applyBorder="1" applyAlignment="1">
      <alignment horizontal="center" wrapText="1"/>
    </xf>
    <xf numFmtId="166" fontId="62" fillId="0" borderId="45" xfId="0" applyNumberFormat="1" applyFont="1" applyBorder="1"/>
    <xf numFmtId="0" fontId="119" fillId="0" borderId="45" xfId="0" applyFont="1" applyBorder="1"/>
    <xf numFmtId="0" fontId="122" fillId="0" borderId="3" xfId="0" applyFont="1" applyBorder="1" applyAlignment="1">
      <alignment horizontal="center" wrapText="1"/>
    </xf>
    <xf numFmtId="166" fontId="119" fillId="0" borderId="45" xfId="0" applyNumberFormat="1" applyFont="1" applyBorder="1"/>
    <xf numFmtId="0" fontId="63" fillId="0" borderId="45" xfId="0" applyFont="1" applyBorder="1"/>
    <xf numFmtId="0" fontId="17" fillId="0" borderId="1" xfId="0" applyFont="1" applyBorder="1" applyAlignment="1">
      <alignment horizontal="center" wrapText="1"/>
    </xf>
    <xf numFmtId="2" fontId="75" fillId="0" borderId="45" xfId="0" applyNumberFormat="1" applyFont="1" applyBorder="1" applyAlignment="1">
      <alignment horizontal="center"/>
    </xf>
    <xf numFmtId="1" fontId="75" fillId="0" borderId="45" xfId="0" applyNumberFormat="1" applyFont="1" applyBorder="1" applyAlignment="1">
      <alignment horizontal="center"/>
    </xf>
    <xf numFmtId="0" fontId="137" fillId="0" borderId="1" xfId="0" applyFont="1" applyBorder="1" applyAlignment="1">
      <alignment horizontal="center" wrapText="1"/>
    </xf>
    <xf numFmtId="0" fontId="75" fillId="0" borderId="45" xfId="0" applyFont="1" applyBorder="1"/>
    <xf numFmtId="0" fontId="75" fillId="0" borderId="45" xfId="0" applyFont="1" applyBorder="1" applyAlignment="1">
      <alignment horizontal="center"/>
    </xf>
    <xf numFmtId="2" fontId="38" fillId="0" borderId="0" xfId="0" applyNumberFormat="1" applyFont="1"/>
    <xf numFmtId="2" fontId="75" fillId="0" borderId="1" xfId="0" applyNumberFormat="1" applyFont="1" applyBorder="1" applyAlignment="1">
      <alignment horizontal="center"/>
    </xf>
    <xf numFmtId="2" fontId="122" fillId="0" borderId="1" xfId="0" applyNumberFormat="1" applyFont="1" applyBorder="1" applyAlignment="1">
      <alignment horizontal="center"/>
    </xf>
    <xf numFmtId="164" fontId="15" fillId="0" borderId="1" xfId="0" applyNumberFormat="1" applyFont="1" applyBorder="1" applyAlignment="1">
      <alignment horizontal="center"/>
    </xf>
    <xf numFmtId="166" fontId="119" fillId="0" borderId="0" xfId="0" applyNumberFormat="1" applyFont="1"/>
    <xf numFmtId="2" fontId="17" fillId="0" borderId="1" xfId="0" applyNumberFormat="1" applyFont="1" applyBorder="1" applyAlignment="1">
      <alignment horizontal="center"/>
    </xf>
    <xf numFmtId="164" fontId="75" fillId="0" borderId="0" xfId="0" applyNumberFormat="1" applyFont="1" applyAlignment="1">
      <alignment horizontal="center"/>
    </xf>
    <xf numFmtId="2" fontId="137" fillId="0" borderId="1" xfId="0" applyNumberFormat="1" applyFont="1" applyBorder="1" applyAlignment="1">
      <alignment horizontal="center"/>
    </xf>
    <xf numFmtId="10" fontId="75" fillId="0" borderId="0" xfId="0" applyNumberFormat="1" applyFont="1"/>
    <xf numFmtId="164" fontId="15" fillId="0" borderId="1" xfId="0" applyNumberFormat="1" applyFont="1" applyBorder="1"/>
    <xf numFmtId="0" fontId="122" fillId="0" borderId="3" xfId="0" applyFont="1" applyBorder="1" applyAlignment="1">
      <alignment horizontal="left" wrapText="1"/>
    </xf>
    <xf numFmtId="0" fontId="15" fillId="0" borderId="1" xfId="0" applyFont="1" applyBorder="1"/>
    <xf numFmtId="2" fontId="122" fillId="0" borderId="8" xfId="0" applyNumberFormat="1" applyFont="1" applyBorder="1" applyAlignment="1">
      <alignment horizontal="center"/>
    </xf>
    <xf numFmtId="2" fontId="17" fillId="0" borderId="8" xfId="0" applyNumberFormat="1" applyFont="1" applyBorder="1" applyAlignment="1">
      <alignment horizontal="center"/>
    </xf>
    <xf numFmtId="2" fontId="137" fillId="0" borderId="8" xfId="0" applyNumberFormat="1" applyFont="1" applyBorder="1" applyAlignment="1">
      <alignment horizontal="center"/>
    </xf>
    <xf numFmtId="166" fontId="47" fillId="0" borderId="0" xfId="0" applyNumberFormat="1" applyFont="1"/>
    <xf numFmtId="2" fontId="62" fillId="0" borderId="0" xfId="0" applyNumberFormat="1" applyFont="1"/>
    <xf numFmtId="164" fontId="15" fillId="0" borderId="0" xfId="0" applyNumberFormat="1" applyFont="1"/>
    <xf numFmtId="0" fontId="119" fillId="0" borderId="1" xfId="0" applyFont="1" applyBorder="1"/>
    <xf numFmtId="0" fontId="63" fillId="0" borderId="1" xfId="0" applyFont="1" applyBorder="1"/>
    <xf numFmtId="164" fontId="17" fillId="0" borderId="1" xfId="0" applyNumberFormat="1" applyFont="1" applyBorder="1"/>
    <xf numFmtId="164" fontId="75" fillId="0" borderId="1" xfId="0" applyNumberFormat="1" applyFont="1" applyBorder="1" applyAlignment="1">
      <alignment horizontal="center"/>
    </xf>
    <xf numFmtId="164" fontId="75" fillId="0" borderId="1" xfId="0" applyNumberFormat="1" applyFont="1" applyBorder="1"/>
    <xf numFmtId="0" fontId="138" fillId="0" borderId="3" xfId="0" applyFont="1" applyBorder="1" applyAlignment="1">
      <alignment horizontal="left" wrapText="1"/>
    </xf>
    <xf numFmtId="2" fontId="138" fillId="0" borderId="1" xfId="0" applyNumberFormat="1" applyFont="1" applyBorder="1" applyAlignment="1">
      <alignment horizontal="center"/>
    </xf>
    <xf numFmtId="164" fontId="118" fillId="0" borderId="0" xfId="0" applyNumberFormat="1" applyFont="1" applyAlignment="1">
      <alignment horizontal="center"/>
    </xf>
    <xf numFmtId="164" fontId="15" fillId="0" borderId="3" xfId="0" applyNumberFormat="1" applyFont="1" applyBorder="1"/>
    <xf numFmtId="10" fontId="75" fillId="0" borderId="1" xfId="0" applyNumberFormat="1" applyFont="1" applyBorder="1"/>
    <xf numFmtId="0" fontId="138" fillId="0" borderId="1" xfId="0" applyFont="1" applyBorder="1"/>
    <xf numFmtId="0" fontId="151" fillId="0" borderId="0" xfId="0" applyFont="1"/>
    <xf numFmtId="164" fontId="118" fillId="0" borderId="0" xfId="0" applyNumberFormat="1" applyFont="1"/>
    <xf numFmtId="164" fontId="75" fillId="0" borderId="0" xfId="0" applyNumberFormat="1" applyFont="1"/>
    <xf numFmtId="2" fontId="118" fillId="0" borderId="0" xfId="0" applyNumberFormat="1" applyFont="1" applyAlignment="1">
      <alignment horizontal="center"/>
    </xf>
    <xf numFmtId="166" fontId="8" fillId="0" borderId="0" xfId="0" applyNumberFormat="1" applyFont="1"/>
    <xf numFmtId="0" fontId="152" fillId="0" borderId="0" xfId="0" applyFont="1"/>
    <xf numFmtId="166" fontId="142" fillId="0" borderId="0" xfId="0" applyNumberFormat="1" applyFont="1"/>
    <xf numFmtId="1" fontId="89" fillId="0" borderId="0" xfId="0" applyNumberFormat="1" applyFont="1"/>
    <xf numFmtId="166" fontId="75" fillId="0" borderId="0" xfId="0" applyNumberFormat="1" applyFont="1"/>
    <xf numFmtId="166" fontId="0" fillId="0" borderId="0" xfId="0" applyNumberFormat="1"/>
    <xf numFmtId="166" fontId="2" fillId="0" borderId="0" xfId="0" applyNumberFormat="1" applyFont="1"/>
    <xf numFmtId="0" fontId="153" fillId="0" borderId="0" xfId="0" applyFont="1"/>
    <xf numFmtId="0" fontId="154" fillId="0" borderId="0" xfId="0" applyFont="1"/>
    <xf numFmtId="0" fontId="155" fillId="0" borderId="0" xfId="0" applyFont="1"/>
    <xf numFmtId="0" fontId="156" fillId="0" borderId="0" xfId="0" applyFont="1"/>
    <xf numFmtId="2" fontId="157" fillId="0" borderId="0" xfId="0" applyNumberFormat="1" applyFont="1"/>
    <xf numFmtId="0" fontId="158" fillId="0" borderId="0" xfId="0" applyFont="1"/>
    <xf numFmtId="1" fontId="153" fillId="0" borderId="0" xfId="0" applyNumberFormat="1" applyFont="1"/>
    <xf numFmtId="2" fontId="156" fillId="0" borderId="0" xfId="0" applyNumberFormat="1" applyFont="1"/>
    <xf numFmtId="1" fontId="140" fillId="0" borderId="0" xfId="0" applyNumberFormat="1" applyFont="1"/>
    <xf numFmtId="2" fontId="159" fillId="0" borderId="0" xfId="0" applyNumberFormat="1" applyFont="1"/>
    <xf numFmtId="0" fontId="160" fillId="0" borderId="0" xfId="0" applyFont="1"/>
    <xf numFmtId="2" fontId="160" fillId="0" borderId="0" xfId="0" applyNumberFormat="1" applyFont="1"/>
    <xf numFmtId="0" fontId="161" fillId="0" borderId="0" xfId="0" applyFont="1"/>
    <xf numFmtId="2" fontId="65" fillId="0" borderId="0" xfId="0" applyNumberFormat="1" applyFont="1"/>
    <xf numFmtId="0" fontId="162" fillId="0" borderId="0" xfId="0" applyFont="1"/>
    <xf numFmtId="0" fontId="163" fillId="0" borderId="0" xfId="0" applyFont="1"/>
    <xf numFmtId="0" fontId="164" fillId="0" borderId="0" xfId="0" applyFont="1"/>
    <xf numFmtId="2" fontId="163" fillId="0" borderId="0" xfId="0" applyNumberFormat="1" applyFont="1"/>
    <xf numFmtId="2" fontId="165" fillId="0" borderId="0" xfId="0" applyNumberFormat="1" applyFont="1"/>
    <xf numFmtId="0" fontId="165" fillId="0" borderId="0" xfId="0" applyFont="1"/>
    <xf numFmtId="2" fontId="166" fillId="0" borderId="0" xfId="0" applyNumberFormat="1" applyFont="1"/>
    <xf numFmtId="0" fontId="167" fillId="0" borderId="0" xfId="0" applyFont="1"/>
    <xf numFmtId="49" fontId="165" fillId="0" borderId="0" xfId="0" applyNumberFormat="1" applyFont="1"/>
    <xf numFmtId="0" fontId="168" fillId="0" borderId="0" xfId="0" applyFont="1"/>
    <xf numFmtId="0" fontId="168" fillId="0" borderId="0" xfId="0" applyFont="1" applyAlignment="1">
      <alignment horizontal="left"/>
    </xf>
    <xf numFmtId="0" fontId="169" fillId="0" borderId="0" xfId="0" applyFont="1"/>
    <xf numFmtId="2" fontId="168" fillId="0" borderId="0" xfId="0" applyNumberFormat="1" applyFont="1"/>
    <xf numFmtId="167" fontId="168" fillId="0" borderId="0" xfId="0" applyNumberFormat="1" applyFont="1" applyAlignment="1">
      <alignment horizontal="center"/>
    </xf>
    <xf numFmtId="0" fontId="170" fillId="0" borderId="0" xfId="0" applyFont="1"/>
    <xf numFmtId="167" fontId="170" fillId="0" borderId="0" xfId="0" applyNumberFormat="1" applyFont="1" applyAlignment="1">
      <alignment horizontal="center"/>
    </xf>
    <xf numFmtId="167" fontId="168" fillId="0" borderId="0" xfId="0" applyNumberFormat="1" applyFont="1" applyAlignment="1">
      <alignment horizontal="right"/>
    </xf>
    <xf numFmtId="167" fontId="168" fillId="0" borderId="0" xfId="0" applyNumberFormat="1" applyFont="1"/>
    <xf numFmtId="2" fontId="171" fillId="0" borderId="0" xfId="0" applyNumberFormat="1" applyFont="1"/>
    <xf numFmtId="2" fontId="172" fillId="0" borderId="0" xfId="0" applyNumberFormat="1" applyFont="1"/>
    <xf numFmtId="2" fontId="164" fillId="0" borderId="0" xfId="0" applyNumberFormat="1" applyFont="1"/>
    <xf numFmtId="2" fontId="169" fillId="0" borderId="0" xfId="0" applyNumberFormat="1" applyFont="1"/>
    <xf numFmtId="0" fontId="168" fillId="0" borderId="0" xfId="0" applyFont="1" applyAlignment="1">
      <alignment horizontal="center"/>
    </xf>
    <xf numFmtId="0" fontId="174" fillId="0" borderId="0" xfId="0" applyFont="1"/>
    <xf numFmtId="1" fontId="168" fillId="0" borderId="0" xfId="0" applyNumberFormat="1" applyFont="1"/>
    <xf numFmtId="1" fontId="168" fillId="0" borderId="0" xfId="0" applyNumberFormat="1" applyFont="1" applyAlignment="1">
      <alignment horizontal="center"/>
    </xf>
    <xf numFmtId="0" fontId="175" fillId="0" borderId="0" xfId="0" applyFont="1"/>
    <xf numFmtId="2" fontId="168" fillId="3" borderId="0" xfId="0" applyNumberFormat="1" applyFont="1" applyFill="1"/>
    <xf numFmtId="0" fontId="176" fillId="0" borderId="0" xfId="0" applyFont="1"/>
    <xf numFmtId="166" fontId="172" fillId="0" borderId="0" xfId="0" applyNumberFormat="1" applyFont="1" applyAlignment="1">
      <alignment horizontal="right"/>
    </xf>
    <xf numFmtId="166" fontId="168" fillId="0" borderId="0" xfId="0" applyNumberFormat="1" applyFont="1" applyAlignment="1">
      <alignment horizontal="right"/>
    </xf>
    <xf numFmtId="0" fontId="177" fillId="0" borderId="0" xfId="0" applyFont="1"/>
    <xf numFmtId="166" fontId="177" fillId="0" borderId="0" xfId="0" applyNumberFormat="1" applyFont="1" applyAlignment="1">
      <alignment horizontal="right"/>
    </xf>
    <xf numFmtId="2" fontId="63" fillId="3" borderId="0" xfId="0" applyNumberFormat="1" applyFont="1" applyFill="1"/>
    <xf numFmtId="2" fontId="162" fillId="0" borderId="0" xfId="0" applyNumberFormat="1" applyFont="1"/>
    <xf numFmtId="0" fontId="179" fillId="0" borderId="0" xfId="0" applyFont="1"/>
    <xf numFmtId="2" fontId="180" fillId="0" borderId="0" xfId="0" applyNumberFormat="1" applyFont="1"/>
    <xf numFmtId="0" fontId="162" fillId="0" borderId="0" xfId="2" applyFont="1" applyAlignment="1">
      <alignment horizontal="right"/>
    </xf>
    <xf numFmtId="0" fontId="163" fillId="0" borderId="0" xfId="2" applyFont="1"/>
    <xf numFmtId="2" fontId="163" fillId="0" borderId="0" xfId="2" applyNumberFormat="1" applyFont="1"/>
    <xf numFmtId="2" fontId="164" fillId="0" borderId="0" xfId="2" applyNumberFormat="1" applyFont="1"/>
    <xf numFmtId="2" fontId="168" fillId="11" borderId="0" xfId="0" applyNumberFormat="1" applyFont="1" applyFill="1"/>
    <xf numFmtId="2" fontId="168" fillId="0" borderId="0" xfId="0" applyNumberFormat="1" applyFont="1" applyAlignment="1">
      <alignment horizontal="center"/>
    </xf>
    <xf numFmtId="0" fontId="172" fillId="0" borderId="0" xfId="0" applyFont="1"/>
    <xf numFmtId="49" fontId="93" fillId="0" borderId="0" xfId="0" applyNumberFormat="1" applyFont="1"/>
    <xf numFmtId="2" fontId="162" fillId="0" borderId="0" xfId="0" applyNumberFormat="1" applyFont="1" applyAlignment="1">
      <alignment horizontal="right"/>
    </xf>
    <xf numFmtId="0" fontId="163" fillId="4" borderId="0" xfId="0" applyFont="1" applyFill="1"/>
    <xf numFmtId="0" fontId="65" fillId="0" borderId="0" xfId="0" applyFont="1"/>
    <xf numFmtId="2" fontId="65" fillId="0" borderId="0" xfId="0" applyNumberFormat="1" applyFont="1" applyAlignment="1">
      <alignment horizontal="center"/>
    </xf>
    <xf numFmtId="0" fontId="65" fillId="0" borderId="0" xfId="0" applyFont="1" applyAlignment="1">
      <alignment horizontal="center"/>
    </xf>
    <xf numFmtId="2" fontId="181" fillId="0" borderId="0" xfId="0" applyNumberFormat="1" applyFont="1"/>
    <xf numFmtId="16" fontId="162" fillId="0" borderId="0" xfId="0" applyNumberFormat="1" applyFont="1"/>
    <xf numFmtId="2" fontId="162" fillId="0" borderId="0" xfId="0" applyNumberFormat="1" applyFont="1" applyAlignment="1">
      <alignment horizontal="center"/>
    </xf>
    <xf numFmtId="0" fontId="168" fillId="0" borderId="0" xfId="2" applyFont="1" applyAlignment="1">
      <alignment horizontal="left"/>
    </xf>
    <xf numFmtId="0" fontId="168" fillId="0" borderId="0" xfId="2" applyFont="1" applyAlignment="1">
      <alignment horizontal="center" wrapText="1"/>
    </xf>
    <xf numFmtId="0" fontId="169" fillId="0" borderId="0" xfId="0" applyFont="1" applyAlignment="1">
      <alignment wrapText="1"/>
    </xf>
    <xf numFmtId="0" fontId="169" fillId="0" borderId="0" xfId="2" applyFont="1" applyAlignment="1">
      <alignment horizontal="center" wrapText="1"/>
    </xf>
    <xf numFmtId="0" fontId="168" fillId="0" borderId="0" xfId="2" applyFont="1"/>
    <xf numFmtId="0" fontId="168" fillId="0" borderId="0" xfId="2" applyFont="1" applyAlignment="1">
      <alignment horizontal="center"/>
    </xf>
    <xf numFmtId="2" fontId="168" fillId="0" borderId="0" xfId="2" applyNumberFormat="1" applyFont="1"/>
    <xf numFmtId="166" fontId="169" fillId="0" borderId="0" xfId="2" applyNumberFormat="1" applyFont="1" applyAlignment="1">
      <alignment horizontal="right"/>
    </xf>
    <xf numFmtId="2" fontId="169" fillId="0" borderId="0" xfId="2" applyNumberFormat="1" applyFont="1"/>
    <xf numFmtId="4" fontId="168" fillId="0" borderId="0" xfId="0" applyNumberFormat="1" applyFont="1"/>
    <xf numFmtId="2" fontId="182" fillId="0" borderId="0" xfId="0" applyNumberFormat="1" applyFont="1"/>
    <xf numFmtId="0" fontId="162" fillId="0" borderId="0" xfId="0" applyFont="1" applyAlignment="1">
      <alignment horizontal="right"/>
    </xf>
    <xf numFmtId="1" fontId="162" fillId="0" borderId="0" xfId="0" applyNumberFormat="1" applyFont="1"/>
    <xf numFmtId="0" fontId="110" fillId="0" borderId="0" xfId="0" applyFont="1"/>
    <xf numFmtId="0" fontId="75" fillId="0" borderId="8" xfId="0" applyFont="1" applyBorder="1" applyAlignment="1">
      <alignment horizontal="center"/>
    </xf>
    <xf numFmtId="0" fontId="75" fillId="0" borderId="8" xfId="0" applyFont="1" applyBorder="1" applyAlignment="1">
      <alignment horizontal="center" wrapText="1"/>
    </xf>
    <xf numFmtId="0" fontId="75" fillId="0" borderId="8" xfId="0" applyFont="1" applyBorder="1" applyAlignment="1">
      <alignment horizontal="center" textRotation="90"/>
    </xf>
    <xf numFmtId="0" fontId="75" fillId="0" borderId="8" xfId="0" applyFont="1" applyBorder="1" applyAlignment="1">
      <alignment horizontal="center" textRotation="90" wrapText="1"/>
    </xf>
    <xf numFmtId="2" fontId="75" fillId="0" borderId="1" xfId="0" applyNumberFormat="1" applyFont="1" applyBorder="1"/>
    <xf numFmtId="0" fontId="17" fillId="0" borderId="0" xfId="0" applyFont="1"/>
    <xf numFmtId="0" fontId="15" fillId="0" borderId="0" xfId="0" applyFont="1" applyAlignment="1">
      <alignment horizontal="left"/>
    </xf>
    <xf numFmtId="0" fontId="75" fillId="0" borderId="0" xfId="0" applyFont="1" applyAlignment="1">
      <alignment horizontal="left"/>
    </xf>
    <xf numFmtId="166" fontId="63" fillId="0" borderId="1" xfId="0" applyNumberFormat="1" applyFont="1" applyBorder="1"/>
    <xf numFmtId="0" fontId="168" fillId="0" borderId="0" xfId="0" applyFont="1" applyAlignment="1">
      <alignment horizontal="center" wrapText="1"/>
    </xf>
    <xf numFmtId="0" fontId="183" fillId="0" borderId="0" xfId="0" applyFont="1"/>
    <xf numFmtId="0" fontId="172" fillId="0" borderId="0" xfId="0" applyFont="1" applyAlignment="1">
      <alignment horizontal="left"/>
    </xf>
    <xf numFmtId="2" fontId="175" fillId="0" borderId="0" xfId="0" applyNumberFormat="1" applyFont="1"/>
    <xf numFmtId="0" fontId="184" fillId="0" borderId="0" xfId="0" applyFont="1"/>
    <xf numFmtId="0" fontId="175" fillId="0" borderId="0" xfId="0" applyFont="1" applyAlignment="1">
      <alignment horizontal="left"/>
    </xf>
    <xf numFmtId="0" fontId="75" fillId="0" borderId="1" xfId="0" applyFont="1" applyBorder="1" applyAlignment="1">
      <alignment horizontal="center"/>
    </xf>
    <xf numFmtId="2" fontId="75" fillId="0" borderId="1" xfId="0" applyNumberFormat="1" applyFont="1" applyBorder="1" applyAlignment="1">
      <alignment horizontal="center" wrapText="1"/>
    </xf>
    <xf numFmtId="0" fontId="75" fillId="0" borderId="12" xfId="0" applyFont="1" applyBorder="1"/>
    <xf numFmtId="2" fontId="75" fillId="0" borderId="12" xfId="0" applyNumberFormat="1" applyFont="1" applyBorder="1"/>
    <xf numFmtId="0" fontId="75" fillId="0" borderId="1" xfId="0" applyFont="1" applyBorder="1" applyAlignment="1">
      <alignment horizontal="right"/>
    </xf>
    <xf numFmtId="0" fontId="75" fillId="0" borderId="3" xfId="0" applyFont="1" applyBorder="1"/>
    <xf numFmtId="0" fontId="177" fillId="0" borderId="0" xfId="0" applyFont="1" applyAlignment="1">
      <alignment horizontal="left"/>
    </xf>
    <xf numFmtId="0" fontId="111" fillId="0" borderId="0" xfId="0" applyFont="1"/>
    <xf numFmtId="2" fontId="111" fillId="13" borderId="0" xfId="0" applyNumberFormat="1" applyFont="1" applyFill="1"/>
    <xf numFmtId="164" fontId="153" fillId="11" borderId="0" xfId="0" applyNumberFormat="1" applyFont="1" applyFill="1"/>
    <xf numFmtId="14" fontId="93" fillId="0" borderId="0" xfId="0" applyNumberFormat="1" applyFont="1"/>
    <xf numFmtId="2" fontId="174" fillId="0" borderId="0" xfId="0" applyNumberFormat="1" applyFont="1"/>
    <xf numFmtId="1" fontId="174" fillId="0" borderId="0" xfId="0" applyNumberFormat="1" applyFont="1" applyAlignment="1">
      <alignment horizontal="right"/>
    </xf>
    <xf numFmtId="2" fontId="174" fillId="0" borderId="0" xfId="0" applyNumberFormat="1" applyFont="1" applyAlignment="1">
      <alignment horizontal="right"/>
    </xf>
    <xf numFmtId="0" fontId="174" fillId="0" borderId="0" xfId="0" applyFont="1" applyAlignment="1">
      <alignment horizontal="left"/>
    </xf>
    <xf numFmtId="1" fontId="166" fillId="0" borderId="0" xfId="0" applyNumberFormat="1" applyFont="1"/>
    <xf numFmtId="4" fontId="166" fillId="0" borderId="0" xfId="0" applyNumberFormat="1" applyFont="1" applyAlignment="1">
      <alignment horizontal="right"/>
    </xf>
    <xf numFmtId="4" fontId="174" fillId="0" borderId="0" xfId="0" applyNumberFormat="1" applyFont="1" applyAlignment="1">
      <alignment horizontal="right"/>
    </xf>
    <xf numFmtId="164" fontId="166" fillId="0" borderId="0" xfId="0" applyNumberFormat="1" applyFont="1"/>
    <xf numFmtId="166" fontId="75" fillId="0" borderId="12" xfId="0" applyNumberFormat="1" applyFont="1" applyBorder="1"/>
    <xf numFmtId="0" fontId="177" fillId="0" borderId="0" xfId="0" applyFont="1" applyAlignment="1">
      <alignment horizontal="right"/>
    </xf>
    <xf numFmtId="2" fontId="177" fillId="0" borderId="0" xfId="0" applyNumberFormat="1" applyFont="1"/>
    <xf numFmtId="14" fontId="174" fillId="0" borderId="0" xfId="0" applyNumberFormat="1" applyFont="1"/>
    <xf numFmtId="2" fontId="166" fillId="0" borderId="0" xfId="0" applyNumberFormat="1" applyFont="1" applyAlignment="1">
      <alignment horizontal="right"/>
    </xf>
    <xf numFmtId="14" fontId="166" fillId="0" borderId="0" xfId="0" applyNumberFormat="1" applyFont="1"/>
    <xf numFmtId="1" fontId="166" fillId="0" borderId="0" xfId="0" applyNumberFormat="1" applyFont="1" applyAlignment="1">
      <alignment horizontal="right"/>
    </xf>
    <xf numFmtId="2" fontId="179" fillId="0" borderId="0" xfId="0" applyNumberFormat="1" applyFont="1"/>
    <xf numFmtId="14" fontId="185" fillId="0" borderId="0" xfId="0" applyNumberFormat="1" applyFont="1"/>
    <xf numFmtId="0" fontId="186" fillId="0" borderId="0" xfId="0" applyFont="1"/>
    <xf numFmtId="2" fontId="185" fillId="0" borderId="0" xfId="0" applyNumberFormat="1" applyFont="1" applyAlignment="1">
      <alignment horizontal="right"/>
    </xf>
    <xf numFmtId="2" fontId="165" fillId="0" borderId="0" xfId="0" applyNumberFormat="1" applyFont="1" applyAlignment="1">
      <alignment horizontal="right"/>
    </xf>
    <xf numFmtId="2" fontId="177" fillId="0" borderId="0" xfId="0" applyNumberFormat="1" applyFont="1" applyAlignment="1">
      <alignment horizontal="center"/>
    </xf>
    <xf numFmtId="0" fontId="165" fillId="0" borderId="0" xfId="0" applyFont="1" applyAlignment="1">
      <alignment horizontal="center"/>
    </xf>
    <xf numFmtId="0" fontId="165" fillId="0" borderId="0" xfId="0" applyFont="1" applyAlignment="1">
      <alignment horizontal="right"/>
    </xf>
    <xf numFmtId="0" fontId="168" fillId="15" borderId="0" xfId="0" applyFont="1" applyFill="1"/>
    <xf numFmtId="0" fontId="166" fillId="0" borderId="0" xfId="0" applyFont="1"/>
    <xf numFmtId="0" fontId="130" fillId="0" borderId="0" xfId="0" applyFont="1"/>
    <xf numFmtId="2" fontId="93" fillId="0" borderId="0" xfId="0" applyNumberFormat="1" applyFont="1" applyAlignment="1">
      <alignment horizontal="right"/>
    </xf>
    <xf numFmtId="0" fontId="187" fillId="0" borderId="0" xfId="0" applyFont="1"/>
    <xf numFmtId="164" fontId="169" fillId="0" borderId="0" xfId="0" applyNumberFormat="1" applyFont="1"/>
    <xf numFmtId="164" fontId="172" fillId="0" borderId="0" xfId="0" applyNumberFormat="1" applyFont="1"/>
    <xf numFmtId="164" fontId="188" fillId="0" borderId="0" xfId="0" applyNumberFormat="1" applyFont="1"/>
    <xf numFmtId="164" fontId="180" fillId="0" borderId="0" xfId="0" applyNumberFormat="1" applyFont="1"/>
    <xf numFmtId="164" fontId="168" fillId="0" borderId="0" xfId="0" applyNumberFormat="1" applyFont="1"/>
    <xf numFmtId="164" fontId="168" fillId="16" borderId="0" xfId="0" applyNumberFormat="1" applyFont="1" applyFill="1"/>
    <xf numFmtId="2" fontId="168" fillId="16" borderId="0" xfId="0" applyNumberFormat="1" applyFont="1" applyFill="1"/>
    <xf numFmtId="4" fontId="169" fillId="0" borderId="0" xfId="0" applyNumberFormat="1" applyFont="1"/>
    <xf numFmtId="0" fontId="188" fillId="0" borderId="0" xfId="0" applyFont="1"/>
    <xf numFmtId="4" fontId="168" fillId="16" borderId="0" xfId="0" applyNumberFormat="1" applyFont="1" applyFill="1"/>
    <xf numFmtId="1" fontId="165" fillId="0" borderId="0" xfId="0" applyNumberFormat="1" applyFont="1"/>
    <xf numFmtId="0" fontId="189" fillId="0" borderId="0" xfId="0" applyFont="1"/>
    <xf numFmtId="0" fontId="190" fillId="0" borderId="0" xfId="0" applyFont="1"/>
    <xf numFmtId="167" fontId="165" fillId="16" borderId="0" xfId="0" applyNumberFormat="1" applyFont="1" applyFill="1"/>
    <xf numFmtId="166" fontId="165" fillId="0" borderId="0" xfId="0" applyNumberFormat="1" applyFont="1"/>
    <xf numFmtId="0" fontId="182" fillId="0" borderId="0" xfId="0" applyFont="1"/>
    <xf numFmtId="2" fontId="188" fillId="0" borderId="0" xfId="0" applyNumberFormat="1" applyFont="1"/>
    <xf numFmtId="166" fontId="169" fillId="0" borderId="0" xfId="0" applyNumberFormat="1" applyFont="1"/>
    <xf numFmtId="167" fontId="168" fillId="9" borderId="0" xfId="0" applyNumberFormat="1" applyFont="1" applyFill="1"/>
    <xf numFmtId="0" fontId="191" fillId="0" borderId="0" xfId="0" applyFont="1"/>
    <xf numFmtId="2" fontId="153" fillId="0" borderId="0" xfId="0" applyNumberFormat="1" applyFont="1"/>
    <xf numFmtId="0" fontId="189" fillId="0" borderId="0" xfId="0" applyFont="1" applyAlignment="1">
      <alignment horizontal="right"/>
    </xf>
    <xf numFmtId="0" fontId="45" fillId="0" borderId="1" xfId="0" applyFont="1" applyBorder="1" applyAlignment="1">
      <alignment horizontal="center" vertical="center" textRotation="90" wrapText="1"/>
    </xf>
    <xf numFmtId="170" fontId="153" fillId="0" borderId="0" xfId="0" applyNumberFormat="1" applyFont="1"/>
    <xf numFmtId="0" fontId="32" fillId="0" borderId="1" xfId="0" applyFont="1" applyBorder="1"/>
    <xf numFmtId="0" fontId="42" fillId="0" borderId="3" xfId="0" applyFont="1" applyBorder="1" applyAlignment="1">
      <alignment horizontal="left" wrapText="1"/>
    </xf>
    <xf numFmtId="0" fontId="42" fillId="0" borderId="4" xfId="0" applyFont="1" applyBorder="1" applyAlignment="1">
      <alignment horizontal="left" wrapText="1"/>
    </xf>
    <xf numFmtId="0" fontId="42" fillId="0" borderId="5" xfId="0" applyFont="1" applyBorder="1" applyAlignment="1">
      <alignment horizontal="left" wrapText="1"/>
    </xf>
    <xf numFmtId="0" fontId="35" fillId="0" borderId="5" xfId="0" applyFont="1" applyBorder="1" applyAlignment="1">
      <alignment horizontal="left" wrapText="1"/>
    </xf>
    <xf numFmtId="0" fontId="153" fillId="0" borderId="1" xfId="0" applyFont="1" applyBorder="1"/>
    <xf numFmtId="0" fontId="154" fillId="0" borderId="1" xfId="0" applyFont="1" applyBorder="1" applyAlignment="1">
      <alignment horizontal="right"/>
    </xf>
    <xf numFmtId="2" fontId="153" fillId="0" borderId="8" xfId="0" applyNumberFormat="1" applyFont="1" applyBorder="1"/>
    <xf numFmtId="171" fontId="153" fillId="0" borderId="0" xfId="0" applyNumberFormat="1" applyFont="1"/>
    <xf numFmtId="0" fontId="75" fillId="0" borderId="36" xfId="0" applyFont="1" applyBorder="1"/>
    <xf numFmtId="2" fontId="93" fillId="0" borderId="1" xfId="0" applyNumberFormat="1" applyFont="1" applyBorder="1" applyAlignment="1">
      <alignment horizontal="right"/>
    </xf>
    <xf numFmtId="2" fontId="93" fillId="9" borderId="0" xfId="0" applyNumberFormat="1" applyFont="1" applyFill="1"/>
    <xf numFmtId="166" fontId="63" fillId="9" borderId="0" xfId="0" applyNumberFormat="1" applyFont="1" applyFill="1" applyAlignment="1">
      <alignment horizontal="right"/>
    </xf>
    <xf numFmtId="166" fontId="63" fillId="0" borderId="0" xfId="0" applyNumberFormat="1" applyFont="1" applyAlignment="1">
      <alignment horizontal="right"/>
    </xf>
    <xf numFmtId="0" fontId="75" fillId="0" borderId="46" xfId="0" applyFont="1" applyBorder="1" applyAlignment="1">
      <alignment horizontal="right"/>
    </xf>
    <xf numFmtId="2" fontId="111" fillId="0" borderId="0" xfId="0" applyNumberFormat="1" applyFont="1" applyAlignment="1">
      <alignment horizontal="right"/>
    </xf>
    <xf numFmtId="2" fontId="93" fillId="9" borderId="0" xfId="0" applyNumberFormat="1" applyFont="1" applyFill="1" applyAlignment="1">
      <alignment horizontal="right"/>
    </xf>
    <xf numFmtId="2" fontId="111" fillId="0" borderId="1" xfId="0" applyNumberFormat="1" applyFont="1" applyBorder="1" applyAlignment="1">
      <alignment horizontal="right"/>
    </xf>
    <xf numFmtId="165" fontId="153" fillId="0" borderId="0" xfId="0" applyNumberFormat="1" applyFont="1"/>
    <xf numFmtId="2" fontId="192" fillId="0" borderId="0" xfId="0" applyNumberFormat="1" applyFont="1" applyAlignment="1">
      <alignment horizontal="right"/>
    </xf>
    <xf numFmtId="2" fontId="193" fillId="0" borderId="0" xfId="0" applyNumberFormat="1" applyFont="1" applyAlignment="1">
      <alignment horizontal="right"/>
    </xf>
    <xf numFmtId="49" fontId="93" fillId="0" borderId="1" xfId="0" applyNumberFormat="1" applyFont="1" applyBorder="1" applyAlignment="1">
      <alignment horizontal="left"/>
    </xf>
    <xf numFmtId="0" fontId="130" fillId="0" borderId="46" xfId="0" applyFont="1" applyBorder="1"/>
    <xf numFmtId="0" fontId="75" fillId="0" borderId="46" xfId="0" applyFont="1" applyBorder="1"/>
    <xf numFmtId="2" fontId="63" fillId="0" borderId="1" xfId="0" applyNumberFormat="1" applyFont="1" applyBorder="1" applyAlignment="1">
      <alignment horizontal="right"/>
    </xf>
    <xf numFmtId="2" fontId="63" fillId="0" borderId="0" xfId="0" applyNumberFormat="1" applyFont="1" applyAlignment="1">
      <alignment horizontal="right"/>
    </xf>
    <xf numFmtId="0" fontId="63" fillId="0" borderId="0" xfId="0" applyFont="1" applyAlignment="1">
      <alignment horizontal="right"/>
    </xf>
    <xf numFmtId="2" fontId="166" fillId="0" borderId="1" xfId="0" applyNumberFormat="1" applyFont="1" applyBorder="1" applyAlignment="1">
      <alignment horizontal="right"/>
    </xf>
    <xf numFmtId="2" fontId="174" fillId="0" borderId="1" xfId="0" applyNumberFormat="1" applyFont="1" applyBorder="1" applyAlignment="1">
      <alignment horizontal="right"/>
    </xf>
    <xf numFmtId="0" fontId="153" fillId="0" borderId="5" xfId="0" applyFont="1" applyBorder="1"/>
    <xf numFmtId="0" fontId="88" fillId="0" borderId="46" xfId="0" applyFont="1" applyBorder="1"/>
    <xf numFmtId="2" fontId="63" fillId="5" borderId="0" xfId="0" applyNumberFormat="1" applyFont="1" applyFill="1"/>
    <xf numFmtId="2" fontId="63" fillId="7" borderId="0" xfId="0" applyNumberFormat="1" applyFont="1" applyFill="1" applyAlignment="1">
      <alignment horizontal="right"/>
    </xf>
    <xf numFmtId="166" fontId="63" fillId="5" borderId="0" xfId="0" applyNumberFormat="1" applyFont="1" applyFill="1" applyAlignment="1">
      <alignment horizontal="right"/>
    </xf>
    <xf numFmtId="2" fontId="65" fillId="0" borderId="1" xfId="0" applyNumberFormat="1" applyFont="1" applyBorder="1"/>
    <xf numFmtId="2" fontId="153" fillId="4" borderId="0" xfId="0" applyNumberFormat="1" applyFont="1" applyFill="1"/>
    <xf numFmtId="0" fontId="69" fillId="0" borderId="0" xfId="0" applyFont="1"/>
    <xf numFmtId="4" fontId="194" fillId="0" borderId="0" xfId="0" applyNumberFormat="1" applyFont="1"/>
    <xf numFmtId="0" fontId="194" fillId="0" borderId="0" xfId="0" applyFont="1"/>
    <xf numFmtId="0" fontId="63" fillId="0" borderId="0" xfId="0" applyFont="1" applyAlignment="1">
      <alignment horizontal="center"/>
    </xf>
    <xf numFmtId="2" fontId="93" fillId="0" borderId="0" xfId="0" applyNumberFormat="1" applyFont="1"/>
    <xf numFmtId="0" fontId="192" fillId="0" borderId="0" xfId="0" applyFont="1"/>
    <xf numFmtId="4" fontId="93" fillId="0" borderId="0" xfId="0" applyNumberFormat="1" applyFont="1"/>
    <xf numFmtId="166" fontId="93" fillId="0" borderId="0" xfId="0" applyNumberFormat="1" applyFont="1"/>
    <xf numFmtId="2" fontId="111" fillId="0" borderId="0" xfId="0" applyNumberFormat="1" applyFont="1"/>
    <xf numFmtId="167" fontId="111" fillId="0" borderId="0" xfId="0" applyNumberFormat="1" applyFont="1"/>
    <xf numFmtId="0" fontId="22" fillId="0" borderId="0" xfId="0" applyFont="1"/>
    <xf numFmtId="0" fontId="22" fillId="0" borderId="1" xfId="0" applyFont="1" applyBorder="1" applyAlignment="1">
      <alignment horizontal="center"/>
    </xf>
    <xf numFmtId="0" fontId="63" fillId="0" borderId="1" xfId="0" applyFont="1" applyBorder="1" applyAlignment="1">
      <alignment horizontal="center"/>
    </xf>
    <xf numFmtId="0" fontId="22" fillId="0" borderId="0" xfId="0" applyFont="1" applyAlignment="1">
      <alignment horizontal="left"/>
    </xf>
    <xf numFmtId="0" fontId="75" fillId="0" borderId="1" xfId="0" applyFont="1" applyBorder="1" applyAlignment="1">
      <alignment horizontal="left"/>
    </xf>
    <xf numFmtId="2" fontId="195" fillId="0" borderId="1" xfId="0" applyNumberFormat="1" applyFont="1" applyBorder="1"/>
    <xf numFmtId="2" fontId="111" fillId="0" borderId="1" xfId="0" applyNumberFormat="1" applyFont="1" applyBorder="1"/>
    <xf numFmtId="2" fontId="196" fillId="0" borderId="0" xfId="0" applyNumberFormat="1" applyFont="1"/>
    <xf numFmtId="2" fontId="75" fillId="0" borderId="5" xfId="0" applyNumberFormat="1" applyFont="1" applyBorder="1"/>
    <xf numFmtId="0" fontId="173" fillId="0" borderId="0" xfId="0" applyFont="1"/>
    <xf numFmtId="0" fontId="75" fillId="0" borderId="0" xfId="0" applyFont="1" applyAlignment="1">
      <alignment horizontal="right"/>
    </xf>
    <xf numFmtId="16" fontId="63" fillId="0" borderId="0" xfId="0" applyNumberFormat="1" applyFont="1"/>
    <xf numFmtId="49" fontId="119" fillId="0" borderId="0" xfId="0" applyNumberFormat="1" applyFont="1"/>
    <xf numFmtId="172" fontId="197" fillId="0" borderId="0" xfId="0" applyNumberFormat="1" applyFont="1" applyAlignment="1">
      <alignment horizontal="center"/>
    </xf>
    <xf numFmtId="0" fontId="198" fillId="0" borderId="0" xfId="0" applyFont="1"/>
    <xf numFmtId="164" fontId="156" fillId="0" borderId="0" xfId="0" applyNumberFormat="1" applyFont="1"/>
    <xf numFmtId="164" fontId="140" fillId="0" borderId="0" xfId="0" applyNumberFormat="1" applyFont="1"/>
    <xf numFmtId="164" fontId="160" fillId="0" borderId="0" xfId="0" applyNumberFormat="1" applyFont="1"/>
    <xf numFmtId="4" fontId="153" fillId="0" borderId="0" xfId="0" applyNumberFormat="1" applyFont="1"/>
    <xf numFmtId="2" fontId="153" fillId="16" borderId="0" xfId="0" applyNumberFormat="1" applyFont="1" applyFill="1"/>
    <xf numFmtId="4" fontId="4" fillId="0" borderId="0" xfId="0" applyNumberFormat="1" applyFont="1"/>
    <xf numFmtId="0" fontId="199" fillId="0" borderId="0" xfId="0" applyFont="1"/>
    <xf numFmtId="1" fontId="199" fillId="0" borderId="0" xfId="0" applyNumberFormat="1" applyFont="1"/>
    <xf numFmtId="2" fontId="8" fillId="16" borderId="0" xfId="0" applyNumberFormat="1" applyFont="1" applyFill="1"/>
    <xf numFmtId="2" fontId="200" fillId="0" borderId="0" xfId="0" applyNumberFormat="1" applyFont="1"/>
    <xf numFmtId="0" fontId="45" fillId="0" borderId="0" xfId="0" applyFont="1" applyAlignment="1">
      <alignment horizontal="center" vertical="center" textRotation="90" wrapText="1"/>
    </xf>
    <xf numFmtId="2" fontId="111" fillId="0" borderId="3" xfId="0" applyNumberFormat="1" applyFont="1" applyBorder="1" applyAlignment="1">
      <alignment horizontal="right"/>
    </xf>
    <xf numFmtId="2" fontId="63" fillId="0" borderId="3" xfId="0" applyNumberFormat="1" applyFont="1" applyBorder="1" applyAlignment="1">
      <alignment horizontal="right"/>
    </xf>
    <xf numFmtId="2" fontId="166" fillId="0" borderId="3" xfId="0" applyNumberFormat="1" applyFont="1" applyBorder="1" applyAlignment="1">
      <alignment horizontal="right"/>
    </xf>
    <xf numFmtId="166" fontId="166" fillId="0" borderId="0" xfId="0" applyNumberFormat="1" applyFont="1" applyAlignment="1">
      <alignment horizontal="right"/>
    </xf>
    <xf numFmtId="164" fontId="166" fillId="0" borderId="1" xfId="0" applyNumberFormat="1" applyFont="1" applyBorder="1" applyAlignment="1">
      <alignment horizontal="right"/>
    </xf>
    <xf numFmtId="164" fontId="166" fillId="0" borderId="0" xfId="0" applyNumberFormat="1" applyFont="1" applyAlignment="1">
      <alignment horizontal="right"/>
    </xf>
    <xf numFmtId="0" fontId="75" fillId="0" borderId="5" xfId="0" applyFont="1" applyBorder="1"/>
    <xf numFmtId="2" fontId="48" fillId="0" borderId="3" xfId="0" applyNumberFormat="1" applyFont="1" applyBorder="1" applyAlignment="1">
      <alignment horizontal="right"/>
    </xf>
    <xf numFmtId="0" fontId="65" fillId="0" borderId="0" xfId="0" applyFont="1" applyAlignment="1">
      <alignment horizontal="left" wrapText="1"/>
    </xf>
    <xf numFmtId="0" fontId="35" fillId="0" borderId="0" xfId="0" applyFont="1" applyAlignment="1">
      <alignment horizontal="left" wrapText="1"/>
    </xf>
    <xf numFmtId="0" fontId="201" fillId="0" borderId="0" xfId="0" applyFont="1"/>
    <xf numFmtId="4" fontId="179" fillId="0" borderId="0" xfId="0" applyNumberFormat="1" applyFont="1"/>
    <xf numFmtId="0" fontId="163" fillId="0" borderId="0" xfId="0" applyFont="1" applyAlignment="1">
      <alignment horizontal="left"/>
    </xf>
    <xf numFmtId="0" fontId="93" fillId="0" borderId="0" xfId="0" applyFont="1" applyAlignment="1">
      <alignment horizontal="center" vertical="center" wrapText="1"/>
    </xf>
    <xf numFmtId="0" fontId="67" fillId="0" borderId="0" xfId="0" applyFont="1" applyAlignment="1">
      <alignment horizontal="center" vertical="center" wrapText="1"/>
    </xf>
    <xf numFmtId="0" fontId="93" fillId="0" borderId="1" xfId="0" applyFont="1" applyBorder="1" applyAlignment="1">
      <alignment horizontal="center"/>
    </xf>
    <xf numFmtId="2" fontId="93" fillId="0" borderId="1" xfId="0" applyNumberFormat="1" applyFont="1" applyBorder="1" applyAlignment="1">
      <alignment horizontal="center"/>
    </xf>
    <xf numFmtId="0" fontId="63" fillId="0" borderId="8" xfId="0" applyFont="1" applyBorder="1" applyAlignment="1">
      <alignment horizontal="center"/>
    </xf>
    <xf numFmtId="2" fontId="63" fillId="0" borderId="8" xfId="0" applyNumberFormat="1" applyFont="1" applyBorder="1" applyAlignment="1">
      <alignment horizontal="center" textRotation="90" wrapText="1"/>
    </xf>
    <xf numFmtId="2" fontId="63" fillId="0" borderId="1" xfId="0" applyNumberFormat="1" applyFont="1" applyBorder="1" applyAlignment="1">
      <alignment horizontal="center" textRotation="90" wrapText="1"/>
    </xf>
    <xf numFmtId="2" fontId="62" fillId="0" borderId="0" xfId="0" applyNumberFormat="1" applyFont="1" applyAlignment="1">
      <alignment horizontal="center" textRotation="90" wrapText="1"/>
    </xf>
    <xf numFmtId="2" fontId="119" fillId="0" borderId="0" xfId="0" applyNumberFormat="1" applyFont="1"/>
    <xf numFmtId="2" fontId="63" fillId="0" borderId="1" xfId="0" applyNumberFormat="1" applyFont="1" applyBorder="1" applyAlignment="1">
      <alignment horizontal="left"/>
    </xf>
    <xf numFmtId="2" fontId="63" fillId="0" borderId="1" xfId="0" applyNumberFormat="1" applyFont="1" applyBorder="1"/>
    <xf numFmtId="0" fontId="111" fillId="0" borderId="9" xfId="0" applyFont="1" applyBorder="1" applyAlignment="1">
      <alignment horizontal="right"/>
    </xf>
    <xf numFmtId="0" fontId="111" fillId="0" borderId="9" xfId="0" applyFont="1" applyBorder="1"/>
    <xf numFmtId="0" fontId="111" fillId="0" borderId="2" xfId="0" applyFont="1" applyBorder="1"/>
    <xf numFmtId="2" fontId="111" fillId="0" borderId="9" xfId="0" applyNumberFormat="1" applyFont="1" applyBorder="1"/>
    <xf numFmtId="0" fontId="25" fillId="0" borderId="1" xfId="0" applyFont="1" applyBorder="1"/>
    <xf numFmtId="2" fontId="167" fillId="0" borderId="0" xfId="0" applyNumberFormat="1" applyFont="1" applyAlignment="1">
      <alignment horizontal="right"/>
    </xf>
    <xf numFmtId="2" fontId="167" fillId="0" borderId="0" xfId="0" applyNumberFormat="1" applyFont="1"/>
    <xf numFmtId="166" fontId="167" fillId="0" borderId="0" xfId="0" applyNumberFormat="1" applyFont="1"/>
    <xf numFmtId="164" fontId="174" fillId="0" borderId="0" xfId="0" applyNumberFormat="1" applyFont="1" applyAlignment="1">
      <alignment horizontal="right"/>
    </xf>
    <xf numFmtId="4" fontId="58" fillId="0" borderId="0" xfId="0" applyNumberFormat="1" applyFont="1" applyAlignment="1">
      <alignment horizontal="center"/>
    </xf>
    <xf numFmtId="0" fontId="30" fillId="0" borderId="1" xfId="0" applyFont="1" applyBorder="1"/>
    <xf numFmtId="0" fontId="166" fillId="0" borderId="0" xfId="0" applyFont="1" applyAlignment="1">
      <alignment horizontal="left"/>
    </xf>
    <xf numFmtId="173" fontId="166" fillId="0" borderId="0" xfId="0" applyNumberFormat="1" applyFont="1" applyAlignment="1">
      <alignment horizontal="center"/>
    </xf>
    <xf numFmtId="0" fontId="166" fillId="0" borderId="0" xfId="0" applyFont="1" applyAlignment="1">
      <alignment horizontal="center"/>
    </xf>
    <xf numFmtId="2" fontId="42" fillId="0" borderId="0" xfId="0" applyNumberFormat="1" applyFont="1"/>
    <xf numFmtId="2" fontId="176" fillId="0" borderId="0" xfId="0" applyNumberFormat="1" applyFont="1"/>
    <xf numFmtId="166" fontId="162" fillId="0" borderId="0" xfId="0" applyNumberFormat="1" applyFont="1"/>
    <xf numFmtId="0" fontId="202" fillId="0" borderId="0" xfId="0" applyFont="1" applyAlignment="1">
      <alignment horizontal="left" wrapText="1"/>
    </xf>
    <xf numFmtId="0" fontId="203" fillId="0" borderId="0" xfId="3"/>
    <xf numFmtId="166" fontId="203" fillId="0" borderId="0" xfId="3" applyNumberFormat="1"/>
    <xf numFmtId="2" fontId="203" fillId="0" borderId="0" xfId="3" applyNumberFormat="1"/>
    <xf numFmtId="166" fontId="172" fillId="0" borderId="0" xfId="0" applyNumberFormat="1" applyFont="1"/>
    <xf numFmtId="166" fontId="168" fillId="0" borderId="0" xfId="0" applyNumberFormat="1" applyFont="1"/>
    <xf numFmtId="166" fontId="166" fillId="0" borderId="0" xfId="0" applyNumberFormat="1" applyFont="1"/>
    <xf numFmtId="0" fontId="204" fillId="0" borderId="0" xfId="0" applyFont="1"/>
    <xf numFmtId="0" fontId="205" fillId="0" borderId="0" xfId="0" applyFont="1"/>
    <xf numFmtId="166" fontId="174" fillId="0" borderId="0" xfId="0" applyNumberFormat="1" applyFont="1"/>
    <xf numFmtId="0" fontId="177" fillId="0" borderId="0" xfId="0" applyFont="1" applyAlignment="1">
      <alignment wrapText="1"/>
    </xf>
    <xf numFmtId="0" fontId="187" fillId="0" borderId="0" xfId="0" applyFont="1" applyAlignment="1">
      <alignment horizontal="center"/>
    </xf>
    <xf numFmtId="2" fontId="179" fillId="0" borderId="0" xfId="0" applyNumberFormat="1" applyFont="1" applyAlignment="1">
      <alignment horizontal="center"/>
    </xf>
    <xf numFmtId="2" fontId="187" fillId="0" borderId="0" xfId="0" applyNumberFormat="1" applyFont="1" applyAlignment="1">
      <alignment horizontal="center"/>
    </xf>
    <xf numFmtId="0" fontId="187" fillId="0" borderId="0" xfId="0" applyFont="1" applyAlignment="1">
      <alignment wrapText="1"/>
    </xf>
    <xf numFmtId="0" fontId="177" fillId="0" borderId="0" xfId="0" applyFont="1" applyAlignment="1">
      <alignment horizontal="center"/>
    </xf>
    <xf numFmtId="166" fontId="187" fillId="0" borderId="0" xfId="0" applyNumberFormat="1" applyFont="1"/>
    <xf numFmtId="166" fontId="177" fillId="0" borderId="0" xfId="0" applyNumberFormat="1" applyFont="1"/>
    <xf numFmtId="0" fontId="206" fillId="0" borderId="0" xfId="0" applyFont="1"/>
    <xf numFmtId="0" fontId="207" fillId="0" borderId="0" xfId="0" applyFont="1"/>
    <xf numFmtId="166" fontId="207" fillId="0" borderId="0" xfId="0" applyNumberFormat="1" applyFont="1"/>
    <xf numFmtId="0" fontId="208" fillId="0" borderId="0" xfId="0" applyFont="1"/>
    <xf numFmtId="0" fontId="209" fillId="0" borderId="0" xfId="0" applyFont="1"/>
    <xf numFmtId="0" fontId="210" fillId="0" borderId="0" xfId="0" applyFont="1"/>
    <xf numFmtId="166" fontId="208" fillId="0" borderId="0" xfId="0" applyNumberFormat="1" applyFont="1"/>
    <xf numFmtId="0" fontId="211" fillId="0" borderId="0" xfId="0" applyFont="1"/>
    <xf numFmtId="166" fontId="209" fillId="0" borderId="0" xfId="0" applyNumberFormat="1" applyFont="1"/>
    <xf numFmtId="166" fontId="211" fillId="0" borderId="0" xfId="0" applyNumberFormat="1" applyFont="1"/>
    <xf numFmtId="0" fontId="186" fillId="0" borderId="0" xfId="0" applyFont="1" applyAlignment="1">
      <alignment horizontal="left" wrapText="1"/>
    </xf>
    <xf numFmtId="0" fontId="58" fillId="0" borderId="0" xfId="0" applyFont="1" applyAlignment="1">
      <alignment horizontal="left" wrapText="1"/>
    </xf>
    <xf numFmtId="2" fontId="179" fillId="0" borderId="0" xfId="0" applyNumberFormat="1" applyFont="1" applyAlignment="1">
      <alignment wrapText="1"/>
    </xf>
    <xf numFmtId="2" fontId="187" fillId="0" borderId="0" xfId="0" applyNumberFormat="1" applyFont="1" applyAlignment="1">
      <alignment wrapText="1"/>
    </xf>
    <xf numFmtId="166" fontId="58" fillId="0" borderId="0" xfId="0" applyNumberFormat="1" applyFont="1" applyAlignment="1">
      <alignment horizontal="left" wrapText="1"/>
    </xf>
    <xf numFmtId="164" fontId="177" fillId="0" borderId="0" xfId="0" applyNumberFormat="1" applyFont="1"/>
    <xf numFmtId="0" fontId="174" fillId="0" borderId="0" xfId="0" applyFont="1" applyAlignment="1">
      <alignment horizontal="left" vertical="top" wrapText="1"/>
    </xf>
    <xf numFmtId="0" fontId="174" fillId="0" borderId="0" xfId="0" applyFont="1" applyAlignment="1">
      <alignment horizontal="left" wrapText="1"/>
    </xf>
    <xf numFmtId="0" fontId="166" fillId="0" borderId="0" xfId="0" applyFont="1" applyAlignment="1">
      <alignment horizontal="left" wrapText="1"/>
    </xf>
    <xf numFmtId="2" fontId="166" fillId="0" borderId="0" xfId="0" applyNumberFormat="1" applyFont="1" applyAlignment="1">
      <alignment horizontal="right" wrapText="1"/>
    </xf>
    <xf numFmtId="2" fontId="206" fillId="0" borderId="0" xfId="0" applyNumberFormat="1" applyFont="1" applyAlignment="1">
      <alignment wrapText="1"/>
    </xf>
    <xf numFmtId="2" fontId="207" fillId="0" borderId="0" xfId="0" applyNumberFormat="1" applyFont="1" applyAlignment="1">
      <alignment wrapText="1"/>
    </xf>
    <xf numFmtId="2" fontId="177" fillId="0" borderId="0" xfId="0" applyNumberFormat="1" applyFont="1" applyAlignment="1">
      <alignment horizontal="right" wrapText="1"/>
    </xf>
    <xf numFmtId="2" fontId="66" fillId="0" borderId="2" xfId="0" applyNumberFormat="1" applyFont="1" applyBorder="1" applyAlignment="1">
      <alignment wrapText="1"/>
    </xf>
    <xf numFmtId="2" fontId="119" fillId="0" borderId="7" xfId="0" applyNumberFormat="1" applyFont="1" applyBorder="1" applyAlignment="1">
      <alignment wrapText="1"/>
    </xf>
    <xf numFmtId="2" fontId="163" fillId="0" borderId="0" xfId="0" applyNumberFormat="1" applyFont="1" applyAlignment="1">
      <alignment horizontal="right"/>
    </xf>
    <xf numFmtId="170" fontId="168" fillId="0" borderId="0" xfId="0" applyNumberFormat="1" applyFont="1"/>
    <xf numFmtId="0" fontId="212" fillId="0" borderId="0" xfId="0" applyFont="1"/>
    <xf numFmtId="0" fontId="172" fillId="0" borderId="0" xfId="0" applyFont="1" applyAlignment="1">
      <alignment horizontal="right"/>
    </xf>
    <xf numFmtId="2" fontId="172" fillId="0" borderId="0" xfId="0" applyNumberFormat="1" applyFont="1" applyAlignment="1">
      <alignment horizontal="right"/>
    </xf>
    <xf numFmtId="167" fontId="186" fillId="0" borderId="0" xfId="0" applyNumberFormat="1" applyFont="1"/>
    <xf numFmtId="0" fontId="194" fillId="0" borderId="0" xfId="0" applyFont="1" applyAlignment="1">
      <alignment horizontal="left"/>
    </xf>
    <xf numFmtId="166" fontId="213" fillId="0" borderId="0" xfId="0" applyNumberFormat="1" applyFont="1"/>
    <xf numFmtId="2" fontId="187" fillId="0" borderId="0" xfId="0" applyNumberFormat="1" applyFont="1"/>
    <xf numFmtId="167" fontId="186" fillId="0" borderId="0" xfId="0" applyNumberFormat="1" applyFont="1" applyAlignment="1">
      <alignment horizontal="right"/>
    </xf>
    <xf numFmtId="164" fontId="185" fillId="0" borderId="0" xfId="0" applyNumberFormat="1" applyFont="1"/>
    <xf numFmtId="164" fontId="208" fillId="0" borderId="0" xfId="0" applyNumberFormat="1" applyFont="1"/>
    <xf numFmtId="2" fontId="177" fillId="0" borderId="0" xfId="0" applyNumberFormat="1" applyFont="1" applyAlignment="1">
      <alignment horizontal="right"/>
    </xf>
    <xf numFmtId="2" fontId="185" fillId="0" borderId="0" xfId="0" applyNumberFormat="1" applyFont="1"/>
    <xf numFmtId="2" fontId="208" fillId="0" borderId="0" xfId="0" applyNumberFormat="1" applyFont="1"/>
    <xf numFmtId="0" fontId="185" fillId="0" borderId="0" xfId="0" applyFont="1"/>
    <xf numFmtId="2" fontId="58" fillId="0" borderId="0" xfId="0" applyNumberFormat="1" applyFont="1"/>
    <xf numFmtId="2" fontId="63" fillId="13" borderId="0" xfId="0" applyNumberFormat="1" applyFont="1" applyFill="1"/>
    <xf numFmtId="0" fontId="61" fillId="0" borderId="0" xfId="0" applyFont="1" applyAlignment="1">
      <alignment horizontal="left" wrapText="1"/>
    </xf>
    <xf numFmtId="167" fontId="179" fillId="0" borderId="0" xfId="0" applyNumberFormat="1" applyFont="1" applyAlignment="1">
      <alignment wrapText="1"/>
    </xf>
    <xf numFmtId="2" fontId="215" fillId="0" borderId="2" xfId="0" applyNumberFormat="1" applyFont="1" applyBorder="1" applyAlignment="1">
      <alignment wrapText="1"/>
    </xf>
    <xf numFmtId="0" fontId="177" fillId="0" borderId="0" xfId="0" applyFont="1" applyAlignment="1">
      <alignment horizontal="center" wrapText="1"/>
    </xf>
    <xf numFmtId="2" fontId="213" fillId="0" borderId="0" xfId="0" applyNumberFormat="1" applyFont="1"/>
    <xf numFmtId="0" fontId="93" fillId="0" borderId="0" xfId="0" applyFont="1" applyAlignment="1">
      <alignment horizontal="left"/>
    </xf>
    <xf numFmtId="0" fontId="180" fillId="0" borderId="0" xfId="0" applyFont="1"/>
    <xf numFmtId="0" fontId="63" fillId="0" borderId="0" xfId="0" applyFont="1" applyAlignment="1">
      <alignment horizontal="left"/>
    </xf>
    <xf numFmtId="1" fontId="166" fillId="0" borderId="0" xfId="0" applyNumberFormat="1" applyFont="1" applyAlignment="1">
      <alignment horizontal="center"/>
    </xf>
    <xf numFmtId="164" fontId="63" fillId="0" borderId="0" xfId="0" applyNumberFormat="1" applyFont="1"/>
    <xf numFmtId="164" fontId="55" fillId="0" borderId="0" xfId="0" applyNumberFormat="1" applyFont="1"/>
    <xf numFmtId="168" fontId="216" fillId="0" borderId="0" xfId="0" applyNumberFormat="1" applyFont="1"/>
    <xf numFmtId="1" fontId="177" fillId="0" borderId="0" xfId="0" applyNumberFormat="1" applyFont="1"/>
    <xf numFmtId="2" fontId="217" fillId="0" borderId="0" xfId="0" applyNumberFormat="1" applyFont="1"/>
    <xf numFmtId="4" fontId="160" fillId="0" borderId="0" xfId="0" applyNumberFormat="1" applyFont="1"/>
    <xf numFmtId="2" fontId="218" fillId="0" borderId="0" xfId="0" applyNumberFormat="1" applyFont="1"/>
    <xf numFmtId="0" fontId="216" fillId="0" borderId="0" xfId="0" applyFont="1"/>
    <xf numFmtId="2" fontId="216" fillId="0" borderId="0" xfId="0" applyNumberFormat="1" applyFont="1"/>
    <xf numFmtId="2" fontId="219" fillId="0" borderId="0" xfId="0" applyNumberFormat="1" applyFont="1"/>
    <xf numFmtId="0" fontId="219" fillId="0" borderId="0" xfId="0" applyFont="1"/>
    <xf numFmtId="0" fontId="220" fillId="0" borderId="0" xfId="0" applyFont="1"/>
    <xf numFmtId="2" fontId="221" fillId="0" borderId="0" xfId="0" applyNumberFormat="1" applyFont="1"/>
    <xf numFmtId="167" fontId="160" fillId="0" borderId="0" xfId="0" applyNumberFormat="1" applyFont="1"/>
    <xf numFmtId="0" fontId="211" fillId="0" borderId="0" xfId="0" applyFont="1" applyAlignment="1">
      <alignment horizontal="right"/>
    </xf>
    <xf numFmtId="2" fontId="211" fillId="0" borderId="0" xfId="0" applyNumberFormat="1" applyFont="1"/>
    <xf numFmtId="0" fontId="214" fillId="0" borderId="0" xfId="0" applyFont="1"/>
    <xf numFmtId="2" fontId="214" fillId="0" borderId="0" xfId="0" applyNumberFormat="1" applyFont="1"/>
    <xf numFmtId="0" fontId="189" fillId="0" borderId="0" xfId="0" applyFont="1" applyAlignment="1">
      <alignment horizontal="center"/>
    </xf>
    <xf numFmtId="2" fontId="158" fillId="0" borderId="0" xfId="0" applyNumberFormat="1" applyFont="1"/>
    <xf numFmtId="1" fontId="158" fillId="0" borderId="0" xfId="0" applyNumberFormat="1" applyFont="1"/>
    <xf numFmtId="0" fontId="199" fillId="0" borderId="0" xfId="0" applyFont="1" applyAlignment="1">
      <alignment horizontal="right"/>
    </xf>
    <xf numFmtId="169" fontId="222" fillId="0" borderId="0" xfId="0" applyNumberFormat="1" applyFont="1"/>
    <xf numFmtId="0" fontId="93" fillId="0" borderId="1" xfId="0" applyFont="1" applyBorder="1" applyAlignment="1">
      <alignment horizontal="center" vertical="center" textRotation="90" wrapText="1"/>
    </xf>
    <xf numFmtId="2" fontId="223" fillId="0" borderId="0" xfId="0" applyNumberFormat="1" applyFont="1" applyAlignment="1">
      <alignment horizontal="center" wrapText="1"/>
    </xf>
    <xf numFmtId="2" fontId="222" fillId="0" borderId="0" xfId="0" applyNumberFormat="1" applyFont="1"/>
    <xf numFmtId="0" fontId="93" fillId="0" borderId="5" xfId="0" applyFont="1" applyBorder="1" applyAlignment="1">
      <alignment horizontal="center" vertical="center" textRotation="90" wrapText="1"/>
    </xf>
    <xf numFmtId="0" fontId="172" fillId="0" borderId="1" xfId="0" applyFont="1" applyBorder="1" applyAlignment="1">
      <alignment horizontal="center" wrapText="1"/>
    </xf>
    <xf numFmtId="0" fontId="154" fillId="0" borderId="1" xfId="0" applyFont="1" applyBorder="1" applyAlignment="1">
      <alignment horizontal="center" wrapText="1"/>
    </xf>
    <xf numFmtId="2" fontId="154" fillId="0" borderId="0" xfId="0" applyNumberFormat="1" applyFont="1" applyAlignment="1">
      <alignment horizontal="center" wrapText="1"/>
    </xf>
    <xf numFmtId="0" fontId="224" fillId="0" borderId="5" xfId="0" applyFont="1" applyBorder="1" applyAlignment="1">
      <alignment horizontal="left" wrapText="1"/>
    </xf>
    <xf numFmtId="2" fontId="65" fillId="0" borderId="5" xfId="0" applyNumberFormat="1" applyFont="1" applyBorder="1" applyAlignment="1">
      <alignment horizontal="right" wrapText="1"/>
    </xf>
    <xf numFmtId="2" fontId="221" fillId="0" borderId="1" xfId="0" applyNumberFormat="1" applyFont="1" applyBorder="1"/>
    <xf numFmtId="2" fontId="154" fillId="0" borderId="1" xfId="0" applyNumberFormat="1" applyFont="1" applyBorder="1"/>
    <xf numFmtId="2" fontId="154" fillId="17" borderId="1" xfId="0" applyNumberFormat="1" applyFont="1" applyFill="1" applyBorder="1" applyAlignment="1">
      <alignment horizontal="right"/>
    </xf>
    <xf numFmtId="2" fontId="154" fillId="0" borderId="0" xfId="0" applyNumberFormat="1" applyFont="1"/>
    <xf numFmtId="2" fontId="225" fillId="0" borderId="0" xfId="0" applyNumberFormat="1" applyFont="1"/>
    <xf numFmtId="2" fontId="35" fillId="0" borderId="5" xfId="0" applyNumberFormat="1" applyFont="1" applyBorder="1" applyAlignment="1">
      <alignment horizontal="right" wrapText="1"/>
    </xf>
    <xf numFmtId="2" fontId="226" fillId="0" borderId="1" xfId="0" applyNumberFormat="1" applyFont="1" applyBorder="1"/>
    <xf numFmtId="2" fontId="42" fillId="0" borderId="1" xfId="0" applyNumberFormat="1" applyFont="1" applyBorder="1"/>
    <xf numFmtId="2" fontId="227" fillId="0" borderId="1" xfId="0" applyNumberFormat="1" applyFont="1" applyBorder="1"/>
    <xf numFmtId="2" fontId="227" fillId="0" borderId="0" xfId="0" applyNumberFormat="1" applyFont="1"/>
    <xf numFmtId="2" fontId="228" fillId="0" borderId="0" xfId="0" applyNumberFormat="1" applyFont="1"/>
    <xf numFmtId="2" fontId="229" fillId="0" borderId="1" xfId="0" applyNumberFormat="1" applyFont="1" applyBorder="1"/>
    <xf numFmtId="2" fontId="230" fillId="0" borderId="0" xfId="0" applyNumberFormat="1" applyFont="1"/>
    <xf numFmtId="2" fontId="2" fillId="0" borderId="1" xfId="0" applyNumberFormat="1" applyFont="1" applyBorder="1"/>
    <xf numFmtId="0" fontId="222" fillId="0" borderId="0" xfId="0" applyFont="1"/>
    <xf numFmtId="2" fontId="154" fillId="0" borderId="1" xfId="0" applyNumberFormat="1" applyFont="1" applyBorder="1" applyAlignment="1">
      <alignment horizontal="right"/>
    </xf>
    <xf numFmtId="0" fontId="227" fillId="0" borderId="1" xfId="0" applyFont="1" applyBorder="1"/>
    <xf numFmtId="0" fontId="227" fillId="0" borderId="0" xfId="0" applyFont="1"/>
    <xf numFmtId="2" fontId="65" fillId="0" borderId="1" xfId="0" applyNumberFormat="1" applyFont="1" applyBorder="1" applyAlignment="1">
      <alignment horizontal="right"/>
    </xf>
    <xf numFmtId="0" fontId="32" fillId="0" borderId="0" xfId="0" applyFont="1"/>
    <xf numFmtId="2" fontId="68" fillId="0" borderId="1" xfId="0" applyNumberFormat="1" applyFont="1" applyBorder="1"/>
    <xf numFmtId="2" fontId="153" fillId="0" borderId="1" xfId="0" applyNumberFormat="1" applyFont="1" applyBorder="1"/>
    <xf numFmtId="2" fontId="153" fillId="17" borderId="1" xfId="0" applyNumberFormat="1" applyFont="1" applyFill="1" applyBorder="1"/>
    <xf numFmtId="166" fontId="153" fillId="0" borderId="0" xfId="0" applyNumberFormat="1" applyFont="1"/>
    <xf numFmtId="164" fontId="153" fillId="0" borderId="0" xfId="0" applyNumberFormat="1" applyFont="1"/>
    <xf numFmtId="0" fontId="153" fillId="0" borderId="0" xfId="0" applyFont="1" applyAlignment="1">
      <alignment horizontal="right"/>
    </xf>
    <xf numFmtId="167" fontId="153" fillId="0" borderId="0" xfId="0" applyNumberFormat="1" applyFont="1"/>
    <xf numFmtId="0" fontId="75" fillId="0" borderId="0" xfId="0" applyFont="1" applyAlignment="1">
      <alignment horizontal="center" wrapText="1"/>
    </xf>
    <xf numFmtId="10" fontId="8" fillId="0" borderId="0" xfId="0" applyNumberFormat="1" applyFont="1"/>
    <xf numFmtId="0" fontId="66" fillId="0" borderId="0" xfId="0" applyFont="1"/>
    <xf numFmtId="0" fontId="55" fillId="0" borderId="0" xfId="0" applyFont="1"/>
    <xf numFmtId="164" fontId="93" fillId="0" borderId="0" xfId="0" applyNumberFormat="1" applyFont="1"/>
    <xf numFmtId="0" fontId="72" fillId="0" borderId="0" xfId="4" applyFont="1" applyAlignment="1">
      <alignment horizontal="left" vertical="center" wrapText="1"/>
    </xf>
    <xf numFmtId="166" fontId="186" fillId="0" borderId="0" xfId="0" applyNumberFormat="1" applyFont="1"/>
    <xf numFmtId="164" fontId="65" fillId="0" borderId="0" xfId="0" applyNumberFormat="1" applyFont="1"/>
    <xf numFmtId="1" fontId="55" fillId="0" borderId="0" xfId="0" applyNumberFormat="1" applyFont="1"/>
    <xf numFmtId="2" fontId="52" fillId="0" borderId="0" xfId="0" applyNumberFormat="1" applyFont="1"/>
    <xf numFmtId="1" fontId="61" fillId="0" borderId="0" xfId="0" applyNumberFormat="1" applyFont="1" applyAlignment="1">
      <alignment horizontal="right"/>
    </xf>
    <xf numFmtId="167" fontId="93" fillId="0" borderId="0" xfId="0" applyNumberFormat="1" applyFont="1"/>
    <xf numFmtId="0" fontId="93" fillId="15" borderId="0" xfId="0" applyFont="1" applyFill="1"/>
    <xf numFmtId="0" fontId="232" fillId="0" borderId="0" xfId="0" applyFont="1"/>
    <xf numFmtId="0" fontId="233" fillId="0" borderId="0" xfId="0" applyFont="1"/>
    <xf numFmtId="0" fontId="25" fillId="0" borderId="0" xfId="0" applyFont="1" applyAlignment="1">
      <alignment horizontal="left" wrapText="1"/>
    </xf>
    <xf numFmtId="49" fontId="52" fillId="0" borderId="0" xfId="0" applyNumberFormat="1" applyFont="1" applyAlignment="1">
      <alignment horizontal="right"/>
    </xf>
    <xf numFmtId="0" fontId="1" fillId="0" borderId="0" xfId="0" applyFont="1" applyAlignment="1">
      <alignment horizontal="center"/>
    </xf>
    <xf numFmtId="174" fontId="63" fillId="0" borderId="0" xfId="0" applyNumberFormat="1" applyFont="1" applyAlignment="1">
      <alignment horizontal="center"/>
    </xf>
    <xf numFmtId="0" fontId="1" fillId="0" borderId="0" xfId="0" applyFont="1"/>
    <xf numFmtId="165" fontId="174" fillId="0" borderId="0" xfId="0" applyNumberFormat="1" applyFont="1" applyAlignment="1">
      <alignment horizontal="right"/>
    </xf>
    <xf numFmtId="0" fontId="234" fillId="0" borderId="0" xfId="0" applyFont="1"/>
    <xf numFmtId="4" fontId="166" fillId="0" borderId="0" xfId="0" applyNumberFormat="1" applyFont="1" applyAlignment="1">
      <alignment horizontal="center"/>
    </xf>
    <xf numFmtId="164" fontId="22" fillId="0" borderId="0" xfId="0" applyNumberFormat="1" applyFont="1"/>
    <xf numFmtId="2" fontId="155" fillId="0" borderId="0" xfId="0" applyNumberFormat="1" applyFont="1"/>
    <xf numFmtId="0" fontId="1" fillId="0" borderId="1" xfId="0" applyFont="1" applyBorder="1" applyAlignment="1">
      <alignment horizontal="left"/>
    </xf>
    <xf numFmtId="0" fontId="0" fillId="0" borderId="1" xfId="0" applyBorder="1"/>
    <xf numFmtId="164" fontId="66" fillId="0" borderId="0" xfId="0" applyNumberFormat="1" applyFont="1"/>
    <xf numFmtId="0" fontId="1" fillId="0" borderId="1" xfId="0" applyFont="1" applyBorder="1"/>
    <xf numFmtId="164" fontId="61" fillId="0" borderId="0" xfId="0" applyNumberFormat="1" applyFont="1"/>
    <xf numFmtId="164" fontId="119" fillId="0" borderId="0" xfId="0" applyNumberFormat="1" applyFont="1"/>
    <xf numFmtId="0" fontId="234" fillId="0" borderId="1" xfId="0" applyFont="1" applyBorder="1"/>
    <xf numFmtId="0" fontId="63" fillId="0" borderId="3" xfId="0" applyFont="1" applyBorder="1" applyAlignment="1">
      <alignment horizontal="center"/>
    </xf>
    <xf numFmtId="0" fontId="63" fillId="0" borderId="10" xfId="0" applyFont="1" applyBorder="1"/>
    <xf numFmtId="2" fontId="63" fillId="0" borderId="8" xfId="0" applyNumberFormat="1" applyFont="1" applyBorder="1"/>
    <xf numFmtId="0" fontId="63" fillId="0" borderId="4" xfId="0" applyFont="1" applyBorder="1" applyAlignment="1">
      <alignment horizontal="right"/>
    </xf>
    <xf numFmtId="164" fontId="63" fillId="0" borderId="1" xfId="0" applyNumberFormat="1" applyFont="1" applyBorder="1"/>
    <xf numFmtId="2" fontId="63" fillId="0" borderId="9" xfId="0" applyNumberFormat="1" applyFont="1" applyBorder="1"/>
    <xf numFmtId="165" fontId="38" fillId="0" borderId="0" xfId="0" applyNumberFormat="1" applyFont="1"/>
    <xf numFmtId="0" fontId="8" fillId="0" borderId="1" xfId="0" applyFont="1" applyBorder="1" applyAlignment="1">
      <alignment horizontal="center"/>
    </xf>
    <xf numFmtId="2" fontId="16" fillId="0" borderId="1" xfId="0" applyNumberFormat="1" applyFont="1" applyBorder="1"/>
    <xf numFmtId="2" fontId="8" fillId="0" borderId="1" xfId="0" applyNumberFormat="1" applyFont="1" applyBorder="1"/>
    <xf numFmtId="2" fontId="52" fillId="0" borderId="1" xfId="0" applyNumberFormat="1" applyFont="1" applyBorder="1"/>
    <xf numFmtId="0" fontId="235" fillId="0" borderId="1" xfId="0" applyFont="1" applyBorder="1"/>
    <xf numFmtId="2" fontId="27" fillId="0" borderId="1" xfId="0" applyNumberFormat="1" applyFont="1" applyBorder="1"/>
    <xf numFmtId="2" fontId="44" fillId="0" borderId="0" xfId="0" applyNumberFormat="1" applyFont="1"/>
    <xf numFmtId="0" fontId="94" fillId="0" borderId="1" xfId="0" applyFont="1" applyBorder="1"/>
    <xf numFmtId="0" fontId="107" fillId="0" borderId="0" xfId="0" applyFont="1" applyAlignment="1">
      <alignment horizontal="right"/>
    </xf>
    <xf numFmtId="0" fontId="236" fillId="0" borderId="0" xfId="0" applyFont="1" applyAlignment="1">
      <alignment horizontal="right"/>
    </xf>
    <xf numFmtId="9" fontId="4" fillId="0" borderId="0" xfId="0" applyNumberFormat="1" applyFont="1"/>
    <xf numFmtId="0" fontId="52" fillId="0" borderId="3" xfId="0" applyFont="1" applyBorder="1" applyAlignment="1">
      <alignment horizontal="center" wrapText="1"/>
    </xf>
    <xf numFmtId="0" fontId="237" fillId="0" borderId="1" xfId="0" applyFont="1" applyBorder="1" applyAlignment="1">
      <alignment horizontal="center" wrapText="1"/>
    </xf>
    <xf numFmtId="0" fontId="121" fillId="0" borderId="9" xfId="0" applyFont="1" applyBorder="1" applyAlignment="1">
      <alignment horizontal="center" vertical="center" textRotation="90" wrapText="1"/>
    </xf>
    <xf numFmtId="0" fontId="110" fillId="0" borderId="9" xfId="0" applyFont="1" applyBorder="1" applyAlignment="1">
      <alignment horizontal="center" wrapText="1"/>
    </xf>
    <xf numFmtId="0" fontId="72" fillId="0" borderId="1" xfId="0" applyFont="1" applyBorder="1"/>
    <xf numFmtId="0" fontId="52" fillId="0" borderId="3" xfId="0" applyFont="1" applyBorder="1" applyAlignment="1">
      <alignment horizontal="left" wrapText="1"/>
    </xf>
    <xf numFmtId="0" fontId="8" fillId="0" borderId="1" xfId="0" applyFont="1" applyBorder="1" applyAlignment="1">
      <alignment horizontal="left" wrapText="1"/>
    </xf>
    <xf numFmtId="2" fontId="162" fillId="0" borderId="1" xfId="0" applyNumberFormat="1" applyFont="1" applyBorder="1" applyAlignment="1">
      <alignment horizontal="right"/>
    </xf>
    <xf numFmtId="0" fontId="48" fillId="0" borderId="3" xfId="0" applyFont="1" applyBorder="1" applyAlignment="1">
      <alignment horizontal="left" wrapText="1"/>
    </xf>
    <xf numFmtId="164" fontId="93" fillId="0" borderId="1" xfId="0" applyNumberFormat="1" applyFont="1" applyBorder="1"/>
    <xf numFmtId="2" fontId="238" fillId="0" borderId="1" xfId="0" applyNumberFormat="1" applyFont="1" applyBorder="1"/>
    <xf numFmtId="2" fontId="46" fillId="0" borderId="1" xfId="0" applyNumberFormat="1" applyFont="1" applyBorder="1"/>
    <xf numFmtId="0" fontId="28" fillId="0" borderId="1" xfId="0" applyFont="1" applyBorder="1"/>
    <xf numFmtId="0" fontId="64" fillId="0" borderId="3" xfId="0" applyFont="1" applyBorder="1" applyAlignment="1">
      <alignment horizontal="left" wrapText="1"/>
    </xf>
    <xf numFmtId="0" fontId="2" fillId="0" borderId="1" xfId="0" applyFont="1" applyBorder="1" applyAlignment="1">
      <alignment horizontal="left" wrapText="1"/>
    </xf>
    <xf numFmtId="2" fontId="41" fillId="0" borderId="1" xfId="0" applyNumberFormat="1" applyFont="1" applyBorder="1" applyAlignment="1">
      <alignment horizontal="right"/>
    </xf>
    <xf numFmtId="2" fontId="38" fillId="0" borderId="1" xfId="0" applyNumberFormat="1" applyFont="1" applyBorder="1"/>
    <xf numFmtId="0" fontId="63" fillId="0" borderId="3" xfId="0" applyFont="1" applyBorder="1"/>
    <xf numFmtId="2" fontId="93" fillId="0" borderId="3" xfId="0" applyNumberFormat="1" applyFont="1" applyBorder="1"/>
    <xf numFmtId="0" fontId="178" fillId="0" borderId="0" xfId="0" applyFont="1"/>
    <xf numFmtId="2" fontId="65" fillId="13" borderId="0" xfId="0" applyNumberFormat="1" applyFont="1" applyFill="1"/>
    <xf numFmtId="2" fontId="162" fillId="0" borderId="0" xfId="2" applyNumberFormat="1" applyFont="1" applyAlignment="1">
      <alignment horizontal="right"/>
    </xf>
    <xf numFmtId="2" fontId="239" fillId="0" borderId="0" xfId="0" applyNumberFormat="1" applyFont="1"/>
    <xf numFmtId="2" fontId="178" fillId="7" borderId="0" xfId="0" applyNumberFormat="1" applyFont="1" applyFill="1"/>
    <xf numFmtId="0" fontId="186" fillId="0" borderId="0" xfId="0" applyFont="1" applyAlignment="1">
      <alignment horizontal="center"/>
    </xf>
    <xf numFmtId="0" fontId="180" fillId="0" borderId="0" xfId="0" applyFont="1" applyAlignment="1">
      <alignment horizontal="center"/>
    </xf>
    <xf numFmtId="166" fontId="180" fillId="0" borderId="0" xfId="0" applyNumberFormat="1" applyFont="1"/>
    <xf numFmtId="2" fontId="240" fillId="0" borderId="0" xfId="0" applyNumberFormat="1" applyFont="1"/>
    <xf numFmtId="2" fontId="178" fillId="9" borderId="0" xfId="0" applyNumberFormat="1" applyFont="1" applyFill="1"/>
    <xf numFmtId="2" fontId="177" fillId="0" borderId="0" xfId="0" quotePrefix="1" applyNumberFormat="1" applyFont="1"/>
    <xf numFmtId="0" fontId="241" fillId="0" borderId="0" xfId="0" applyFont="1"/>
    <xf numFmtId="0" fontId="165" fillId="15" borderId="0" xfId="0" applyFont="1" applyFill="1"/>
    <xf numFmtId="0" fontId="242" fillId="0" borderId="0" xfId="0" applyFont="1"/>
    <xf numFmtId="2" fontId="65" fillId="9" borderId="0" xfId="0" applyNumberFormat="1" applyFont="1" applyFill="1"/>
    <xf numFmtId="0" fontId="153" fillId="15" borderId="0" xfId="0" applyFont="1" applyFill="1"/>
    <xf numFmtId="166" fontId="242" fillId="0" borderId="0" xfId="0" applyNumberFormat="1" applyFont="1"/>
    <xf numFmtId="1" fontId="227" fillId="0" borderId="0" xfId="0" applyNumberFormat="1" applyFont="1"/>
    <xf numFmtId="166" fontId="227" fillId="0" borderId="0" xfId="0" applyNumberFormat="1" applyFont="1"/>
    <xf numFmtId="0" fontId="243" fillId="0" borderId="0" xfId="0" applyFont="1"/>
    <xf numFmtId="164" fontId="93" fillId="13" borderId="0" xfId="0" applyNumberFormat="1" applyFont="1" applyFill="1"/>
    <xf numFmtId="0" fontId="244" fillId="0" borderId="0" xfId="0" applyFont="1"/>
    <xf numFmtId="0" fontId="245" fillId="0" borderId="0" xfId="0" applyFont="1"/>
    <xf numFmtId="0" fontId="52" fillId="0" borderId="0" xfId="0" applyFont="1" applyAlignment="1">
      <alignment wrapText="1"/>
    </xf>
    <xf numFmtId="166" fontId="88" fillId="0" borderId="0" xfId="0" applyNumberFormat="1" applyFont="1"/>
    <xf numFmtId="167" fontId="166" fillId="0" borderId="0" xfId="0" applyNumberFormat="1" applyFont="1"/>
    <xf numFmtId="2" fontId="109" fillId="13" borderId="0" xfId="0" applyNumberFormat="1" applyFont="1" applyFill="1"/>
    <xf numFmtId="2" fontId="111" fillId="0" borderId="0" xfId="2" applyNumberFormat="1" applyFont="1" applyAlignment="1">
      <alignment horizontal="right"/>
    </xf>
    <xf numFmtId="0" fontId="246" fillId="0" borderId="0" xfId="0" applyFont="1" applyAlignment="1">
      <alignment vertical="center"/>
    </xf>
    <xf numFmtId="1" fontId="246" fillId="0" borderId="0" xfId="0" applyNumberFormat="1" applyFont="1"/>
    <xf numFmtId="0" fontId="246" fillId="0" borderId="0" xfId="0" applyFont="1"/>
    <xf numFmtId="2" fontId="246" fillId="0" borderId="0" xfId="0" applyNumberFormat="1" applyFont="1"/>
    <xf numFmtId="167" fontId="166" fillId="16" borderId="0" xfId="0" applyNumberFormat="1" applyFont="1" applyFill="1"/>
    <xf numFmtId="0" fontId="247" fillId="0" borderId="0" xfId="0" applyFont="1" applyAlignment="1">
      <alignment vertical="center"/>
    </xf>
    <xf numFmtId="0" fontId="247" fillId="0" borderId="0" xfId="0" applyFont="1"/>
    <xf numFmtId="2" fontId="247" fillId="0" borderId="0" xfId="0" applyNumberFormat="1" applyFont="1"/>
    <xf numFmtId="2" fontId="177" fillId="0" borderId="0" xfId="2" applyNumberFormat="1" applyFont="1" applyAlignment="1">
      <alignment horizontal="right"/>
    </xf>
    <xf numFmtId="166" fontId="65" fillId="0" borderId="0" xfId="0" applyNumberFormat="1" applyFont="1"/>
    <xf numFmtId="4" fontId="168" fillId="0" borderId="0" xfId="0" applyNumberFormat="1" applyFont="1" applyAlignment="1">
      <alignment horizontal="center"/>
    </xf>
    <xf numFmtId="2" fontId="35" fillId="0" borderId="0" xfId="0" applyNumberFormat="1" applyFont="1"/>
    <xf numFmtId="0" fontId="42" fillId="0" borderId="0" xfId="0" applyFont="1"/>
    <xf numFmtId="164" fontId="65" fillId="13" borderId="0" xfId="0" applyNumberFormat="1" applyFont="1" applyFill="1"/>
    <xf numFmtId="2" fontId="168" fillId="0" borderId="0" xfId="2" applyNumberFormat="1" applyFont="1" applyAlignment="1">
      <alignment horizontal="right"/>
    </xf>
    <xf numFmtId="2" fontId="248" fillId="0" borderId="0" xfId="0" applyNumberFormat="1" applyFont="1"/>
    <xf numFmtId="4" fontId="156" fillId="0" borderId="0" xfId="0" applyNumberFormat="1" applyFont="1"/>
    <xf numFmtId="2" fontId="155" fillId="16" borderId="0" xfId="0" applyNumberFormat="1" applyFont="1" applyFill="1"/>
    <xf numFmtId="4" fontId="249" fillId="0" borderId="0" xfId="0" applyNumberFormat="1" applyFont="1"/>
    <xf numFmtId="167" fontId="153" fillId="16" borderId="0" xfId="0" applyNumberFormat="1" applyFont="1" applyFill="1"/>
    <xf numFmtId="2" fontId="153" fillId="11" borderId="0" xfId="0" applyNumberFormat="1" applyFont="1" applyFill="1"/>
    <xf numFmtId="4" fontId="8" fillId="0" borderId="0" xfId="0" applyNumberFormat="1" applyFont="1"/>
    <xf numFmtId="0" fontId="250" fillId="0" borderId="1" xfId="0" applyFont="1" applyBorder="1"/>
    <xf numFmtId="0" fontId="251" fillId="0" borderId="1" xfId="0" applyFont="1" applyBorder="1"/>
    <xf numFmtId="2" fontId="25" fillId="0" borderId="1" xfId="0" applyNumberFormat="1" applyFont="1" applyBorder="1"/>
    <xf numFmtId="2" fontId="26" fillId="0" borderId="0" xfId="0" applyNumberFormat="1" applyFont="1"/>
    <xf numFmtId="2" fontId="30" fillId="0" borderId="1" xfId="0" applyNumberFormat="1" applyFont="1" applyBorder="1"/>
    <xf numFmtId="2" fontId="31" fillId="0" borderId="0" xfId="0" applyNumberFormat="1" applyFont="1"/>
    <xf numFmtId="0" fontId="153" fillId="5" borderId="0" xfId="0" applyFont="1" applyFill="1"/>
    <xf numFmtId="164" fontId="158" fillId="0" borderId="0" xfId="0" applyNumberFormat="1" applyFont="1"/>
    <xf numFmtId="10" fontId="158" fillId="0" borderId="0" xfId="0" applyNumberFormat="1" applyFont="1"/>
    <xf numFmtId="0" fontId="65" fillId="0" borderId="3" xfId="0" applyFont="1" applyBorder="1" applyAlignment="1">
      <alignment horizontal="center" wrapText="1"/>
    </xf>
    <xf numFmtId="0" fontId="65" fillId="0" borderId="4" xfId="0" applyFont="1" applyBorder="1" applyAlignment="1">
      <alignment horizontal="center" wrapText="1"/>
    </xf>
    <xf numFmtId="0" fontId="45" fillId="0" borderId="1" xfId="0" applyFont="1" applyBorder="1" applyAlignment="1">
      <alignment horizontal="center" vertical="center" wrapText="1"/>
    </xf>
    <xf numFmtId="0" fontId="45" fillId="0" borderId="0" xfId="0" applyFont="1" applyAlignment="1">
      <alignment horizontal="center" vertical="center" wrapText="1"/>
    </xf>
    <xf numFmtId="0" fontId="121" fillId="0" borderId="1" xfId="0" applyFont="1" applyBorder="1" applyAlignment="1">
      <alignment horizontal="center" vertical="center" textRotation="90" wrapText="1"/>
    </xf>
    <xf numFmtId="0" fontId="237" fillId="0" borderId="3" xfId="0" applyFont="1" applyBorder="1" applyAlignment="1">
      <alignment horizontal="center" wrapText="1"/>
    </xf>
    <xf numFmtId="0" fontId="237" fillId="0" borderId="4" xfId="0" applyFont="1" applyBorder="1" applyAlignment="1">
      <alignment horizontal="center" wrapText="1"/>
    </xf>
    <xf numFmtId="0" fontId="237" fillId="3" borderId="2" xfId="0" applyFont="1" applyFill="1" applyBorder="1" applyAlignment="1">
      <alignment horizontal="center" wrapText="1"/>
    </xf>
    <xf numFmtId="0" fontId="237" fillId="0" borderId="2" xfId="0" applyFont="1" applyBorder="1" applyAlignment="1">
      <alignment horizontal="center" wrapText="1"/>
    </xf>
    <xf numFmtId="0" fontId="237" fillId="0" borderId="9" xfId="0" applyFont="1" applyBorder="1" applyAlignment="1">
      <alignment horizontal="center" textRotation="90" wrapText="1"/>
    </xf>
    <xf numFmtId="0" fontId="93" fillId="0" borderId="0" xfId="0" applyFont="1" applyAlignment="1">
      <alignment horizontal="center" vertical="center" textRotation="90" wrapText="1"/>
    </xf>
    <xf numFmtId="2" fontId="252" fillId="0" borderId="0" xfId="0" applyNumberFormat="1" applyFont="1"/>
    <xf numFmtId="0" fontId="252" fillId="0" borderId="0" xfId="0" applyFont="1"/>
    <xf numFmtId="0" fontId="175" fillId="5" borderId="0" xfId="0" applyFont="1" applyFill="1"/>
    <xf numFmtId="0" fontId="177" fillId="0" borderId="1" xfId="0" applyFont="1" applyBorder="1" applyAlignment="1">
      <alignment horizontal="left" wrapText="1"/>
    </xf>
    <xf numFmtId="2" fontId="154" fillId="3" borderId="1" xfId="0" applyNumberFormat="1" applyFont="1" applyFill="1" applyBorder="1" applyAlignment="1">
      <alignment horizontal="right"/>
    </xf>
    <xf numFmtId="2" fontId="154" fillId="0" borderId="0" xfId="0" applyNumberFormat="1" applyFont="1" applyAlignment="1">
      <alignment horizontal="right"/>
    </xf>
    <xf numFmtId="2" fontId="153" fillId="17" borderId="3" xfId="0" applyNumberFormat="1" applyFont="1" applyFill="1" applyBorder="1"/>
    <xf numFmtId="2" fontId="227" fillId="17" borderId="1" xfId="0" applyNumberFormat="1" applyFont="1" applyFill="1" applyBorder="1" applyAlignment="1">
      <alignment horizontal="right"/>
    </xf>
    <xf numFmtId="164" fontId="153" fillId="3" borderId="3" xfId="0" applyNumberFormat="1" applyFont="1" applyFill="1" applyBorder="1"/>
    <xf numFmtId="2" fontId="35" fillId="0" borderId="1" xfId="0" applyNumberFormat="1" applyFont="1" applyBorder="1"/>
    <xf numFmtId="2" fontId="65" fillId="17" borderId="3" xfId="0" applyNumberFormat="1" applyFont="1" applyFill="1" applyBorder="1"/>
    <xf numFmtId="2" fontId="65" fillId="3" borderId="3" xfId="0" applyNumberFormat="1" applyFont="1" applyFill="1" applyBorder="1"/>
    <xf numFmtId="2" fontId="154" fillId="5" borderId="1" xfId="0" applyNumberFormat="1" applyFont="1" applyFill="1" applyBorder="1" applyAlignment="1">
      <alignment horizontal="right"/>
    </xf>
    <xf numFmtId="2" fontId="65" fillId="5" borderId="1" xfId="0" applyNumberFormat="1" applyFont="1" applyFill="1" applyBorder="1"/>
    <xf numFmtId="2" fontId="227" fillId="17" borderId="3" xfId="0" applyNumberFormat="1" applyFont="1" applyFill="1" applyBorder="1" applyAlignment="1">
      <alignment horizontal="right"/>
    </xf>
    <xf numFmtId="2" fontId="35" fillId="5" borderId="1" xfId="0" applyNumberFormat="1" applyFont="1" applyFill="1" applyBorder="1"/>
    <xf numFmtId="2" fontId="153" fillId="17" borderId="0" xfId="0" applyNumberFormat="1" applyFont="1" applyFill="1"/>
    <xf numFmtId="0" fontId="153" fillId="17" borderId="0" xfId="0" applyFont="1" applyFill="1"/>
    <xf numFmtId="164" fontId="153" fillId="3" borderId="0" xfId="0" applyNumberFormat="1" applyFont="1" applyFill="1"/>
    <xf numFmtId="0" fontId="35" fillId="0" borderId="1" xfId="0" applyFont="1" applyBorder="1"/>
    <xf numFmtId="0" fontId="65" fillId="0" borderId="3" xfId="0" applyFont="1" applyBorder="1" applyAlignment="1">
      <alignment horizontal="left" wrapText="1"/>
    </xf>
    <xf numFmtId="0" fontId="65" fillId="0" borderId="4" xfId="0" applyFont="1" applyBorder="1" applyAlignment="1">
      <alignment horizontal="left" wrapText="1"/>
    </xf>
    <xf numFmtId="166" fontId="65" fillId="3" borderId="3" xfId="0" applyNumberFormat="1" applyFont="1" applyFill="1" applyBorder="1"/>
    <xf numFmtId="0" fontId="156" fillId="0" borderId="0" xfId="0" applyFont="1" applyAlignment="1">
      <alignment horizontal="right"/>
    </xf>
    <xf numFmtId="0" fontId="111" fillId="0" borderId="0" xfId="0" applyFont="1" applyAlignment="1">
      <alignment horizontal="left"/>
    </xf>
    <xf numFmtId="0" fontId="253" fillId="0" borderId="0" xfId="0" applyFont="1" applyAlignment="1">
      <alignment horizontal="center"/>
    </xf>
    <xf numFmtId="0" fontId="254" fillId="0" borderId="0" xfId="0" applyFont="1"/>
    <xf numFmtId="0" fontId="255" fillId="0" borderId="0" xfId="0" applyFont="1"/>
    <xf numFmtId="0" fontId="28" fillId="0" borderId="0" xfId="0" applyFont="1"/>
    <xf numFmtId="0" fontId="256" fillId="0" borderId="0" xfId="0" applyFont="1"/>
    <xf numFmtId="0" fontId="257" fillId="0" borderId="1" xfId="0" applyFont="1" applyBorder="1" applyAlignment="1">
      <alignment wrapText="1"/>
    </xf>
    <xf numFmtId="0" fontId="75" fillId="0" borderId="1" xfId="0" applyFont="1" applyBorder="1" applyAlignment="1">
      <alignment wrapText="1"/>
    </xf>
    <xf numFmtId="0" fontId="258" fillId="0" borderId="1" xfId="0" applyFont="1" applyBorder="1" applyAlignment="1">
      <alignment wrapText="1"/>
    </xf>
    <xf numFmtId="0" fontId="195" fillId="0" borderId="1" xfId="0" applyFont="1" applyBorder="1" applyAlignment="1">
      <alignment wrapText="1"/>
    </xf>
    <xf numFmtId="0" fontId="15" fillId="0" borderId="1" xfId="0" applyFont="1" applyBorder="1" applyAlignment="1">
      <alignment wrapText="1"/>
    </xf>
    <xf numFmtId="0" fontId="28" fillId="0" borderId="0" xfId="0" applyFont="1" applyAlignment="1">
      <alignment wrapText="1"/>
    </xf>
    <xf numFmtId="0" fontId="79" fillId="0" borderId="0" xfId="0" applyFont="1"/>
    <xf numFmtId="0" fontId="26" fillId="0" borderId="0" xfId="0" applyFont="1" applyAlignment="1">
      <alignment wrapText="1"/>
    </xf>
    <xf numFmtId="2" fontId="52" fillId="18" borderId="1" xfId="0" applyNumberFormat="1" applyFont="1" applyFill="1" applyBorder="1" applyAlignment="1">
      <alignment horizontal="right" wrapText="1"/>
    </xf>
    <xf numFmtId="9" fontId="256" fillId="0" borderId="0" xfId="0" applyNumberFormat="1" applyFont="1"/>
    <xf numFmtId="49" fontId="45" fillId="0" borderId="0" xfId="0" applyNumberFormat="1" applyFont="1"/>
    <xf numFmtId="2" fontId="22" fillId="0" borderId="0" xfId="0" applyNumberFormat="1" applyFont="1"/>
    <xf numFmtId="166" fontId="93" fillId="13" borderId="0" xfId="0" applyNumberFormat="1" applyFont="1" applyFill="1"/>
    <xf numFmtId="164" fontId="259" fillId="0" borderId="1" xfId="0" applyNumberFormat="1" applyFont="1" applyBorder="1"/>
    <xf numFmtId="2" fontId="260" fillId="0" borderId="1" xfId="0" applyNumberFormat="1" applyFont="1" applyBorder="1"/>
    <xf numFmtId="2" fontId="261" fillId="0" borderId="1" xfId="0" applyNumberFormat="1" applyFont="1" applyBorder="1"/>
    <xf numFmtId="2" fontId="64" fillId="0" borderId="1" xfId="0" applyNumberFormat="1" applyFont="1" applyBorder="1"/>
    <xf numFmtId="166" fontId="22" fillId="0" borderId="0" xfId="0" applyNumberFormat="1" applyFont="1"/>
    <xf numFmtId="0" fontId="93" fillId="0" borderId="1" xfId="0" applyFont="1" applyBorder="1" applyAlignment="1">
      <alignment horizontal="center" vertical="center" wrapText="1"/>
    </xf>
    <xf numFmtId="0" fontId="38" fillId="0" borderId="0" xfId="0" applyFont="1" applyAlignment="1">
      <alignment horizontal="right"/>
    </xf>
    <xf numFmtId="164" fontId="232" fillId="0" borderId="1" xfId="0" applyNumberFormat="1" applyFont="1" applyBorder="1"/>
    <xf numFmtId="0" fontId="262" fillId="0" borderId="1" xfId="0" applyFont="1" applyBorder="1"/>
    <xf numFmtId="0" fontId="256" fillId="0" borderId="1" xfId="0" applyFont="1" applyBorder="1"/>
    <xf numFmtId="0" fontId="75" fillId="0" borderId="1" xfId="0" applyFont="1" applyBorder="1" applyAlignment="1">
      <alignment horizontal="left" wrapText="1"/>
    </xf>
    <xf numFmtId="2" fontId="162" fillId="13" borderId="1" xfId="0" applyNumberFormat="1" applyFont="1" applyFill="1" applyBorder="1" applyAlignment="1">
      <alignment horizontal="right"/>
    </xf>
    <xf numFmtId="2" fontId="256" fillId="0" borderId="0" xfId="0" applyNumberFormat="1" applyFont="1"/>
    <xf numFmtId="166" fontId="49" fillId="0" borderId="0" xfId="0" applyNumberFormat="1" applyFont="1"/>
    <xf numFmtId="2" fontId="262" fillId="0" borderId="1" xfId="0" applyNumberFormat="1" applyFont="1" applyBorder="1"/>
    <xf numFmtId="2" fontId="93" fillId="7" borderId="1" xfId="0" applyNumberFormat="1" applyFont="1" applyFill="1" applyBorder="1"/>
    <xf numFmtId="166" fontId="193" fillId="0" borderId="0" xfId="0" applyNumberFormat="1" applyFont="1"/>
    <xf numFmtId="164" fontId="256" fillId="0" borderId="0" xfId="0" applyNumberFormat="1" applyFont="1"/>
    <xf numFmtId="0" fontId="16" fillId="15" borderId="0" xfId="0" applyFont="1" applyFill="1"/>
    <xf numFmtId="166" fontId="49" fillId="13" borderId="0" xfId="0" applyNumberFormat="1" applyFont="1" applyFill="1"/>
    <xf numFmtId="0" fontId="63" fillId="0" borderId="0" xfId="0" applyFont="1" applyAlignment="1">
      <alignment wrapText="1"/>
    </xf>
    <xf numFmtId="3" fontId="63" fillId="0" borderId="0" xfId="0" applyNumberFormat="1" applyFont="1"/>
    <xf numFmtId="166" fontId="79" fillId="0" borderId="0" xfId="0" applyNumberFormat="1" applyFont="1"/>
    <xf numFmtId="166" fontId="26" fillId="0" borderId="0" xfId="0" applyNumberFormat="1" applyFont="1"/>
    <xf numFmtId="0" fontId="40" fillId="0" borderId="0" xfId="0" applyFont="1" applyAlignment="1">
      <alignment vertical="center" wrapText="1"/>
    </xf>
    <xf numFmtId="0" fontId="22" fillId="0" borderId="0" xfId="0" applyFont="1" applyAlignment="1">
      <alignment horizontal="center" vertical="center" wrapText="1"/>
    </xf>
    <xf numFmtId="0" fontId="253" fillId="0" borderId="1" xfId="0" applyFont="1" applyBorder="1"/>
    <xf numFmtId="0" fontId="40" fillId="0" borderId="0" xfId="0" applyFont="1" applyAlignment="1">
      <alignment horizontal="center" vertical="center" wrapText="1"/>
    </xf>
    <xf numFmtId="0" fontId="166" fillId="0" borderId="0" xfId="0" applyFont="1" applyAlignment="1">
      <alignment wrapText="1"/>
    </xf>
    <xf numFmtId="3" fontId="62" fillId="0" borderId="0" xfId="0" applyNumberFormat="1" applyFont="1"/>
    <xf numFmtId="2" fontId="3" fillId="0" borderId="1" xfId="0" applyNumberFormat="1" applyFont="1" applyBorder="1"/>
    <xf numFmtId="0" fontId="26" fillId="0" borderId="1" xfId="0" applyFont="1" applyBorder="1"/>
    <xf numFmtId="0" fontId="93" fillId="0" borderId="0" xfId="0" applyFont="1" applyAlignment="1">
      <alignment wrapText="1"/>
    </xf>
    <xf numFmtId="164" fontId="162" fillId="0" borderId="1" xfId="0" applyNumberFormat="1" applyFont="1" applyBorder="1" applyAlignment="1">
      <alignment horizontal="right"/>
    </xf>
    <xf numFmtId="164" fontId="253" fillId="0" borderId="1" xfId="0" applyNumberFormat="1" applyFont="1" applyBorder="1"/>
    <xf numFmtId="0" fontId="254" fillId="0" borderId="1" xfId="0" applyFont="1" applyBorder="1"/>
    <xf numFmtId="0" fontId="255" fillId="0" borderId="1" xfId="0" applyFont="1" applyBorder="1"/>
    <xf numFmtId="164" fontId="162" fillId="13" borderId="1" xfId="0" applyNumberFormat="1" applyFont="1" applyFill="1" applyBorder="1" applyAlignment="1">
      <alignment horizontal="right"/>
    </xf>
    <xf numFmtId="0" fontId="263" fillId="0" borderId="1" xfId="0" applyFont="1" applyBorder="1"/>
    <xf numFmtId="0" fontId="264" fillId="0" borderId="1" xfId="0" applyFont="1" applyBorder="1"/>
    <xf numFmtId="0" fontId="84" fillId="0" borderId="1" xfId="0" applyFont="1" applyBorder="1"/>
    <xf numFmtId="0" fontId="49" fillId="0" borderId="0" xfId="0" applyFont="1"/>
    <xf numFmtId="164" fontId="259" fillId="19" borderId="1" xfId="0" applyNumberFormat="1" applyFont="1" applyFill="1" applyBorder="1"/>
    <xf numFmtId="2" fontId="52" fillId="19" borderId="1" xfId="0" applyNumberFormat="1" applyFont="1" applyFill="1" applyBorder="1"/>
    <xf numFmtId="2" fontId="260" fillId="19" borderId="1" xfId="0" applyNumberFormat="1" applyFont="1" applyFill="1" applyBorder="1"/>
    <xf numFmtId="2" fontId="265" fillId="19" borderId="1" xfId="0" applyNumberFormat="1" applyFont="1" applyFill="1" applyBorder="1"/>
    <xf numFmtId="2" fontId="64" fillId="19" borderId="1" xfId="0" applyNumberFormat="1" applyFont="1" applyFill="1" applyBorder="1"/>
    <xf numFmtId="0" fontId="166" fillId="0" borderId="0" xfId="0" applyFont="1" applyAlignment="1">
      <alignment horizontal="center" wrapText="1"/>
    </xf>
    <xf numFmtId="166" fontId="166" fillId="0" borderId="0" xfId="0" applyNumberFormat="1" applyFont="1" applyAlignment="1">
      <alignment horizontal="right" wrapText="1"/>
    </xf>
    <xf numFmtId="164" fontId="266" fillId="0" borderId="1" xfId="0" applyNumberFormat="1" applyFont="1" applyBorder="1"/>
    <xf numFmtId="2" fontId="48" fillId="0" borderId="1" xfId="0" applyNumberFormat="1" applyFont="1" applyBorder="1"/>
    <xf numFmtId="2" fontId="267" fillId="0" borderId="1" xfId="0" applyNumberFormat="1" applyFont="1" applyBorder="1"/>
    <xf numFmtId="2" fontId="268" fillId="0" borderId="1" xfId="0" applyNumberFormat="1" applyFont="1" applyBorder="1"/>
    <xf numFmtId="2" fontId="60" fillId="0" borderId="1" xfId="0" applyNumberFormat="1" applyFont="1" applyBorder="1"/>
    <xf numFmtId="2" fontId="193" fillId="0" borderId="0" xfId="0" applyNumberFormat="1" applyFont="1"/>
    <xf numFmtId="0" fontId="269" fillId="0" borderId="0" xfId="0" applyFont="1"/>
    <xf numFmtId="0" fontId="0" fillId="0" borderId="0" xfId="0" applyAlignment="1">
      <alignment wrapText="1"/>
    </xf>
    <xf numFmtId="0" fontId="270" fillId="0" borderId="1" xfId="0" applyFont="1" applyBorder="1"/>
    <xf numFmtId="2" fontId="165" fillId="0" borderId="1" xfId="0" applyNumberFormat="1" applyFont="1" applyBorder="1" applyAlignment="1">
      <alignment horizontal="right"/>
    </xf>
    <xf numFmtId="0" fontId="93" fillId="0" borderId="0" xfId="0" applyFont="1" applyAlignment="1">
      <alignment horizontal="left" wrapText="1"/>
    </xf>
    <xf numFmtId="0" fontId="111" fillId="0" borderId="0" xfId="0" applyFont="1" applyAlignment="1">
      <alignment horizontal="left" wrapText="1"/>
    </xf>
    <xf numFmtId="0" fontId="111" fillId="0" borderId="0" xfId="0" applyFont="1" applyAlignment="1">
      <alignment horizontal="center"/>
    </xf>
    <xf numFmtId="166" fontId="93" fillId="0" borderId="0" xfId="0" applyNumberFormat="1" applyFont="1" applyAlignment="1">
      <alignment horizontal="right" wrapText="1"/>
    </xf>
    <xf numFmtId="0" fontId="271" fillId="0" borderId="0" xfId="0" applyFont="1"/>
    <xf numFmtId="166" fontId="63" fillId="13" borderId="0" xfId="0" applyNumberFormat="1" applyFont="1" applyFill="1" applyAlignment="1">
      <alignment horizontal="right"/>
    </xf>
    <xf numFmtId="0" fontId="272" fillId="0" borderId="0" xfId="0" applyFont="1" applyAlignment="1">
      <alignment horizontal="left" wrapText="1"/>
    </xf>
    <xf numFmtId="2" fontId="0" fillId="11" borderId="0" xfId="0" applyNumberFormat="1" applyFill="1" applyAlignment="1">
      <alignment wrapText="1"/>
    </xf>
    <xf numFmtId="2" fontId="0" fillId="0" borderId="0" xfId="0" applyNumberFormat="1" applyAlignment="1">
      <alignment wrapText="1"/>
    </xf>
    <xf numFmtId="2" fontId="273" fillId="0" borderId="0" xfId="0" applyNumberFormat="1" applyFont="1" applyAlignment="1">
      <alignment horizontal="right"/>
    </xf>
    <xf numFmtId="166" fontId="63" fillId="13" borderId="0" xfId="0" applyNumberFormat="1" applyFont="1" applyFill="1"/>
    <xf numFmtId="164" fontId="0" fillId="16" borderId="0" xfId="0" applyNumberFormat="1" applyFill="1" applyAlignment="1">
      <alignment wrapText="1"/>
    </xf>
    <xf numFmtId="2" fontId="0" fillId="16" borderId="0" xfId="0" applyNumberFormat="1" applyFill="1" applyAlignment="1">
      <alignment wrapText="1"/>
    </xf>
    <xf numFmtId="166" fontId="22" fillId="13" borderId="0" xfId="0" applyNumberFormat="1" applyFont="1" applyFill="1" applyAlignment="1">
      <alignment horizontal="right"/>
    </xf>
    <xf numFmtId="0" fontId="269" fillId="0" borderId="0" xfId="0" applyFont="1" applyAlignment="1">
      <alignment horizontal="center"/>
    </xf>
    <xf numFmtId="164" fontId="269" fillId="18" borderId="0" xfId="0" applyNumberFormat="1" applyFont="1" applyFill="1"/>
    <xf numFmtId="2" fontId="269" fillId="0" borderId="0" xfId="0" applyNumberFormat="1" applyFont="1"/>
    <xf numFmtId="2" fontId="7" fillId="0" borderId="0" xfId="0" applyNumberFormat="1" applyFont="1"/>
    <xf numFmtId="2" fontId="49" fillId="0" borderId="0" xfId="0" applyNumberFormat="1" applyFont="1"/>
    <xf numFmtId="0" fontId="274" fillId="0" borderId="0" xfId="0" applyFont="1"/>
    <xf numFmtId="2" fontId="275" fillId="0" borderId="0" xfId="0" applyNumberFormat="1" applyFont="1" applyAlignment="1">
      <alignment horizontal="right"/>
    </xf>
    <xf numFmtId="0" fontId="275" fillId="0" borderId="0" xfId="0" applyFont="1"/>
    <xf numFmtId="3" fontId="62" fillId="0" borderId="1" xfId="0" applyNumberFormat="1" applyFont="1" applyBorder="1"/>
    <xf numFmtId="166" fontId="61" fillId="0" borderId="0" xfId="0" applyNumberFormat="1" applyFont="1"/>
    <xf numFmtId="0" fontId="276" fillId="0" borderId="0" xfId="0" applyFont="1"/>
    <xf numFmtId="2" fontId="25" fillId="0" borderId="0" xfId="0" applyNumberFormat="1" applyFont="1"/>
    <xf numFmtId="0" fontId="277" fillId="0" borderId="0" xfId="0" applyFont="1"/>
    <xf numFmtId="2" fontId="278" fillId="0" borderId="0" xfId="0" applyNumberFormat="1" applyFont="1"/>
    <xf numFmtId="2" fontId="279" fillId="0" borderId="0" xfId="0" applyNumberFormat="1" applyFont="1" applyAlignment="1">
      <alignment horizontal="right"/>
    </xf>
    <xf numFmtId="2" fontId="277" fillId="0" borderId="0" xfId="0" applyNumberFormat="1" applyFont="1"/>
    <xf numFmtId="166" fontId="25" fillId="0" borderId="0" xfId="0" applyNumberFormat="1" applyFont="1"/>
    <xf numFmtId="164" fontId="277" fillId="0" borderId="0" xfId="0" applyNumberFormat="1" applyFont="1"/>
    <xf numFmtId="2" fontId="275" fillId="0" borderId="0" xfId="0" applyNumberFormat="1" applyFont="1"/>
    <xf numFmtId="0" fontId="25" fillId="15" borderId="0" xfId="0" applyFont="1" applyFill="1"/>
    <xf numFmtId="0" fontId="280" fillId="0" borderId="0" xfId="0" applyFont="1"/>
    <xf numFmtId="0" fontId="281" fillId="0" borderId="0" xfId="0" applyFont="1"/>
    <xf numFmtId="2" fontId="280" fillId="0" borderId="0" xfId="0" applyNumberFormat="1" applyFont="1"/>
    <xf numFmtId="166" fontId="282" fillId="0" borderId="0" xfId="0" applyNumberFormat="1" applyFont="1"/>
    <xf numFmtId="166" fontId="283" fillId="0" borderId="0" xfId="0" applyNumberFormat="1" applyFont="1"/>
    <xf numFmtId="0" fontId="281" fillId="0" borderId="0" xfId="0" applyFont="1" applyAlignment="1">
      <alignment horizontal="center"/>
    </xf>
    <xf numFmtId="166" fontId="281" fillId="0" borderId="0" xfId="0" applyNumberFormat="1" applyFont="1"/>
    <xf numFmtId="2" fontId="281" fillId="0" borderId="0" xfId="0" applyNumberFormat="1" applyFont="1"/>
    <xf numFmtId="166" fontId="284" fillId="0" borderId="0" xfId="0" applyNumberFormat="1" applyFont="1"/>
    <xf numFmtId="166" fontId="39" fillId="0" borderId="0" xfId="0" applyNumberFormat="1" applyFont="1"/>
    <xf numFmtId="0" fontId="276" fillId="15" borderId="0" xfId="0" applyFont="1" applyFill="1"/>
    <xf numFmtId="166" fontId="285" fillId="0" borderId="0" xfId="0" applyNumberFormat="1" applyFont="1"/>
    <xf numFmtId="0" fontId="63" fillId="0" borderId="1" xfId="0" applyFont="1" applyBorder="1" applyAlignment="1">
      <alignment horizontal="left"/>
    </xf>
    <xf numFmtId="16" fontId="45" fillId="0" borderId="0" xfId="0" applyNumberFormat="1" applyFont="1"/>
    <xf numFmtId="0" fontId="93" fillId="0" borderId="1" xfId="0" applyFont="1" applyBorder="1" applyAlignment="1">
      <alignment horizontal="right"/>
    </xf>
    <xf numFmtId="0" fontId="30" fillId="0" borderId="0" xfId="0" applyFont="1"/>
    <xf numFmtId="166" fontId="30" fillId="0" borderId="0" xfId="0" applyNumberFormat="1" applyFont="1"/>
    <xf numFmtId="167" fontId="38" fillId="0" borderId="0" xfId="0" applyNumberFormat="1" applyFont="1"/>
    <xf numFmtId="2" fontId="52" fillId="0" borderId="0" xfId="0" applyNumberFormat="1" applyFont="1" applyAlignment="1">
      <alignment horizontal="right" wrapText="1"/>
    </xf>
    <xf numFmtId="164" fontId="44" fillId="0" borderId="0" xfId="0" applyNumberFormat="1" applyFont="1" applyAlignment="1">
      <alignment horizontal="right" wrapText="1"/>
    </xf>
    <xf numFmtId="3" fontId="16" fillId="0" borderId="0" xfId="0" applyNumberFormat="1" applyFont="1" applyAlignment="1">
      <alignment horizontal="left"/>
    </xf>
    <xf numFmtId="0" fontId="163" fillId="18" borderId="0" xfId="0" applyFont="1" applyFill="1"/>
    <xf numFmtId="0" fontId="25" fillId="3" borderId="0" xfId="0" applyFont="1" applyFill="1"/>
    <xf numFmtId="0" fontId="193" fillId="0" borderId="0" xfId="0" applyFont="1"/>
    <xf numFmtId="2" fontId="233" fillId="0" borderId="1" xfId="0" applyNumberFormat="1" applyFont="1" applyBorder="1"/>
    <xf numFmtId="167" fontId="25" fillId="0" borderId="0" xfId="0" applyNumberFormat="1" applyFont="1"/>
    <xf numFmtId="2" fontId="40" fillId="0" borderId="0" xfId="0" applyNumberFormat="1" applyFont="1" applyAlignment="1">
      <alignment horizontal="right" vertical="center"/>
    </xf>
    <xf numFmtId="0" fontId="41" fillId="0" borderId="0" xfId="0" applyFont="1"/>
    <xf numFmtId="2" fontId="286" fillId="0" borderId="1" xfId="0" applyNumberFormat="1" applyFont="1" applyBorder="1"/>
    <xf numFmtId="2" fontId="256" fillId="0" borderId="1" xfId="0" applyNumberFormat="1" applyFont="1" applyBorder="1"/>
    <xf numFmtId="164" fontId="60" fillId="0" borderId="0" xfId="0" applyNumberFormat="1" applyFont="1"/>
    <xf numFmtId="2" fontId="273" fillId="0" borderId="1" xfId="0" applyNumberFormat="1" applyFont="1" applyBorder="1" applyAlignment="1">
      <alignment horizontal="right"/>
    </xf>
    <xf numFmtId="2" fontId="287" fillId="0" borderId="1" xfId="0" applyNumberFormat="1" applyFont="1" applyBorder="1"/>
    <xf numFmtId="164" fontId="259" fillId="0" borderId="0" xfId="0" applyNumberFormat="1" applyFont="1"/>
    <xf numFmtId="2" fontId="260" fillId="0" borderId="0" xfId="0" applyNumberFormat="1" applyFont="1"/>
    <xf numFmtId="2" fontId="265" fillId="0" borderId="0" xfId="0" applyNumberFormat="1" applyFont="1"/>
    <xf numFmtId="164" fontId="41" fillId="0" borderId="0" xfId="0" applyNumberFormat="1" applyFont="1" applyAlignment="1">
      <alignment vertical="center"/>
    </xf>
    <xf numFmtId="2" fontId="288" fillId="0" borderId="1" xfId="0" applyNumberFormat="1" applyFont="1" applyBorder="1"/>
    <xf numFmtId="167" fontId="79" fillId="0" borderId="0" xfId="0" applyNumberFormat="1" applyFont="1"/>
    <xf numFmtId="167" fontId="26" fillId="0" borderId="0" xfId="0" applyNumberFormat="1" applyFont="1"/>
    <xf numFmtId="165" fontId="26" fillId="0" borderId="0" xfId="0" applyNumberFormat="1" applyFont="1"/>
    <xf numFmtId="0" fontId="49" fillId="0" borderId="0" xfId="0" applyFont="1" applyAlignment="1">
      <alignment vertical="center"/>
    </xf>
    <xf numFmtId="0" fontId="40" fillId="0" borderId="0" xfId="0" applyFont="1" applyAlignment="1">
      <alignment vertical="center"/>
    </xf>
    <xf numFmtId="1" fontId="40" fillId="0" borderId="0" xfId="0" applyNumberFormat="1" applyFont="1" applyAlignment="1">
      <alignment vertical="center"/>
    </xf>
    <xf numFmtId="0" fontId="40" fillId="0" borderId="0" xfId="0" applyFont="1" applyAlignment="1">
      <alignment horizontal="center" vertical="center"/>
    </xf>
    <xf numFmtId="166" fontId="40" fillId="13" borderId="0" xfId="0" applyNumberFormat="1" applyFont="1" applyFill="1"/>
    <xf numFmtId="0" fontId="289" fillId="0" borderId="1" xfId="0" applyFont="1" applyBorder="1"/>
    <xf numFmtId="2" fontId="40" fillId="0" borderId="0" xfId="0" applyNumberFormat="1" applyFont="1" applyAlignment="1">
      <alignment horizontal="right"/>
    </xf>
    <xf numFmtId="166" fontId="40" fillId="0" borderId="0" xfId="0" applyNumberFormat="1" applyFont="1" applyAlignment="1">
      <alignment horizontal="right"/>
    </xf>
    <xf numFmtId="2" fontId="276" fillId="0" borderId="0" xfId="0" applyNumberFormat="1" applyFont="1" applyAlignment="1">
      <alignment horizontal="right"/>
    </xf>
    <xf numFmtId="0" fontId="290" fillId="0" borderId="1" xfId="0" applyFont="1" applyBorder="1"/>
    <xf numFmtId="1" fontId="25" fillId="16" borderId="0" xfId="0" applyNumberFormat="1" applyFont="1" applyFill="1"/>
    <xf numFmtId="2" fontId="232" fillId="0" borderId="1" xfId="0" applyNumberFormat="1" applyFont="1" applyBorder="1"/>
    <xf numFmtId="2" fontId="254" fillId="0" borderId="1" xfId="0" applyNumberFormat="1" applyFont="1" applyBorder="1"/>
    <xf numFmtId="2" fontId="255" fillId="0" borderId="1" xfId="0" applyNumberFormat="1" applyFont="1" applyBorder="1"/>
    <xf numFmtId="2" fontId="28" fillId="0" borderId="1" xfId="0" applyNumberFormat="1" applyFont="1" applyBorder="1"/>
    <xf numFmtId="164" fontId="259" fillId="0" borderId="1" xfId="0" applyNumberFormat="1" applyFont="1" applyBorder="1" applyAlignment="1">
      <alignment horizontal="right" wrapText="1"/>
    </xf>
    <xf numFmtId="0" fontId="78" fillId="0" borderId="1" xfId="0" applyFont="1" applyBorder="1"/>
    <xf numFmtId="166" fontId="254" fillId="0" borderId="1" xfId="0" applyNumberFormat="1" applyFont="1" applyBorder="1"/>
    <xf numFmtId="166" fontId="28" fillId="0" borderId="1" xfId="0" applyNumberFormat="1" applyFont="1" applyBorder="1"/>
    <xf numFmtId="0" fontId="61" fillId="0" borderId="0" xfId="0" applyFont="1" applyAlignment="1">
      <alignment horizontal="left"/>
    </xf>
    <xf numFmtId="0" fontId="134" fillId="0" borderId="0" xfId="0" applyFont="1"/>
    <xf numFmtId="166" fontId="55" fillId="0" borderId="0" xfId="0" applyNumberFormat="1" applyFont="1"/>
    <xf numFmtId="0" fontId="105" fillId="0" borderId="0" xfId="0" applyFont="1"/>
    <xf numFmtId="1" fontId="259" fillId="0" borderId="0" xfId="0" applyNumberFormat="1" applyFont="1"/>
    <xf numFmtId="164" fontId="254" fillId="0" borderId="0" xfId="0" applyNumberFormat="1" applyFont="1"/>
    <xf numFmtId="2" fontId="28" fillId="0" borderId="0" xfId="0" applyNumberFormat="1" applyFont="1"/>
    <xf numFmtId="166" fontId="253" fillId="0" borderId="0" xfId="0" applyNumberFormat="1" applyFont="1"/>
    <xf numFmtId="167" fontId="253" fillId="0" borderId="0" xfId="0" applyNumberFormat="1" applyFont="1"/>
    <xf numFmtId="2" fontId="72" fillId="0" borderId="0" xfId="0" applyNumberFormat="1" applyFont="1"/>
    <xf numFmtId="2" fontId="291" fillId="0" borderId="0" xfId="0" applyNumberFormat="1" applyFont="1"/>
    <xf numFmtId="0" fontId="291" fillId="0" borderId="0" xfId="0" applyFont="1"/>
    <xf numFmtId="164" fontId="72" fillId="0" borderId="0" xfId="0" applyNumberFormat="1" applyFont="1"/>
    <xf numFmtId="164" fontId="253" fillId="0" borderId="0" xfId="0" applyNumberFormat="1" applyFont="1"/>
    <xf numFmtId="2" fontId="253" fillId="0" borderId="0" xfId="0" applyNumberFormat="1" applyFont="1"/>
    <xf numFmtId="0" fontId="253" fillId="0" borderId="0" xfId="0" applyFont="1"/>
    <xf numFmtId="0" fontId="1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wrapText="1"/>
    </xf>
    <xf numFmtId="0" fontId="10" fillId="18" borderId="0" xfId="0" applyFont="1" applyFill="1" applyAlignment="1">
      <alignment horizontal="center" vertical="center"/>
    </xf>
    <xf numFmtId="0" fontId="78" fillId="0" borderId="0" xfId="0" applyFont="1" applyAlignment="1">
      <alignment horizontal="center" vertical="center"/>
    </xf>
    <xf numFmtId="0" fontId="84" fillId="0" borderId="0" xfId="0" applyFont="1" applyAlignment="1">
      <alignment horizontal="center" vertical="center" wrapText="1"/>
    </xf>
    <xf numFmtId="0" fontId="31" fillId="0" borderId="0" xfId="0" applyFont="1" applyAlignment="1">
      <alignment horizontal="center" vertical="center" wrapText="1"/>
    </xf>
    <xf numFmtId="0" fontId="78" fillId="0" borderId="0" xfId="0" applyFont="1" applyAlignment="1">
      <alignment horizontal="center" vertical="center" wrapText="1"/>
    </xf>
    <xf numFmtId="0" fontId="84" fillId="18" borderId="0" xfId="0" applyFont="1" applyFill="1" applyAlignment="1">
      <alignment horizontal="center" vertical="center" wrapText="1"/>
    </xf>
    <xf numFmtId="0" fontId="69" fillId="0" borderId="0" xfId="0" applyFont="1" applyAlignment="1">
      <alignment horizontal="center" vertical="center"/>
    </xf>
    <xf numFmtId="0" fontId="23" fillId="0" borderId="0" xfId="0" applyFont="1" applyAlignment="1">
      <alignment horizontal="center" vertical="center" wrapText="1"/>
    </xf>
    <xf numFmtId="0" fontId="6" fillId="0" borderId="0" xfId="0" applyFont="1" applyAlignment="1">
      <alignment horizontal="center" vertical="center" wrapText="1"/>
    </xf>
    <xf numFmtId="0" fontId="69" fillId="0" borderId="0" xfId="0" applyFont="1" applyAlignment="1">
      <alignment horizontal="center" vertical="center" wrapText="1"/>
    </xf>
    <xf numFmtId="0" fontId="8" fillId="0" borderId="0" xfId="0" applyFont="1" applyAlignment="1">
      <alignment horizontal="center" vertical="top" wrapText="1"/>
    </xf>
    <xf numFmtId="0" fontId="69" fillId="0" borderId="0" xfId="0" applyFont="1" applyAlignment="1">
      <alignment horizontal="center" vertical="top" wrapText="1"/>
    </xf>
    <xf numFmtId="0" fontId="69" fillId="0" borderId="0" xfId="0" applyFont="1" applyAlignment="1">
      <alignment horizontal="left" vertical="top" wrapText="1"/>
    </xf>
    <xf numFmtId="0" fontId="69" fillId="0" borderId="0" xfId="0" applyFont="1" applyAlignment="1">
      <alignment horizontal="right" vertical="center"/>
    </xf>
    <xf numFmtId="0" fontId="51" fillId="0" borderId="0" xfId="0" applyFont="1" applyAlignment="1">
      <alignment horizontal="center" vertical="center"/>
    </xf>
    <xf numFmtId="0" fontId="69" fillId="0" borderId="0" xfId="0" applyFont="1" applyAlignment="1">
      <alignment horizontal="left" vertical="center" wrapText="1"/>
    </xf>
    <xf numFmtId="0" fontId="8" fillId="18" borderId="0" xfId="0" applyFont="1" applyFill="1"/>
    <xf numFmtId="0" fontId="69" fillId="18" borderId="0" xfId="0" applyFont="1" applyFill="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vertical="center"/>
    </xf>
    <xf numFmtId="0" fontId="10" fillId="18" borderId="0" xfId="0" applyFont="1" applyFill="1" applyAlignment="1">
      <alignment vertical="center"/>
    </xf>
    <xf numFmtId="0" fontId="10" fillId="0" borderId="0" xfId="0" applyFont="1" applyAlignment="1">
      <alignment horizontal="right" vertical="center"/>
    </xf>
    <xf numFmtId="0" fontId="10" fillId="0" borderId="0" xfId="0" applyFont="1" applyAlignment="1">
      <alignment horizontal="left" vertical="top" wrapText="1"/>
    </xf>
    <xf numFmtId="0" fontId="51" fillId="0" borderId="0" xfId="0" applyFont="1" applyAlignment="1">
      <alignment horizontal="center" vertical="center" wrapText="1"/>
    </xf>
    <xf numFmtId="0" fontId="8" fillId="0" borderId="0" xfId="0" applyFont="1" applyAlignment="1">
      <alignment horizontal="center" vertical="center" wrapText="1"/>
    </xf>
    <xf numFmtId="0" fontId="72" fillId="0" borderId="1" xfId="0" applyFont="1" applyBorder="1" applyAlignment="1">
      <alignment horizontal="center" vertical="center" wrapText="1"/>
    </xf>
    <xf numFmtId="0" fontId="72" fillId="0" borderId="1" xfId="0" applyFont="1" applyBorder="1" applyAlignment="1">
      <alignment horizontal="center" vertical="center"/>
    </xf>
    <xf numFmtId="0" fontId="26" fillId="0" borderId="0" xfId="0" applyFont="1" applyAlignment="1">
      <alignment horizontal="center" vertical="center" wrapText="1"/>
    </xf>
    <xf numFmtId="2" fontId="2" fillId="0" borderId="0" xfId="0" applyNumberFormat="1" applyFont="1" applyAlignment="1">
      <alignment horizontal="center" vertical="center" wrapText="1"/>
    </xf>
    <xf numFmtId="0" fontId="72" fillId="18" borderId="1" xfId="0" applyFont="1" applyFill="1" applyBorder="1" applyAlignment="1">
      <alignment horizontal="center" vertical="center" wrapText="1"/>
    </xf>
    <xf numFmtId="2" fontId="8" fillId="0" borderId="0" xfId="0" applyNumberFormat="1" applyFont="1" applyAlignment="1">
      <alignment horizontal="center" vertical="center" wrapText="1"/>
    </xf>
    <xf numFmtId="1" fontId="86" fillId="0" borderId="0" xfId="0" applyNumberFormat="1" applyFont="1"/>
    <xf numFmtId="0" fontId="85" fillId="20" borderId="1" xfId="0" applyFont="1" applyFill="1" applyBorder="1" applyAlignment="1">
      <alignment horizontal="center" vertical="center"/>
    </xf>
    <xf numFmtId="0" fontId="85" fillId="20" borderId="1" xfId="0" applyFont="1" applyFill="1" applyBorder="1" applyAlignment="1">
      <alignment horizontal="left" vertical="center" wrapText="1"/>
    </xf>
    <xf numFmtId="2" fontId="85" fillId="20" borderId="1" xfId="0" applyNumberFormat="1" applyFont="1" applyFill="1" applyBorder="1" applyAlignment="1">
      <alignment horizontal="center" vertical="center"/>
    </xf>
    <xf numFmtId="2" fontId="292" fillId="0" borderId="0" xfId="0" applyNumberFormat="1" applyFont="1" applyAlignment="1">
      <alignment horizontal="center" vertical="center"/>
    </xf>
    <xf numFmtId="166" fontId="293" fillId="0" borderId="0" xfId="0" applyNumberFormat="1" applyFont="1"/>
    <xf numFmtId="0" fontId="52" fillId="20" borderId="1" xfId="0" applyFont="1" applyFill="1" applyBorder="1" applyAlignment="1">
      <alignment horizontal="left" vertical="center" wrapText="1"/>
    </xf>
    <xf numFmtId="0" fontId="52" fillId="18" borderId="1" xfId="0" applyFont="1" applyFill="1" applyBorder="1" applyAlignment="1">
      <alignment horizontal="left" vertical="center" wrapText="1"/>
    </xf>
    <xf numFmtId="2" fontId="52" fillId="20" borderId="1" xfId="0" applyNumberFormat="1" applyFont="1" applyFill="1" applyBorder="1" applyAlignment="1">
      <alignment horizontal="center" vertical="center"/>
    </xf>
    <xf numFmtId="2" fontId="52" fillId="18" borderId="1" xfId="0" applyNumberFormat="1" applyFont="1" applyFill="1" applyBorder="1" applyAlignment="1">
      <alignment horizontal="center" vertical="center"/>
    </xf>
    <xf numFmtId="2" fontId="86" fillId="20" borderId="0" xfId="0" applyNumberFormat="1" applyFont="1" applyFill="1"/>
    <xf numFmtId="164" fontId="86" fillId="20" borderId="0" xfId="0" applyNumberFormat="1" applyFont="1" applyFill="1"/>
    <xf numFmtId="0" fontId="86" fillId="20" borderId="0" xfId="0" applyFont="1" applyFill="1"/>
    <xf numFmtId="49" fontId="72" fillId="0" borderId="1" xfId="0" applyNumberFormat="1" applyFont="1" applyBorder="1" applyAlignment="1">
      <alignment horizontal="center" vertical="center"/>
    </xf>
    <xf numFmtId="0" fontId="72" fillId="0" borderId="1" xfId="0" applyFont="1" applyBorder="1" applyAlignment="1">
      <alignment horizontal="left" vertical="center" wrapText="1"/>
    </xf>
    <xf numFmtId="2" fontId="72" fillId="0" borderId="1" xfId="0" applyNumberFormat="1" applyFont="1" applyBorder="1" applyAlignment="1">
      <alignment horizontal="center" vertical="center"/>
    </xf>
    <xf numFmtId="2" fontId="26" fillId="0" borderId="0" xfId="0" applyNumberFormat="1" applyFont="1" applyAlignment="1">
      <alignment horizontal="center" vertical="center"/>
    </xf>
    <xf numFmtId="0" fontId="8" fillId="0" borderId="1" xfId="0" applyFont="1" applyBorder="1" applyAlignment="1">
      <alignment horizontal="center" vertical="center"/>
    </xf>
    <xf numFmtId="0" fontId="8" fillId="18" borderId="1" xfId="0" applyFont="1" applyFill="1" applyBorder="1" applyAlignment="1">
      <alignment horizontal="center" vertical="center"/>
    </xf>
    <xf numFmtId="2" fontId="8" fillId="0" borderId="1" xfId="0" applyNumberFormat="1" applyFont="1" applyBorder="1" applyAlignment="1">
      <alignment horizontal="center" vertical="center"/>
    </xf>
    <xf numFmtId="2" fontId="8" fillId="18" borderId="1" xfId="0" applyNumberFormat="1" applyFont="1" applyFill="1" applyBorder="1" applyAlignment="1">
      <alignment horizontal="center" vertical="center"/>
    </xf>
    <xf numFmtId="0" fontId="293" fillId="0" borderId="0" xfId="0" applyFont="1"/>
    <xf numFmtId="0" fontId="78" fillId="0" borderId="0" xfId="0" applyFont="1"/>
    <xf numFmtId="49" fontId="78" fillId="5" borderId="1" xfId="0" applyNumberFormat="1" applyFont="1" applyFill="1" applyBorder="1" applyAlignment="1">
      <alignment horizontal="center" vertical="center"/>
    </xf>
    <xf numFmtId="0" fontId="78" fillId="5" borderId="1" xfId="0" applyFont="1" applyFill="1" applyBorder="1" applyAlignment="1">
      <alignment horizontal="left" vertical="center"/>
    </xf>
    <xf numFmtId="2" fontId="78" fillId="5" borderId="1" xfId="0" applyNumberFormat="1" applyFont="1" applyFill="1" applyBorder="1" applyAlignment="1">
      <alignment horizontal="center" vertical="center"/>
    </xf>
    <xf numFmtId="2" fontId="31" fillId="0" borderId="0" xfId="0" applyNumberFormat="1" applyFont="1" applyAlignment="1">
      <alignment horizontal="center" vertical="center"/>
    </xf>
    <xf numFmtId="2" fontId="84" fillId="0" borderId="0" xfId="0" applyNumberFormat="1" applyFont="1"/>
    <xf numFmtId="0" fontId="78" fillId="5" borderId="1" xfId="0" applyFont="1" applyFill="1" applyBorder="1" applyAlignment="1">
      <alignment horizontal="left" vertical="center" wrapText="1"/>
    </xf>
    <xf numFmtId="0" fontId="52" fillId="5" borderId="1" xfId="0" applyFont="1" applyFill="1" applyBorder="1" applyAlignment="1">
      <alignment horizontal="left" vertical="center"/>
    </xf>
    <xf numFmtId="0" fontId="52" fillId="18" borderId="1" xfId="0" applyFont="1" applyFill="1" applyBorder="1" applyAlignment="1">
      <alignment horizontal="left" vertical="center"/>
    </xf>
    <xf numFmtId="2" fontId="52" fillId="5" borderId="1" xfId="0" applyNumberFormat="1" applyFont="1" applyFill="1" applyBorder="1" applyAlignment="1">
      <alignment horizontal="center" vertical="center"/>
    </xf>
    <xf numFmtId="0" fontId="78" fillId="5" borderId="0" xfId="0" applyFont="1" applyFill="1"/>
    <xf numFmtId="1" fontId="72" fillId="0" borderId="1" xfId="0" applyNumberFormat="1" applyFont="1" applyBorder="1" applyAlignment="1">
      <alignment horizontal="center" vertical="center" wrapText="1"/>
    </xf>
    <xf numFmtId="1" fontId="72" fillId="0" borderId="1" xfId="0" applyNumberFormat="1" applyFont="1" applyBorder="1" applyAlignment="1">
      <alignment horizontal="center" vertical="center"/>
    </xf>
    <xf numFmtId="49" fontId="26"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wrapText="1"/>
    </xf>
    <xf numFmtId="2"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18" borderId="1" xfId="0" applyNumberFormat="1" applyFont="1" applyFill="1" applyBorder="1" applyAlignment="1">
      <alignment horizontal="center" vertical="center"/>
    </xf>
    <xf numFmtId="2" fontId="294" fillId="20" borderId="0" xfId="0" applyNumberFormat="1" applyFont="1" applyFill="1"/>
    <xf numFmtId="164" fontId="294" fillId="20" borderId="0" xfId="0" applyNumberFormat="1" applyFont="1" applyFill="1"/>
    <xf numFmtId="2" fontId="72" fillId="0" borderId="1" xfId="0" applyNumberFormat="1" applyFont="1" applyBorder="1" applyAlignment="1">
      <alignment horizontal="center" vertical="center" wrapText="1"/>
    </xf>
    <xf numFmtId="2" fontId="72" fillId="0" borderId="0" xfId="0" applyNumberFormat="1" applyFont="1" applyAlignment="1">
      <alignment horizontal="center" vertical="center"/>
    </xf>
    <xf numFmtId="164" fontId="28" fillId="0" borderId="0" xfId="0" applyNumberFormat="1" applyFont="1"/>
    <xf numFmtId="0" fontId="72" fillId="0" borderId="1" xfId="0" applyFont="1" applyBorder="1" applyAlignment="1">
      <alignment horizontal="left" vertical="top" wrapText="1"/>
    </xf>
    <xf numFmtId="1" fontId="78" fillId="5" borderId="1" xfId="0" applyNumberFormat="1" applyFont="1" applyFill="1" applyBorder="1" applyAlignment="1">
      <alignment horizontal="center" vertical="center"/>
    </xf>
    <xf numFmtId="0" fontId="84" fillId="0" borderId="0" xfId="0" applyFont="1"/>
    <xf numFmtId="2" fontId="2" fillId="18" borderId="1" xfId="0" applyNumberFormat="1" applyFont="1" applyFill="1" applyBorder="1" applyAlignment="1">
      <alignment horizontal="center" vertical="center"/>
    </xf>
    <xf numFmtId="2" fontId="295" fillId="0" borderId="1" xfId="0" applyNumberFormat="1" applyFont="1" applyBorder="1" applyAlignment="1">
      <alignment horizontal="center" vertical="center"/>
    </xf>
    <xf numFmtId="0" fontId="78" fillId="5" borderId="1" xfId="0" applyFont="1" applyFill="1" applyBorder="1" applyAlignment="1">
      <alignment vertical="center"/>
    </xf>
    <xf numFmtId="0" fontId="78" fillId="5" borderId="3" xfId="0" applyFont="1" applyFill="1" applyBorder="1" applyAlignment="1">
      <alignment horizontal="left" vertical="center" wrapText="1"/>
    </xf>
    <xf numFmtId="0" fontId="78" fillId="5" borderId="5" xfId="0" applyFont="1" applyFill="1" applyBorder="1" applyAlignment="1">
      <alignment horizontal="left" vertical="center"/>
    </xf>
    <xf numFmtId="0" fontId="72" fillId="0" borderId="1" xfId="0" applyFont="1" applyBorder="1" applyAlignment="1">
      <alignment vertical="center"/>
    </xf>
    <xf numFmtId="0" fontId="72" fillId="0" borderId="3" xfId="0" applyFont="1" applyBorder="1" applyAlignment="1">
      <alignment horizontal="left" vertical="center" wrapText="1"/>
    </xf>
    <xf numFmtId="0" fontId="72" fillId="0" borderId="3" xfId="0" applyFont="1" applyBorder="1" applyAlignment="1">
      <alignment horizontal="center" vertical="center"/>
    </xf>
    <xf numFmtId="2" fontId="72" fillId="0" borderId="3"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18"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8" fillId="18" borderId="3" xfId="0" applyFont="1" applyFill="1" applyBorder="1" applyAlignment="1">
      <alignment horizontal="center" vertical="center"/>
    </xf>
    <xf numFmtId="49" fontId="28" fillId="0" borderId="1" xfId="0" applyNumberFormat="1" applyFont="1" applyBorder="1" applyAlignment="1">
      <alignment horizontal="center" vertical="center"/>
    </xf>
    <xf numFmtId="0" fontId="28" fillId="0" borderId="1" xfId="0" applyFont="1" applyBorder="1" applyAlignment="1">
      <alignment vertical="center"/>
    </xf>
    <xf numFmtId="0" fontId="28" fillId="0" borderId="1" xfId="0" applyFont="1" applyBorder="1" applyAlignment="1">
      <alignment horizontal="center" vertical="center"/>
    </xf>
    <xf numFmtId="2" fontId="28" fillId="0" borderId="1" xfId="0" applyNumberFormat="1" applyFont="1" applyBorder="1" applyAlignment="1">
      <alignment horizontal="center" vertical="center"/>
    </xf>
    <xf numFmtId="0" fontId="28" fillId="0" borderId="3" xfId="0" applyFont="1" applyBorder="1" applyAlignment="1">
      <alignment horizontal="left" vertical="center" wrapText="1"/>
    </xf>
    <xf numFmtId="0" fontId="28" fillId="0" borderId="3" xfId="0" applyFont="1" applyBorder="1" applyAlignment="1">
      <alignment horizontal="center" vertical="center"/>
    </xf>
    <xf numFmtId="0" fontId="2" fillId="0" borderId="3" xfId="0" applyFont="1" applyBorder="1" applyAlignment="1">
      <alignment horizontal="center" vertical="center"/>
    </xf>
    <xf numFmtId="0" fontId="2" fillId="18" borderId="3" xfId="0" applyFont="1" applyFill="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18" borderId="1" xfId="0" applyFont="1" applyFill="1" applyBorder="1" applyAlignment="1">
      <alignment horizontal="center" vertical="center"/>
    </xf>
    <xf numFmtId="2" fontId="293" fillId="20" borderId="0" xfId="0" applyNumberFormat="1" applyFont="1" applyFill="1"/>
    <xf numFmtId="0" fontId="78" fillId="5" borderId="1" xfId="0" applyFont="1" applyFill="1" applyBorder="1" applyAlignment="1">
      <alignment horizontal="center" vertical="center"/>
    </xf>
    <xf numFmtId="0" fontId="52" fillId="5" borderId="1" xfId="0" applyFont="1" applyFill="1" applyBorder="1" applyAlignment="1">
      <alignment horizontal="center" vertical="center"/>
    </xf>
    <xf numFmtId="0" fontId="52" fillId="18" borderId="1" xfId="0" applyFont="1" applyFill="1" applyBorder="1" applyAlignment="1">
      <alignment horizontal="center" vertical="center"/>
    </xf>
    <xf numFmtId="1" fontId="72" fillId="0" borderId="3" xfId="0" applyNumberFormat="1" applyFont="1" applyBorder="1" applyAlignment="1">
      <alignment horizontal="center" vertical="center"/>
    </xf>
    <xf numFmtId="0" fontId="26" fillId="0" borderId="1" xfId="0" applyFont="1" applyBorder="1" applyAlignment="1">
      <alignment vertical="center"/>
    </xf>
    <xf numFmtId="0" fontId="26" fillId="0" borderId="3" xfId="0" applyFont="1" applyBorder="1" applyAlignment="1">
      <alignment horizontal="left" vertical="center" wrapText="1"/>
    </xf>
    <xf numFmtId="0" fontId="26" fillId="0" borderId="3" xfId="0" applyFont="1" applyBorder="1" applyAlignment="1">
      <alignment horizontal="center" vertical="center"/>
    </xf>
    <xf numFmtId="1" fontId="26" fillId="0" borderId="3" xfId="0" applyNumberFormat="1" applyFont="1" applyBorder="1" applyAlignment="1">
      <alignment horizontal="center" vertical="center"/>
    </xf>
    <xf numFmtId="2" fontId="26" fillId="0" borderId="3" xfId="0" applyNumberFormat="1" applyFont="1" applyBorder="1" applyAlignment="1">
      <alignment horizontal="center" vertical="center"/>
    </xf>
    <xf numFmtId="2" fontId="3" fillId="0" borderId="3" xfId="0" applyNumberFormat="1" applyFont="1" applyBorder="1" applyAlignment="1">
      <alignment horizontal="center" vertical="center"/>
    </xf>
    <xf numFmtId="2" fontId="3" fillId="18" borderId="3" xfId="0" applyNumberFormat="1" applyFont="1" applyFill="1" applyBorder="1" applyAlignment="1">
      <alignment horizontal="center" vertical="center"/>
    </xf>
    <xf numFmtId="0" fontId="3" fillId="0" borderId="1" xfId="0" applyFont="1" applyBorder="1" applyAlignment="1">
      <alignment horizontal="center" vertical="center"/>
    </xf>
    <xf numFmtId="0" fontId="3" fillId="18" borderId="1" xfId="0" applyFont="1" applyFill="1" applyBorder="1" applyAlignment="1">
      <alignment horizontal="center" vertical="center"/>
    </xf>
    <xf numFmtId="0" fontId="30" fillId="5" borderId="1" xfId="0" applyFont="1" applyFill="1" applyBorder="1" applyAlignment="1">
      <alignment horizontal="center" vertical="center" wrapText="1"/>
    </xf>
    <xf numFmtId="2" fontId="30" fillId="5" borderId="1" xfId="0" applyNumberFormat="1" applyFont="1" applyFill="1" applyBorder="1" applyAlignment="1">
      <alignment horizontal="center" vertical="center" wrapText="1"/>
    </xf>
    <xf numFmtId="2" fontId="31" fillId="0" borderId="0" xfId="0" applyNumberFormat="1" applyFont="1" applyAlignment="1">
      <alignment horizontal="center" vertical="center" wrapText="1"/>
    </xf>
    <xf numFmtId="0" fontId="78" fillId="5" borderId="1" xfId="0" applyFont="1" applyFill="1" applyBorder="1" applyAlignment="1">
      <alignment vertical="center" wrapText="1"/>
    </xf>
    <xf numFmtId="2" fontId="27" fillId="5" borderId="1" xfId="0" applyNumberFormat="1" applyFont="1" applyFill="1" applyBorder="1" applyAlignment="1">
      <alignment horizontal="center" vertical="center" wrapText="1"/>
    </xf>
    <xf numFmtId="2" fontId="27" fillId="18"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2" fontId="25" fillId="0" borderId="1" xfId="0" applyNumberFormat="1" applyFont="1" applyBorder="1" applyAlignment="1">
      <alignment horizontal="center" vertical="center" wrapText="1"/>
    </xf>
    <xf numFmtId="0" fontId="72" fillId="0" borderId="1" xfId="0" applyFont="1" applyBorder="1" applyAlignment="1">
      <alignment vertical="center" wrapText="1"/>
    </xf>
    <xf numFmtId="2" fontId="16" fillId="0" borderId="1" xfId="0" applyNumberFormat="1" applyFont="1" applyBorder="1" applyAlignment="1">
      <alignment horizontal="center" vertical="center" wrapText="1"/>
    </xf>
    <xf numFmtId="2" fontId="16" fillId="18" borderId="1" xfId="0" applyNumberFormat="1" applyFont="1" applyFill="1" applyBorder="1" applyAlignment="1">
      <alignment horizontal="center" vertical="center" wrapText="1"/>
    </xf>
    <xf numFmtId="0" fontId="72" fillId="0" borderId="1" xfId="0" applyFont="1" applyBorder="1" applyAlignment="1">
      <alignment horizontal="left" vertical="center"/>
    </xf>
    <xf numFmtId="2" fontId="30" fillId="5" borderId="1" xfId="0" applyNumberFormat="1" applyFont="1" applyFill="1" applyBorder="1" applyAlignment="1">
      <alignment horizontal="left" vertical="center" wrapText="1"/>
    </xf>
    <xf numFmtId="2" fontId="78" fillId="5" borderId="1" xfId="0" applyNumberFormat="1" applyFont="1" applyFill="1" applyBorder="1" applyAlignment="1">
      <alignment horizontal="center" vertical="center" wrapText="1"/>
    </xf>
    <xf numFmtId="2" fontId="64" fillId="5" borderId="1" xfId="0" applyNumberFormat="1" applyFont="1" applyFill="1" applyBorder="1" applyAlignment="1">
      <alignment horizontal="center" vertical="center" wrapText="1"/>
    </xf>
    <xf numFmtId="2" fontId="52" fillId="5" borderId="1" xfId="0" applyNumberFormat="1" applyFont="1" applyFill="1" applyBorder="1" applyAlignment="1">
      <alignment horizontal="center" vertical="center" wrapText="1"/>
    </xf>
    <xf numFmtId="2" fontId="78" fillId="0" borderId="0" xfId="0" applyNumberFormat="1" applyFont="1"/>
    <xf numFmtId="2" fontId="30" fillId="0" borderId="1" xfId="0" applyNumberFormat="1" applyFont="1" applyBorder="1" applyAlignment="1">
      <alignment horizontal="center" vertical="center" wrapText="1"/>
    </xf>
    <xf numFmtId="166" fontId="25"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xf>
    <xf numFmtId="0" fontId="78" fillId="0" borderId="1" xfId="0" applyFont="1" applyBorder="1" applyAlignment="1">
      <alignment horizontal="center" vertical="center"/>
    </xf>
    <xf numFmtId="166" fontId="72" fillId="0" borderId="1" xfId="0" applyNumberFormat="1" applyFont="1" applyBorder="1" applyAlignment="1">
      <alignment horizontal="center" vertical="center"/>
    </xf>
    <xf numFmtId="49" fontId="30" fillId="5" borderId="1" xfId="0" applyNumberFormat="1" applyFont="1" applyFill="1" applyBorder="1" applyAlignment="1">
      <alignment horizontal="center" vertical="center" wrapText="1"/>
    </xf>
    <xf numFmtId="2" fontId="6" fillId="0" borderId="0" xfId="0" applyNumberFormat="1" applyFont="1" applyAlignment="1">
      <alignment horizontal="center" vertical="center"/>
    </xf>
    <xf numFmtId="2" fontId="296" fillId="0" borderId="0" xfId="0" applyNumberFormat="1" applyFont="1" applyAlignment="1">
      <alignment horizontal="center" vertical="center"/>
    </xf>
    <xf numFmtId="2" fontId="44" fillId="5" borderId="1" xfId="0" applyNumberFormat="1" applyFont="1" applyFill="1" applyBorder="1" applyAlignment="1">
      <alignment horizontal="center" vertical="center" wrapText="1"/>
    </xf>
    <xf numFmtId="164" fontId="78" fillId="5" borderId="1" xfId="0" applyNumberFormat="1" applyFont="1" applyFill="1" applyBorder="1" applyAlignment="1">
      <alignment horizontal="center" vertical="center"/>
    </xf>
    <xf numFmtId="2" fontId="44" fillId="5" borderId="1" xfId="0" applyNumberFormat="1" applyFont="1" applyFill="1" applyBorder="1" applyAlignment="1">
      <alignment horizontal="center" vertical="center"/>
    </xf>
    <xf numFmtId="2" fontId="31" fillId="5" borderId="1" xfId="0" applyNumberFormat="1" applyFont="1" applyFill="1" applyBorder="1" applyAlignment="1">
      <alignment horizontal="center" vertical="center" wrapText="1"/>
    </xf>
    <xf numFmtId="0" fontId="85" fillId="20" borderId="1" xfId="0" applyFont="1" applyFill="1" applyBorder="1" applyAlignment="1">
      <alignment horizontal="left" vertical="center"/>
    </xf>
    <xf numFmtId="2" fontId="98" fillId="20" borderId="1" xfId="0" applyNumberFormat="1" applyFont="1" applyFill="1" applyBorder="1" applyAlignment="1">
      <alignment horizontal="center" vertical="center"/>
    </xf>
    <xf numFmtId="2" fontId="293" fillId="0" borderId="0" xfId="0" applyNumberFormat="1" applyFont="1"/>
    <xf numFmtId="0" fontId="69" fillId="20" borderId="1" xfId="0" applyFont="1" applyFill="1" applyBorder="1" applyAlignment="1">
      <alignment horizontal="left" vertical="center" wrapText="1"/>
    </xf>
    <xf numFmtId="2" fontId="52" fillId="20" borderId="1" xfId="0" applyNumberFormat="1" applyFont="1" applyFill="1" applyBorder="1" applyAlignment="1">
      <alignment horizontal="left" vertical="center" wrapText="1"/>
    </xf>
    <xf numFmtId="0" fontId="10" fillId="6" borderId="0" xfId="0" applyFont="1" applyFill="1"/>
    <xf numFmtId="1" fontId="7" fillId="6" borderId="0" xfId="0" applyNumberFormat="1" applyFont="1" applyFill="1"/>
    <xf numFmtId="0" fontId="86" fillId="6" borderId="0" xfId="0" applyFont="1" applyFill="1"/>
    <xf numFmtId="0" fontId="85" fillId="0" borderId="0" xfId="0" applyFont="1" applyAlignment="1">
      <alignment horizontal="left" vertical="center"/>
    </xf>
    <xf numFmtId="0" fontId="85" fillId="0" borderId="0" xfId="0" applyFont="1" applyAlignment="1">
      <alignment horizontal="left" vertical="center" wrapText="1"/>
    </xf>
    <xf numFmtId="2" fontId="85" fillId="0" borderId="0" xfId="0" applyNumberFormat="1" applyFont="1" applyAlignment="1">
      <alignment horizontal="center" vertical="center"/>
    </xf>
    <xf numFmtId="0" fontId="85" fillId="18" borderId="0" xfId="0" applyFont="1" applyFill="1" applyAlignment="1">
      <alignment horizontal="left" vertical="center" wrapText="1"/>
    </xf>
    <xf numFmtId="2" fontId="292" fillId="18" borderId="0" xfId="0" applyNumberFormat="1" applyFont="1" applyFill="1" applyAlignment="1">
      <alignment horizontal="center" vertical="center"/>
    </xf>
    <xf numFmtId="2" fontId="86" fillId="0" borderId="0" xfId="0" applyNumberFormat="1" applyFont="1"/>
    <xf numFmtId="164" fontId="86" fillId="0" borderId="0" xfId="0" applyNumberFormat="1" applyFont="1"/>
    <xf numFmtId="49" fontId="69" fillId="0" borderId="1" xfId="0" applyNumberFormat="1" applyFont="1" applyBorder="1" applyAlignment="1">
      <alignment horizontal="center" vertical="center"/>
    </xf>
    <xf numFmtId="49" fontId="69" fillId="0" borderId="1" xfId="0" applyNumberFormat="1" applyFont="1" applyBorder="1" applyAlignment="1">
      <alignment horizontal="left" vertical="center" wrapText="1"/>
    </xf>
    <xf numFmtId="1" fontId="69" fillId="0" borderId="1" xfId="0" applyNumberFormat="1" applyFont="1" applyBorder="1" applyAlignment="1">
      <alignment horizontal="center" vertical="center"/>
    </xf>
    <xf numFmtId="2" fontId="69" fillId="0" borderId="1" xfId="0" applyNumberFormat="1" applyFont="1" applyBorder="1" applyAlignment="1">
      <alignment horizontal="center" vertical="center"/>
    </xf>
    <xf numFmtId="2" fontId="7" fillId="0" borderId="0" xfId="0" applyNumberFormat="1" applyFont="1" applyAlignment="1">
      <alignment horizontal="center" vertical="center"/>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2" fontId="63" fillId="0" borderId="1" xfId="0" applyNumberFormat="1" applyFont="1" applyBorder="1" applyAlignment="1">
      <alignment horizontal="center" vertical="center"/>
    </xf>
    <xf numFmtId="1" fontId="7" fillId="0" borderId="0" xfId="0" applyNumberFormat="1" applyFont="1"/>
    <xf numFmtId="1" fontId="63" fillId="0" borderId="1" xfId="0" applyNumberFormat="1" applyFont="1" applyBorder="1" applyAlignment="1">
      <alignment horizontal="center" vertical="center"/>
    </xf>
    <xf numFmtId="166" fontId="106" fillId="0" borderId="1" xfId="0" applyNumberFormat="1" applyFont="1" applyBorder="1" applyAlignment="1">
      <alignment horizontal="center" vertical="center"/>
    </xf>
    <xf numFmtId="0" fontId="6" fillId="0" borderId="0" xfId="0" applyFont="1" applyAlignment="1">
      <alignment horizontal="left"/>
    </xf>
    <xf numFmtId="2" fontId="10" fillId="0" borderId="1" xfId="0" applyNumberFormat="1" applyFont="1" applyBorder="1" applyAlignment="1">
      <alignment horizontal="center" vertical="center"/>
    </xf>
    <xf numFmtId="2" fontId="52" fillId="0" borderId="1" xfId="0" applyNumberFormat="1" applyFont="1" applyBorder="1" applyAlignment="1">
      <alignment horizontal="left" vertical="center" wrapText="1"/>
    </xf>
    <xf numFmtId="2" fontId="69" fillId="0" borderId="1" xfId="0" applyNumberFormat="1" applyFont="1" applyBorder="1" applyAlignment="1">
      <alignment horizontal="center" vertical="center" wrapText="1"/>
    </xf>
    <xf numFmtId="2" fontId="75" fillId="0" borderId="1" xfId="0" applyNumberFormat="1" applyFont="1" applyBorder="1" applyAlignment="1">
      <alignment horizontal="left" vertical="center" wrapText="1"/>
    </xf>
    <xf numFmtId="2" fontId="10" fillId="0" borderId="0" xfId="0" applyNumberFormat="1" applyFont="1" applyAlignment="1">
      <alignment horizontal="center" vertical="center"/>
    </xf>
    <xf numFmtId="49" fontId="52" fillId="0" borderId="1" xfId="0" applyNumberFormat="1" applyFont="1" applyBorder="1" applyAlignment="1">
      <alignment horizontal="left" vertical="center" wrapText="1"/>
    </xf>
    <xf numFmtId="0" fontId="85" fillId="0" borderId="1" xfId="0" applyFont="1" applyBorder="1" applyAlignment="1">
      <alignment horizontal="left" vertical="center"/>
    </xf>
    <xf numFmtId="0" fontId="85" fillId="0" borderId="1" xfId="0" applyFont="1" applyBorder="1" applyAlignment="1">
      <alignment horizontal="left" vertical="center" wrapText="1"/>
    </xf>
    <xf numFmtId="2" fontId="98" fillId="0" borderId="1" xfId="0" applyNumberFormat="1" applyFont="1" applyBorder="1" applyAlignment="1">
      <alignment horizontal="center" vertical="center"/>
    </xf>
    <xf numFmtId="0" fontId="8" fillId="0" borderId="0" xfId="0" applyFont="1" applyAlignment="1">
      <alignment wrapText="1"/>
    </xf>
    <xf numFmtId="49" fontId="10" fillId="0" borderId="0" xfId="0" applyNumberFormat="1" applyFont="1" applyAlignment="1">
      <alignment horizontal="center" vertical="center"/>
    </xf>
    <xf numFmtId="49" fontId="10" fillId="0" borderId="0" xfId="0" applyNumberFormat="1" applyFont="1" applyAlignment="1">
      <alignment horizontal="left" vertical="center" wrapText="1"/>
    </xf>
    <xf numFmtId="0" fontId="11" fillId="0" borderId="0" xfId="0" applyFont="1" applyAlignment="1">
      <alignment horizontal="left" vertical="center" wrapText="1"/>
    </xf>
    <xf numFmtId="164" fontId="4" fillId="0" borderId="0" xfId="0" applyNumberFormat="1" applyFont="1"/>
    <xf numFmtId="0" fontId="297" fillId="0" borderId="0" xfId="0" applyFont="1" applyAlignment="1">
      <alignment horizontal="left" vertical="center" wrapText="1"/>
    </xf>
    <xf numFmtId="0" fontId="6" fillId="0" borderId="0" xfId="0" applyFont="1" applyAlignment="1">
      <alignment vertical="center" wrapText="1"/>
    </xf>
    <xf numFmtId="0" fontId="10" fillId="18" borderId="0" xfId="0" applyFont="1" applyFill="1"/>
    <xf numFmtId="0" fontId="10" fillId="0" borderId="0" xfId="0" applyFont="1" applyAlignment="1">
      <alignment horizontal="right"/>
    </xf>
    <xf numFmtId="164" fontId="10" fillId="0" borderId="0" xfId="0" applyNumberFormat="1" applyFont="1"/>
    <xf numFmtId="164" fontId="209" fillId="0" borderId="0" xfId="0" applyNumberFormat="1" applyFont="1"/>
    <xf numFmtId="2" fontId="209" fillId="0" borderId="0" xfId="0" applyNumberFormat="1" applyFont="1"/>
    <xf numFmtId="2" fontId="209" fillId="0" borderId="0" xfId="0" quotePrefix="1" applyNumberFormat="1" applyFont="1"/>
    <xf numFmtId="49" fontId="63" fillId="0" borderId="3" xfId="0" applyNumberFormat="1" applyFont="1" applyBorder="1" applyAlignment="1">
      <alignment horizontal="left"/>
    </xf>
    <xf numFmtId="49" fontId="63" fillId="0" borderId="4" xfId="0" applyNumberFormat="1" applyFont="1" applyBorder="1" applyAlignment="1">
      <alignment horizontal="left"/>
    </xf>
    <xf numFmtId="49" fontId="63" fillId="0" borderId="5" xfId="0" applyNumberFormat="1" applyFont="1" applyBorder="1" applyAlignment="1">
      <alignment horizontal="left"/>
    </xf>
    <xf numFmtId="49" fontId="93" fillId="0" borderId="3" xfId="0" applyNumberFormat="1" applyFont="1" applyBorder="1" applyAlignment="1">
      <alignment horizontal="left" wrapText="1"/>
    </xf>
    <xf numFmtId="49" fontId="93" fillId="0" borderId="4" xfId="0" applyNumberFormat="1" applyFont="1" applyBorder="1" applyAlignment="1">
      <alignment horizontal="left" wrapText="1"/>
    </xf>
    <xf numFmtId="49" fontId="93" fillId="0" borderId="5" xfId="0" applyNumberFormat="1" applyFont="1" applyBorder="1" applyAlignment="1">
      <alignment horizontal="left" wrapText="1"/>
    </xf>
    <xf numFmtId="0" fontId="177" fillId="0" borderId="0" xfId="0" applyFont="1" applyAlignment="1">
      <alignment horizontal="left" wrapText="1"/>
    </xf>
    <xf numFmtId="0" fontId="63" fillId="0" borderId="0" xfId="0" applyFont="1" applyAlignment="1">
      <alignment horizontal="left" wrapText="1"/>
    </xf>
    <xf numFmtId="0" fontId="172" fillId="0" borderId="3" xfId="0" applyFont="1" applyBorder="1" applyAlignment="1">
      <alignment horizontal="center" wrapText="1"/>
    </xf>
    <xf numFmtId="0" fontId="172" fillId="0" borderId="4" xfId="0" applyFont="1" applyBorder="1" applyAlignment="1">
      <alignment horizontal="center" wrapText="1"/>
    </xf>
    <xf numFmtId="0" fontId="172" fillId="0" borderId="5" xfId="0" applyFont="1" applyBorder="1" applyAlignment="1">
      <alignment horizontal="center" wrapText="1"/>
    </xf>
    <xf numFmtId="49" fontId="31" fillId="0" borderId="1" xfId="1" applyNumberFormat="1" applyFont="1" applyBorder="1" applyAlignment="1">
      <alignment horizontal="center" vertical="center"/>
    </xf>
    <xf numFmtId="0" fontId="31" fillId="0" borderId="2" xfId="1" applyFont="1" applyBorder="1" applyAlignment="1">
      <alignment horizontal="left" vertical="center" wrapText="1"/>
    </xf>
    <xf numFmtId="2" fontId="44" fillId="0" borderId="1" xfId="1" applyNumberFormat="1" applyFont="1" applyBorder="1" applyAlignment="1">
      <alignment horizontal="left" vertical="center" wrapText="1"/>
    </xf>
    <xf numFmtId="0" fontId="31" fillId="6" borderId="1" xfId="1" applyFont="1" applyFill="1" applyBorder="1" applyAlignment="1">
      <alignment horizontal="left" vertical="center" wrapText="1"/>
    </xf>
    <xf numFmtId="0" fontId="31" fillId="0" borderId="1" xfId="1" applyFont="1" applyBorder="1" applyAlignment="1">
      <alignment horizontal="center" vertical="center" wrapText="1"/>
    </xf>
    <xf numFmtId="1" fontId="31" fillId="0" borderId="0" xfId="1" applyNumberFormat="1" applyFont="1" applyAlignment="1">
      <alignment horizontal="right" vertical="center" wrapText="1"/>
    </xf>
    <xf numFmtId="0" fontId="31" fillId="0" borderId="0" xfId="1" applyFont="1" applyAlignment="1">
      <alignment horizontal="center" vertical="center"/>
    </xf>
    <xf numFmtId="2" fontId="31" fillId="0" borderId="0" xfId="1" applyNumberFormat="1" applyFont="1" applyAlignment="1">
      <alignment horizontal="center" vertical="center"/>
    </xf>
    <xf numFmtId="2" fontId="10" fillId="11" borderId="0" xfId="0" applyNumberFormat="1" applyFont="1" applyFill="1"/>
    <xf numFmtId="1" fontId="46" fillId="0" borderId="0" xfId="0" applyNumberFormat="1" applyFont="1"/>
    <xf numFmtId="2" fontId="173" fillId="0" borderId="0" xfId="0" applyNumberFormat="1" applyFont="1"/>
    <xf numFmtId="2" fontId="178" fillId="0" borderId="0" xfId="0" applyNumberFormat="1" applyFont="1"/>
    <xf numFmtId="2" fontId="168" fillId="0" borderId="0" xfId="2" applyNumberFormat="1" applyFont="1" applyAlignment="1">
      <alignment horizontal="center"/>
    </xf>
    <xf numFmtId="0" fontId="174" fillId="0" borderId="1" xfId="0" applyFont="1" applyBorder="1"/>
    <xf numFmtId="166" fontId="9" fillId="0" borderId="1" xfId="0" applyNumberFormat="1" applyFont="1" applyBorder="1"/>
    <xf numFmtId="167" fontId="9" fillId="0" borderId="1" xfId="0" applyNumberFormat="1" applyFont="1" applyBorder="1"/>
    <xf numFmtId="0" fontId="9" fillId="0" borderId="1" xfId="0" applyFont="1" applyBorder="1"/>
    <xf numFmtId="164" fontId="9" fillId="0" borderId="1" xfId="0" applyNumberFormat="1" applyFont="1" applyBorder="1"/>
    <xf numFmtId="2" fontId="63" fillId="0" borderId="0" xfId="0" applyNumberFormat="1" applyFont="1" applyAlignment="1">
      <alignment horizontal="right" wrapText="1"/>
    </xf>
    <xf numFmtId="0" fontId="122" fillId="0" borderId="6" xfId="0" applyFont="1" applyBorder="1"/>
    <xf numFmtId="4" fontId="35" fillId="0" borderId="0" xfId="0" applyNumberFormat="1" applyFont="1"/>
    <xf numFmtId="167" fontId="35" fillId="0" borderId="0" xfId="0" applyNumberFormat="1" applyFont="1"/>
    <xf numFmtId="0" fontId="93" fillId="0" borderId="1" xfId="0" applyFont="1" applyBorder="1" applyAlignment="1">
      <alignment vertical="center" wrapText="1"/>
    </xf>
    <xf numFmtId="0" fontId="93" fillId="0" borderId="3" xfId="0" applyFont="1" applyBorder="1" applyAlignment="1">
      <alignment vertical="center" wrapText="1"/>
    </xf>
    <xf numFmtId="2" fontId="66" fillId="0" borderId="0" xfId="0" applyNumberFormat="1" applyFont="1" applyAlignment="1">
      <alignment horizontal="center" vertical="center" wrapText="1"/>
    </xf>
    <xf numFmtId="0" fontId="46" fillId="0" borderId="0" xfId="0" applyFont="1" applyAlignment="1">
      <alignment horizontal="center" vertical="center" textRotation="90" wrapText="1"/>
    </xf>
    <xf numFmtId="2" fontId="42" fillId="0" borderId="1" xfId="0" applyNumberFormat="1" applyFont="1" applyBorder="1" applyAlignment="1">
      <alignment horizontal="right"/>
    </xf>
    <xf numFmtId="0" fontId="298" fillId="0" borderId="0" xfId="0" applyFont="1" applyAlignment="1">
      <alignment horizontal="left"/>
    </xf>
    <xf numFmtId="0" fontId="10" fillId="0" borderId="0" xfId="0" applyFont="1" applyAlignment="1">
      <alignment horizontal="left" vertical="top" wrapText="1"/>
    </xf>
    <xf numFmtId="0" fontId="2" fillId="0" borderId="0" xfId="0" applyFont="1" applyAlignment="1">
      <alignment horizontal="left"/>
    </xf>
    <xf numFmtId="0" fontId="27" fillId="0" borderId="8" xfId="0" applyFont="1" applyBorder="1" applyAlignment="1">
      <alignment horizontal="center" wrapText="1"/>
    </xf>
    <xf numFmtId="0" fontId="27" fillId="0" borderId="9" xfId="0" applyFont="1" applyBorder="1" applyAlignment="1">
      <alignment horizontal="center" wrapText="1"/>
    </xf>
    <xf numFmtId="0" fontId="69" fillId="0" borderId="3" xfId="0" applyFont="1" applyBorder="1" applyAlignment="1">
      <alignment horizontal="center"/>
    </xf>
    <xf numFmtId="0" fontId="69" fillId="0" borderId="4" xfId="0" applyFont="1" applyBorder="1" applyAlignment="1">
      <alignment horizontal="center"/>
    </xf>
    <xf numFmtId="0" fontId="69" fillId="0" borderId="5" xfId="0" applyFont="1" applyBorder="1" applyAlignment="1">
      <alignment horizontal="center"/>
    </xf>
    <xf numFmtId="0" fontId="10" fillId="0" borderId="1"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8" xfId="0" applyFont="1" applyBorder="1" applyAlignment="1">
      <alignment horizontal="center" wrapText="1"/>
    </xf>
    <xf numFmtId="0" fontId="25" fillId="0" borderId="9" xfId="0" applyFont="1" applyBorder="1" applyAlignment="1">
      <alignment horizontal="center" wrapText="1"/>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8" fillId="0" borderId="1" xfId="0" applyFont="1" applyBorder="1" applyAlignment="1">
      <alignment horizontal="center"/>
    </xf>
    <xf numFmtId="0" fontId="99"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5" xfId="0" applyFont="1" applyBorder="1" applyAlignment="1">
      <alignment horizontal="center" vertical="center" wrapText="1"/>
    </xf>
    <xf numFmtId="0" fontId="99" fillId="0" borderId="1" xfId="0" applyFont="1" applyBorder="1" applyAlignment="1">
      <alignment horizontal="center" vertical="center" wrapText="1"/>
    </xf>
    <xf numFmtId="49" fontId="106" fillId="0" borderId="3" xfId="0" applyNumberFormat="1" applyFont="1" applyBorder="1" applyAlignment="1">
      <alignment horizontal="left"/>
    </xf>
    <xf numFmtId="49" fontId="99" fillId="0" borderId="4" xfId="0" applyNumberFormat="1" applyFont="1" applyBorder="1" applyAlignment="1">
      <alignment horizontal="lef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9" fillId="0" borderId="8" xfId="0" applyFont="1" applyBorder="1" applyAlignment="1">
      <alignment horizontal="center" wrapText="1"/>
    </xf>
    <xf numFmtId="0" fontId="99" fillId="0" borderId="9" xfId="0" applyFont="1" applyBorder="1" applyAlignment="1">
      <alignment horizontal="center"/>
    </xf>
    <xf numFmtId="0" fontId="106" fillId="0" borderId="3" xfId="0" applyFont="1" applyBorder="1" applyAlignment="1">
      <alignment horizontal="left"/>
    </xf>
    <xf numFmtId="0" fontId="106" fillId="0" borderId="4" xfId="0" applyFont="1" applyBorder="1" applyAlignment="1">
      <alignment horizontal="left"/>
    </xf>
    <xf numFmtId="0" fontId="106" fillId="0" borderId="5" xfId="0" applyFont="1" applyBorder="1" applyAlignment="1">
      <alignment horizontal="left"/>
    </xf>
    <xf numFmtId="0" fontId="107" fillId="0" borderId="3" xfId="0" applyFont="1" applyBorder="1" applyAlignment="1">
      <alignment horizontal="left"/>
    </xf>
    <xf numFmtId="0" fontId="99" fillId="0" borderId="4" xfId="0" applyFont="1" applyBorder="1" applyAlignment="1">
      <alignment horizontal="left"/>
    </xf>
    <xf numFmtId="0" fontId="107" fillId="0" borderId="4" xfId="0" applyFont="1" applyBorder="1" applyAlignment="1">
      <alignment horizontal="left"/>
    </xf>
    <xf numFmtId="49" fontId="107" fillId="0" borderId="3" xfId="0" applyNumberFormat="1" applyFont="1" applyBorder="1" applyAlignment="1">
      <alignment horizontal="left"/>
    </xf>
    <xf numFmtId="49" fontId="107" fillId="0" borderId="4" xfId="0" applyNumberFormat="1" applyFont="1" applyBorder="1" applyAlignment="1">
      <alignment horizontal="left"/>
    </xf>
    <xf numFmtId="44" fontId="107" fillId="0" borderId="3" xfId="0" applyNumberFormat="1" applyFont="1" applyBorder="1" applyAlignment="1">
      <alignment horizontal="left"/>
    </xf>
    <xf numFmtId="44" fontId="107" fillId="0" borderId="4" xfId="0" applyNumberFormat="1" applyFont="1" applyBorder="1" applyAlignment="1">
      <alignment horizontal="left"/>
    </xf>
    <xf numFmtId="44" fontId="107" fillId="0" borderId="5" xfId="0" applyNumberFormat="1" applyFont="1" applyBorder="1" applyAlignment="1">
      <alignment horizontal="left"/>
    </xf>
    <xf numFmtId="0" fontId="100" fillId="0" borderId="1" xfId="0" applyFont="1" applyBorder="1" applyAlignment="1">
      <alignment horizontal="center" vertical="center" wrapText="1"/>
    </xf>
    <xf numFmtId="0" fontId="100"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center" vertical="center" textRotation="90"/>
    </xf>
    <xf numFmtId="0" fontId="106" fillId="0" borderId="45" xfId="0" applyFont="1" applyBorder="1" applyAlignment="1">
      <alignment horizontal="left"/>
    </xf>
    <xf numFmtId="0" fontId="72" fillId="0" borderId="10" xfId="1" applyFont="1" applyBorder="1" applyAlignment="1">
      <alignment horizontal="center" vertical="center" textRotation="90" wrapText="1"/>
    </xf>
    <xf numFmtId="0" fontId="72" fillId="0" borderId="11" xfId="1" applyFont="1" applyBorder="1" applyAlignment="1">
      <alignment horizontal="center" vertical="center" textRotation="90" wrapText="1"/>
    </xf>
    <xf numFmtId="0" fontId="72" fillId="0" borderId="2" xfId="1" applyFont="1" applyBorder="1" applyAlignment="1">
      <alignment horizontal="center" vertical="center" textRotation="90" wrapText="1"/>
    </xf>
    <xf numFmtId="0" fontId="72" fillId="0" borderId="7" xfId="1" applyFont="1" applyBorder="1" applyAlignment="1">
      <alignment horizontal="center" vertical="center" textRotation="90" wrapText="1"/>
    </xf>
    <xf numFmtId="0" fontId="72" fillId="0" borderId="8" xfId="1" applyFont="1" applyBorder="1" applyAlignment="1">
      <alignment horizontal="center" vertical="center" wrapText="1"/>
    </xf>
    <xf numFmtId="0" fontId="72" fillId="0" borderId="9" xfId="1" applyFont="1" applyBorder="1" applyAlignment="1">
      <alignment horizontal="center" vertical="center" wrapText="1"/>
    </xf>
    <xf numFmtId="0" fontId="72" fillId="0" borderId="8" xfId="1" applyFont="1" applyBorder="1" applyAlignment="1">
      <alignment horizontal="center" vertical="center" textRotation="90" wrapText="1"/>
    </xf>
    <xf numFmtId="0" fontId="72" fillId="0" borderId="9" xfId="1" applyFont="1" applyBorder="1" applyAlignment="1">
      <alignment horizontal="center" vertical="center" textRotation="90" wrapText="1"/>
    </xf>
    <xf numFmtId="0" fontId="72" fillId="0" borderId="44" xfId="1" applyFont="1" applyBorder="1" applyAlignment="1">
      <alignment horizontal="center" vertical="center" textRotation="90" wrapText="1"/>
    </xf>
    <xf numFmtId="0" fontId="72" fillId="0" borderId="37" xfId="1" applyFont="1" applyBorder="1" applyAlignment="1">
      <alignment horizontal="center" vertical="center" textRotation="90" wrapText="1"/>
    </xf>
    <xf numFmtId="0" fontId="72" fillId="0" borderId="33" xfId="1" applyFont="1" applyBorder="1" applyAlignment="1">
      <alignment horizontal="center" vertical="center" wrapText="1"/>
    </xf>
    <xf numFmtId="0" fontId="72" fillId="0" borderId="36" xfId="1" applyFont="1" applyBorder="1" applyAlignment="1">
      <alignment horizontal="center" vertical="center" wrapText="1"/>
    </xf>
    <xf numFmtId="0" fontId="72" fillId="0" borderId="18" xfId="1" applyFont="1" applyBorder="1" applyAlignment="1">
      <alignment horizontal="center" vertical="center" wrapText="1"/>
    </xf>
    <xf numFmtId="0" fontId="72" fillId="0" borderId="19" xfId="1" applyFont="1" applyBorder="1" applyAlignment="1">
      <alignment horizontal="center" vertical="center" wrapText="1"/>
    </xf>
    <xf numFmtId="0" fontId="72" fillId="0" borderId="24" xfId="1" applyFont="1" applyBorder="1" applyAlignment="1">
      <alignment horizontal="center" vertical="center" wrapText="1"/>
    </xf>
    <xf numFmtId="0" fontId="72" fillId="0" borderId="25" xfId="1" applyFont="1" applyBorder="1" applyAlignment="1">
      <alignment horizontal="center" vertical="center" wrapText="1"/>
    </xf>
    <xf numFmtId="0" fontId="78" fillId="0" borderId="16" xfId="1" applyFont="1" applyBorder="1" applyAlignment="1">
      <alignment horizontal="center" vertical="center" textRotation="90" wrapText="1"/>
    </xf>
    <xf numFmtId="0" fontId="78" fillId="0" borderId="29" xfId="1" applyFont="1" applyBorder="1" applyAlignment="1">
      <alignment horizontal="center" vertical="center" textRotation="90" wrapText="1"/>
    </xf>
    <xf numFmtId="0" fontId="78" fillId="0" borderId="37" xfId="1" applyFont="1" applyBorder="1" applyAlignment="1">
      <alignment horizontal="center" vertical="center" textRotation="90" wrapText="1"/>
    </xf>
    <xf numFmtId="0" fontId="78" fillId="0" borderId="26" xfId="1" applyFont="1" applyBorder="1" applyAlignment="1">
      <alignment horizontal="center" vertical="center" wrapText="1"/>
    </xf>
    <xf numFmtId="0" fontId="78" fillId="0" borderId="27" xfId="1" applyFont="1" applyBorder="1" applyAlignment="1">
      <alignment horizontal="center" vertical="center" wrapText="1"/>
    </xf>
    <xf numFmtId="0" fontId="78" fillId="0" borderId="34" xfId="1" applyFont="1" applyBorder="1" applyAlignment="1">
      <alignment horizontal="center" vertical="center" wrapText="1"/>
    </xf>
    <xf numFmtId="0" fontId="78" fillId="0" borderId="35" xfId="1" applyFont="1" applyBorder="1" applyAlignment="1">
      <alignment horizontal="center" vertical="center" wrapText="1"/>
    </xf>
    <xf numFmtId="0" fontId="78" fillId="0" borderId="39" xfId="1" applyFont="1" applyBorder="1" applyAlignment="1">
      <alignment horizontal="center" vertical="center" wrapText="1"/>
    </xf>
    <xf numFmtId="0" fontId="78" fillId="0" borderId="40" xfId="1" applyFont="1" applyBorder="1" applyAlignment="1">
      <alignment horizontal="center" vertical="center" wrapText="1"/>
    </xf>
    <xf numFmtId="0" fontId="72" fillId="6" borderId="31" xfId="1" applyFont="1" applyFill="1" applyBorder="1" applyAlignment="1">
      <alignment horizontal="center" vertical="center" wrapText="1"/>
    </xf>
    <xf numFmtId="0" fontId="72" fillId="6" borderId="4" xfId="1" applyFont="1" applyFill="1" applyBorder="1" applyAlignment="1">
      <alignment horizontal="center" vertical="center" wrapText="1"/>
    </xf>
    <xf numFmtId="0" fontId="72" fillId="6" borderId="32" xfId="1" applyFont="1" applyFill="1" applyBorder="1" applyAlignment="1">
      <alignment horizontal="center" vertical="center" wrapText="1"/>
    </xf>
    <xf numFmtId="0" fontId="72" fillId="2" borderId="25" xfId="1" applyFont="1" applyFill="1" applyBorder="1" applyAlignment="1">
      <alignment horizontal="center" vertical="center" wrapText="1"/>
    </xf>
    <xf numFmtId="0" fontId="72" fillId="2" borderId="19" xfId="1" applyFont="1" applyFill="1" applyBorder="1" applyAlignment="1">
      <alignment horizontal="center" vertical="center" wrapText="1"/>
    </xf>
    <xf numFmtId="0" fontId="72" fillId="2" borderId="24" xfId="1" applyFont="1" applyFill="1" applyBorder="1" applyAlignment="1">
      <alignment horizontal="center" vertical="center" wrapText="1"/>
    </xf>
    <xf numFmtId="0" fontId="78" fillId="0" borderId="16" xfId="1" applyFont="1" applyBorder="1" applyAlignment="1">
      <alignment horizontal="center" vertical="center" wrapText="1"/>
    </xf>
    <xf numFmtId="0" fontId="78" fillId="0" borderId="29" xfId="1" applyFont="1" applyBorder="1" applyAlignment="1">
      <alignment horizontal="center" vertical="center" wrapText="1"/>
    </xf>
    <xf numFmtId="0" fontId="78" fillId="0" borderId="37" xfId="1" applyFont="1" applyBorder="1" applyAlignment="1">
      <alignment horizontal="center" vertical="center" wrapText="1"/>
    </xf>
    <xf numFmtId="0" fontId="72" fillId="0" borderId="21" xfId="1" applyFont="1" applyBorder="1" applyAlignment="1">
      <alignment horizontal="center" vertical="center" textRotation="90" wrapText="1"/>
    </xf>
    <xf numFmtId="0" fontId="72" fillId="0" borderId="12" xfId="1" applyFont="1" applyBorder="1" applyAlignment="1">
      <alignment horizontal="center" vertical="center" textRotation="90" wrapText="1"/>
    </xf>
    <xf numFmtId="0" fontId="72" fillId="0" borderId="22" xfId="1" applyFont="1" applyBorder="1" applyAlignment="1">
      <alignment horizontal="center" vertical="center" wrapText="1"/>
    </xf>
    <xf numFmtId="0" fontId="72" fillId="0" borderId="23" xfId="1" applyFont="1" applyBorder="1" applyAlignment="1">
      <alignment horizontal="center" vertical="center" wrapText="1"/>
    </xf>
    <xf numFmtId="0" fontId="72" fillId="0" borderId="2" xfId="1" applyFont="1" applyBorder="1" applyAlignment="1">
      <alignment horizontal="center" vertical="center" wrapText="1"/>
    </xf>
    <xf numFmtId="0" fontId="72" fillId="0" borderId="7" xfId="1" applyFont="1" applyBorder="1" applyAlignment="1">
      <alignment horizontal="center" vertical="center" wrapText="1"/>
    </xf>
    <xf numFmtId="0" fontId="72" fillId="0" borderId="15" xfId="1" applyFont="1" applyBorder="1" applyAlignment="1">
      <alignment horizontal="center" vertical="center" wrapText="1"/>
    </xf>
    <xf numFmtId="0" fontId="72" fillId="0" borderId="28" xfId="1" applyFont="1" applyBorder="1" applyAlignment="1">
      <alignment horizontal="center" vertical="center" wrapText="1"/>
    </xf>
    <xf numFmtId="0" fontId="72" fillId="0" borderId="16" xfId="1" applyFont="1" applyBorder="1" applyAlignment="1">
      <alignment horizontal="center" vertical="center" wrapText="1"/>
    </xf>
    <xf numFmtId="0" fontId="72" fillId="0" borderId="29" xfId="1" applyFont="1" applyBorder="1" applyAlignment="1">
      <alignment horizontal="center" vertical="center" wrapText="1"/>
    </xf>
    <xf numFmtId="0" fontId="72" fillId="0" borderId="37" xfId="1" applyFont="1" applyBorder="1" applyAlignment="1">
      <alignment horizontal="center" vertical="center" wrapText="1"/>
    </xf>
    <xf numFmtId="0" fontId="72" fillId="0" borderId="17" xfId="1" applyFont="1" applyBorder="1" applyAlignment="1">
      <alignment horizontal="center" vertical="center" textRotation="90" wrapText="1"/>
    </xf>
    <xf numFmtId="0" fontId="72" fillId="0" borderId="30" xfId="1" applyFont="1" applyBorder="1" applyAlignment="1">
      <alignment horizontal="center" vertical="center" textRotation="90" wrapText="1"/>
    </xf>
    <xf numFmtId="0" fontId="72" fillId="0" borderId="38" xfId="1" applyFont="1" applyBorder="1" applyAlignment="1">
      <alignment horizontal="center" vertical="center" textRotation="90" wrapText="1"/>
    </xf>
    <xf numFmtId="0" fontId="72" fillId="6" borderId="18" xfId="1" applyFont="1" applyFill="1" applyBorder="1" applyAlignment="1">
      <alignment horizontal="center" vertical="center" wrapText="1"/>
    </xf>
    <xf numFmtId="0" fontId="72" fillId="6" borderId="19" xfId="1" applyFont="1" applyFill="1" applyBorder="1" applyAlignment="1">
      <alignment horizontal="center" vertical="center" wrapText="1"/>
    </xf>
    <xf numFmtId="0" fontId="72" fillId="6" borderId="20" xfId="1" applyFont="1" applyFill="1" applyBorder="1" applyAlignment="1">
      <alignment horizontal="center" vertical="center" wrapText="1"/>
    </xf>
    <xf numFmtId="0" fontId="72" fillId="0" borderId="15" xfId="1" applyFont="1" applyBorder="1" applyAlignment="1">
      <alignment horizontal="center" vertical="center" textRotation="90" wrapText="1"/>
    </xf>
    <xf numFmtId="0" fontId="72" fillId="0" borderId="28" xfId="1" applyFont="1" applyBorder="1" applyAlignment="1">
      <alignment horizontal="center" vertical="center" textRotation="90" wrapText="1"/>
    </xf>
    <xf numFmtId="0" fontId="72" fillId="0" borderId="36" xfId="1" applyFont="1" applyBorder="1" applyAlignment="1">
      <alignment horizontal="center" vertical="center" textRotation="90" wrapText="1"/>
    </xf>
    <xf numFmtId="0" fontId="8" fillId="0" borderId="21" xfId="1" applyFont="1" applyBorder="1" applyAlignment="1">
      <alignment horizontal="center" vertical="center" textRotation="90" wrapText="1"/>
    </xf>
    <xf numFmtId="0" fontId="8" fillId="0" borderId="12" xfId="1" applyFont="1" applyBorder="1" applyAlignment="1">
      <alignment horizontal="center" vertical="center" textRotation="90" wrapText="1"/>
    </xf>
    <xf numFmtId="0" fontId="8" fillId="0" borderId="9" xfId="1" applyFont="1" applyBorder="1" applyAlignment="1">
      <alignment horizontal="center" vertical="center" textRotation="90" wrapText="1"/>
    </xf>
    <xf numFmtId="0" fontId="26" fillId="0" borderId="25"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24" xfId="1" applyFont="1" applyBorder="1" applyAlignment="1">
      <alignment horizontal="center" vertical="center" wrapText="1"/>
    </xf>
    <xf numFmtId="0" fontId="52" fillId="0" borderId="16" xfId="1" applyFont="1" applyBorder="1" applyAlignment="1">
      <alignment horizontal="center" vertical="center" textRotation="90" wrapText="1"/>
    </xf>
    <xf numFmtId="0" fontId="52" fillId="0" borderId="29" xfId="1" applyFont="1" applyBorder="1" applyAlignment="1">
      <alignment horizontal="center" vertical="center" textRotation="90" wrapText="1"/>
    </xf>
    <xf numFmtId="0" fontId="52" fillId="0" borderId="37" xfId="1" applyFont="1" applyBorder="1" applyAlignment="1">
      <alignment horizontal="center" vertical="center" textRotation="90" wrapText="1"/>
    </xf>
    <xf numFmtId="0" fontId="72" fillId="0" borderId="1" xfId="1" applyFont="1" applyBorder="1" applyAlignment="1">
      <alignment horizontal="center" vertical="center" wrapText="1"/>
    </xf>
    <xf numFmtId="0" fontId="72" fillId="0" borderId="1" xfId="1" applyFont="1" applyBorder="1" applyAlignment="1">
      <alignment horizontal="center" vertical="center" textRotation="90" wrapText="1"/>
    </xf>
    <xf numFmtId="0" fontId="78" fillId="0" borderId="1" xfId="1" applyFont="1" applyBorder="1" applyAlignment="1">
      <alignment horizontal="center" vertical="center" wrapText="1"/>
    </xf>
    <xf numFmtId="0" fontId="72" fillId="6" borderId="1" xfId="1" applyFont="1" applyFill="1" applyBorder="1" applyAlignment="1">
      <alignment horizontal="center" vertical="center" wrapText="1"/>
    </xf>
    <xf numFmtId="0" fontId="26" fillId="0" borderId="1" xfId="1" applyFont="1" applyBorder="1" applyAlignment="1">
      <alignment horizontal="center" vertical="center" wrapText="1"/>
    </xf>
    <xf numFmtId="0" fontId="52" fillId="0" borderId="1" xfId="1" applyFont="1" applyBorder="1" applyAlignment="1">
      <alignment horizontal="center" vertical="center" textRotation="90" wrapText="1"/>
    </xf>
    <xf numFmtId="0" fontId="8" fillId="0" borderId="1" xfId="1" applyFont="1" applyBorder="1" applyAlignment="1">
      <alignment horizontal="center" vertical="center" textRotation="90" wrapText="1"/>
    </xf>
    <xf numFmtId="0" fontId="69" fillId="0" borderId="0" xfId="1" applyFont="1" applyAlignment="1">
      <alignment horizontal="center" vertical="center" wrapText="1"/>
    </xf>
    <xf numFmtId="0" fontId="118" fillId="0" borderId="0" xfId="0" applyFont="1"/>
    <xf numFmtId="49" fontId="63" fillId="0" borderId="3" xfId="0" applyNumberFormat="1" applyFont="1" applyBorder="1" applyAlignment="1">
      <alignment horizontal="left"/>
    </xf>
    <xf numFmtId="49" fontId="63" fillId="0" borderId="4" xfId="0" applyNumberFormat="1" applyFont="1" applyBorder="1" applyAlignment="1">
      <alignment horizontal="left"/>
    </xf>
    <xf numFmtId="49" fontId="63" fillId="0" borderId="5" xfId="0" applyNumberFormat="1" applyFont="1" applyBorder="1" applyAlignment="1">
      <alignment horizontal="left"/>
    </xf>
    <xf numFmtId="0" fontId="65" fillId="0" borderId="3" xfId="0" applyFont="1" applyBorder="1" applyAlignment="1">
      <alignment horizontal="left" wrapText="1"/>
    </xf>
    <xf numFmtId="0" fontId="65" fillId="0" borderId="4" xfId="0" applyFont="1" applyBorder="1" applyAlignment="1">
      <alignment horizontal="left" wrapText="1"/>
    </xf>
    <xf numFmtId="0" fontId="65" fillId="0" borderId="5" xfId="0" applyFont="1" applyBorder="1" applyAlignment="1">
      <alignment horizontal="left" wrapText="1"/>
    </xf>
    <xf numFmtId="49" fontId="93" fillId="0" borderId="3" xfId="0" applyNumberFormat="1" applyFont="1" applyBorder="1" applyAlignment="1">
      <alignment horizontal="left" wrapText="1"/>
    </xf>
    <xf numFmtId="49" fontId="93" fillId="0" borderId="4" xfId="0" applyNumberFormat="1" applyFont="1" applyBorder="1" applyAlignment="1">
      <alignment horizontal="left" wrapText="1"/>
    </xf>
    <xf numFmtId="49" fontId="93" fillId="0" borderId="5" xfId="0" applyNumberFormat="1" applyFont="1" applyBorder="1" applyAlignment="1">
      <alignment horizontal="left" wrapText="1"/>
    </xf>
    <xf numFmtId="49" fontId="166" fillId="0" borderId="3" xfId="0" applyNumberFormat="1" applyFont="1" applyBorder="1" applyAlignment="1">
      <alignment horizontal="left"/>
    </xf>
    <xf numFmtId="49" fontId="166" fillId="0" borderId="4" xfId="0" applyNumberFormat="1" applyFont="1" applyBorder="1" applyAlignment="1">
      <alignment horizontal="left"/>
    </xf>
    <xf numFmtId="49" fontId="166" fillId="0" borderId="5" xfId="0" applyNumberFormat="1" applyFont="1" applyBorder="1" applyAlignment="1">
      <alignment horizontal="left"/>
    </xf>
    <xf numFmtId="2" fontId="165" fillId="0" borderId="0" xfId="0" applyNumberFormat="1" applyFont="1" applyAlignment="1">
      <alignment horizontal="center"/>
    </xf>
    <xf numFmtId="0" fontId="166" fillId="0" borderId="0" xfId="0" applyFont="1" applyAlignment="1">
      <alignment horizontal="center"/>
    </xf>
    <xf numFmtId="2" fontId="166" fillId="0" borderId="0" xfId="0" applyNumberFormat="1" applyFont="1" applyAlignment="1">
      <alignment horizontal="center"/>
    </xf>
    <xf numFmtId="0" fontId="65" fillId="0" borderId="3" xfId="0" applyFont="1" applyBorder="1" applyAlignment="1">
      <alignment horizontal="center" wrapText="1"/>
    </xf>
    <xf numFmtId="0" fontId="65" fillId="0" borderId="4" xfId="0" applyFont="1" applyBorder="1" applyAlignment="1">
      <alignment horizontal="center" wrapText="1"/>
    </xf>
    <xf numFmtId="0" fontId="65" fillId="0" borderId="5" xfId="0" applyFont="1" applyBorder="1" applyAlignment="1">
      <alignment horizontal="center" wrapText="1"/>
    </xf>
    <xf numFmtId="164" fontId="172" fillId="0" borderId="0" xfId="0" applyNumberFormat="1" applyFont="1" applyAlignment="1">
      <alignment horizontal="center"/>
    </xf>
    <xf numFmtId="16" fontId="63" fillId="0" borderId="0" xfId="0" applyNumberFormat="1" applyFont="1" applyAlignment="1">
      <alignment horizontal="left" wrapText="1"/>
    </xf>
    <xf numFmtId="0" fontId="42" fillId="0" borderId="3" xfId="0" applyFont="1" applyBorder="1" applyAlignment="1">
      <alignment horizontal="left" wrapText="1"/>
    </xf>
    <xf numFmtId="0" fontId="42" fillId="0" borderId="4" xfId="0" applyFont="1" applyBorder="1" applyAlignment="1">
      <alignment horizontal="left" wrapText="1"/>
    </xf>
    <xf numFmtId="0" fontId="42" fillId="0" borderId="5" xfId="0" applyFont="1" applyBorder="1" applyAlignment="1">
      <alignment horizontal="left" wrapText="1"/>
    </xf>
    <xf numFmtId="0" fontId="172" fillId="0" borderId="3" xfId="0" applyFont="1" applyBorder="1" applyAlignment="1">
      <alignment horizontal="center" wrapText="1"/>
    </xf>
    <xf numFmtId="0" fontId="172" fillId="0" borderId="5" xfId="0" applyFont="1" applyBorder="1" applyAlignment="1">
      <alignment horizontal="center" wrapText="1"/>
    </xf>
    <xf numFmtId="0" fontId="63" fillId="0" borderId="0" xfId="0" applyFont="1" applyAlignment="1">
      <alignment horizontal="left" wrapText="1"/>
    </xf>
    <xf numFmtId="0" fontId="177" fillId="0" borderId="0" xfId="0" applyFont="1" applyAlignment="1">
      <alignment horizontal="left" wrapText="1"/>
    </xf>
    <xf numFmtId="0" fontId="177" fillId="0" borderId="0" xfId="0" applyFont="1" applyAlignment="1">
      <alignment horizontal="left"/>
    </xf>
    <xf numFmtId="0" fontId="93" fillId="0" borderId="0" xfId="0" applyFont="1" applyAlignment="1">
      <alignment horizontal="left"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 xfId="0" applyFont="1" applyBorder="1" applyAlignment="1">
      <alignment horizontal="center" vertical="center" wrapText="1"/>
    </xf>
    <xf numFmtId="0" fontId="174" fillId="0" borderId="3" xfId="0" applyFont="1" applyBorder="1" applyAlignment="1">
      <alignment horizontal="left" wrapText="1"/>
    </xf>
    <xf numFmtId="0" fontId="174" fillId="0" borderId="5" xfId="0" applyFont="1" applyBorder="1" applyAlignment="1">
      <alignment horizontal="left" wrapText="1"/>
    </xf>
    <xf numFmtId="0" fontId="172" fillId="0" borderId="4" xfId="0" applyFont="1" applyBorder="1" applyAlignment="1">
      <alignment horizontal="center" wrapText="1"/>
    </xf>
    <xf numFmtId="0" fontId="166" fillId="0" borderId="0" xfId="0" applyFont="1" applyAlignment="1">
      <alignment horizontal="left" wrapText="1"/>
    </xf>
    <xf numFmtId="0" fontId="22" fillId="0" borderId="0" xfId="0" applyFont="1" applyAlignment="1">
      <alignment horizontal="left"/>
    </xf>
    <xf numFmtId="0" fontId="45" fillId="0" borderId="8" xfId="0" applyFont="1" applyBorder="1" applyAlignment="1">
      <alignment horizontal="center" vertical="center" textRotation="90" wrapText="1"/>
    </xf>
    <xf numFmtId="0" fontId="45" fillId="0" borderId="9" xfId="0" applyFont="1" applyBorder="1" applyAlignment="1">
      <alignment horizontal="center" vertical="center" textRotation="90" wrapText="1"/>
    </xf>
    <xf numFmtId="0" fontId="10" fillId="0" borderId="6" xfId="0" applyFont="1" applyBorder="1" applyAlignment="1">
      <alignment horizontal="center" vertical="center"/>
    </xf>
    <xf numFmtId="0" fontId="69" fillId="0" borderId="0" xfId="0" applyFont="1" applyAlignment="1">
      <alignment horizontal="center" vertical="center" wrapText="1"/>
    </xf>
    <xf numFmtId="0" fontId="51" fillId="0" borderId="0" xfId="0" applyFont="1" applyAlignment="1">
      <alignment horizontal="center" vertical="center" wrapText="1"/>
    </xf>
  </cellXfs>
  <cellStyles count="5">
    <cellStyle name="Excel Built-in Normal" xfId="3" xr:uid="{00000000-0005-0000-0000-000000000000}"/>
    <cellStyle name="Звичайний" xfId="0" builtinId="0"/>
    <cellStyle name="Обычный 2" xfId="4" xr:uid="{00000000-0005-0000-0000-000002000000}"/>
    <cellStyle name="Обычный 5" xfId="1" xr:uid="{00000000-0005-0000-0000-000003000000}"/>
    <cellStyle name="Обычный_Лист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5</xdr:col>
      <xdr:colOff>20484</xdr:colOff>
      <xdr:row>38</xdr:row>
      <xdr:rowOff>10243</xdr:rowOff>
    </xdr:from>
    <xdr:to>
      <xdr:col>7</xdr:col>
      <xdr:colOff>1421721</xdr:colOff>
      <xdr:row>39</xdr:row>
      <xdr:rowOff>163871</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5344959" y="7611193"/>
          <a:ext cx="2953812" cy="71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twoCellAnchor>
    <xdr:from>
      <xdr:col>5</xdr:col>
      <xdr:colOff>20484</xdr:colOff>
      <xdr:row>38</xdr:row>
      <xdr:rowOff>10243</xdr:rowOff>
    </xdr:from>
    <xdr:to>
      <xdr:col>7</xdr:col>
      <xdr:colOff>1421721</xdr:colOff>
      <xdr:row>39</xdr:row>
      <xdr:rowOff>163871</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5344959" y="7611193"/>
          <a:ext cx="2953812" cy="71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38</xdr:row>
      <xdr:rowOff>11076</xdr:rowOff>
    </xdr:from>
    <xdr:to>
      <xdr:col>7</xdr:col>
      <xdr:colOff>1406598</xdr:colOff>
      <xdr:row>38</xdr:row>
      <xdr:rowOff>631309</xdr:rowOff>
    </xdr:to>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5324476" y="7612026"/>
          <a:ext cx="295917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twoCellAnchor>
    <xdr:from>
      <xdr:col>5</xdr:col>
      <xdr:colOff>1</xdr:colOff>
      <xdr:row>38</xdr:row>
      <xdr:rowOff>11076</xdr:rowOff>
    </xdr:from>
    <xdr:to>
      <xdr:col>7</xdr:col>
      <xdr:colOff>1406598</xdr:colOff>
      <xdr:row>38</xdr:row>
      <xdr:rowOff>631309</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5324476" y="7612026"/>
          <a:ext cx="295917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57151</xdr:colOff>
      <xdr:row>38</xdr:row>
      <xdr:rowOff>11076</xdr:rowOff>
    </xdr:from>
    <xdr:to>
      <xdr:col>7</xdr:col>
      <xdr:colOff>1406598</xdr:colOff>
      <xdr:row>39</xdr:row>
      <xdr:rowOff>2659</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5381626" y="7612026"/>
          <a:ext cx="290202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lnSpc>
              <a:spcPts val="900"/>
            </a:lnSpc>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twoCellAnchor>
    <xdr:from>
      <xdr:col>5</xdr:col>
      <xdr:colOff>57151</xdr:colOff>
      <xdr:row>38</xdr:row>
      <xdr:rowOff>11076</xdr:rowOff>
    </xdr:from>
    <xdr:to>
      <xdr:col>7</xdr:col>
      <xdr:colOff>1406598</xdr:colOff>
      <xdr:row>39</xdr:row>
      <xdr:rowOff>2659</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5381626" y="7612026"/>
          <a:ext cx="2902022" cy="5535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lnSpc>
              <a:spcPts val="900"/>
            </a:lnSpc>
            <a:defRPr sz="1000"/>
          </a:pPr>
          <a:r>
            <a:rPr lang="uk-UA" sz="900" b="0" i="0" u="none" strike="noStrike" baseline="0">
              <a:solidFill>
                <a:srgbClr val="000000"/>
              </a:solidFill>
              <a:latin typeface="Times New Roman"/>
              <a:cs typeface="Times New Roman"/>
            </a:rPr>
            <a:t>Згідно додатку 2 до рішення Южненської міської ради від 25.02.2021 року № 203-</a:t>
          </a:r>
          <a:r>
            <a:rPr lang="en-US" sz="900" b="0" i="0" u="none" strike="noStrike" baseline="0">
              <a:solidFill>
                <a:srgbClr val="000000"/>
              </a:solidFill>
              <a:latin typeface="Times New Roman"/>
              <a:cs typeface="Times New Roman"/>
            </a:rPr>
            <a:t>VIII "</a:t>
          </a:r>
          <a:r>
            <a:rPr lang="uk-UA" sz="900" b="0" i="0" u="none" strike="noStrike" baseline="0">
              <a:solidFill>
                <a:srgbClr val="000000"/>
              </a:solidFill>
              <a:latin typeface="Times New Roman"/>
              <a:cs typeface="Times New Roman"/>
            </a:rPr>
            <a:t>Про встановлення порядку оплати праці керівників комунальних підприємств Южненської міської територіальної громади" зі змінами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96;&#1090;&#1072;&#1090;&#1099;/2014-2019/&#1064;&#1090;.&#1088;.%202015-2019/&#1064;&#1090;.%20&#1088;.%202025%203028%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96;&#1090;&#1072;&#1090;&#1099;/2014-2019/&#1064;&#1090;.&#1088;.%202015-2019/&#1064;&#1090;.%20&#1088;.%202024%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1060;&#1054;&#10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1069;&#1082;&#1086;&#1085;&#1086;&#1084;&#1080;&#1089;&#1090;/&#1052;&#1086;&#1080;%20&#1076;&#1086;&#1082;&#1091;&#1084;&#1077;&#1085;&#1090;&#1099;/&#1055;&#1072;&#1087;&#1082;&#1072;%20&#1101;&#1082;&#1086;&#1085;&#1086;&#1084;&#1080;&#1089;&#1090;&#1086;&#1074;/&#1060;&#1080;&#1085;&#1087;&#1083;&#1072;&#1085;/2014/2014%20&#1079;&#1073;&#1080;&#1090;&#1082;%20500/&#1060;&#1054;&#1058;%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1056;&#1086;&#1079;&#1088;&#1072;&#1093;&#1091;&#1085;&#1086;&#1082;%20&#1060;&#1055;%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4/&#1057;&#1090;&#1072;&#1090;&#1090;&#1110;%20&#1074;&#1080;&#1090;&#1088;&#1072;&#1090;%20&#1079;&#1075;&#1110;&#1076;&#1085;&#1086;%20&#1050;&#1090;&#1056;%20&#1093;&#1074;%202024%20%2018,08,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5/&#1057;&#1090;&#1072;&#1090;&#1090;&#1110;%20&#1074;&#1080;&#1090;&#1088;&#1072;&#1090;%20&#1079;&#1075;&#1110;&#1076;&#1085;&#1086;%20&#1050;&#1090;&#1056;%20&#1093;&#1074;%202025%20%2024,07,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40;&#1085;&#1072;&#1083;&#1080;&#1079;%20&#1088;&#1072;&#1073;&#1086;&#1090;&#1099;/c&#1090;&#1088;&#1091;&#1082;&#1090;&#1091;&#1088;&#1072;%20&#1090;&#1072;&#1088;&#1080;&#1092;&#1072;%202023%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54;&#1073;&#1089;&#1103;&#1075;&#1080;/&#1047;&#1074;&#1110;&#1090;&#1080;%20&#1074;&#1086;&#1076;&#1072;%202023/&#1030;&#1085;&#1092;&#1086;&#1088;&#1084;&#1072;&#1094;i&#1103;%20&#1079;&#1072;%20&#1089;&#1110;&#1095;&#1077;&#1085;&#1100;%20&#1075;&#1088;&#1091;&#1076;&#1077;&#1085;&#1100;%20%202023%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5;&#1040;&#1055;&#1050;&#1040;%20&#1045;&#1050;&#1054;&#1053;&#1054;&#1052;&#1048;&#1057;&#1058;&#1054;&#1042;/&#1040;&#1085;&#1072;&#1083;&#1080;&#1079;%20&#1088;&#1072;&#1073;&#1086;&#1090;&#1099;/c&#1090;&#1088;&#1091;&#1082;&#1090;&#1091;&#1088;&#1072;%20&#1090;&#1072;&#1088;&#1080;&#1092;&#1072;%202020%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ownloads/&#1056;&#1086;&#1079;&#1088;&#1072;&#1093;&#1091;&#1085;&#1086;&#1082;%20&#1060;&#105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44;&#1086;&#1093;&#1086;&#1076;&#1080;%20&#1074;&#1080;&#1090;&#1088;&#1072;&#1090;&#1080;/&#1044;&#1086;&#1093;&#1086;&#1076;&#1080;%20&#1074;&#1080;&#1090;&#1088;&#1072;&#1090;&#1080;%202023/1%20&#1044;&#1054;&#1061;&#1054;&#1044;&#104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44;&#1086;&#1093;&#1086;&#1076;&#1080;%20&#1074;&#1080;&#1090;&#1088;&#1072;&#1090;&#1080;/&#1044;&#1086;&#1093;&#1086;&#1076;&#1080;%20&#1074;&#1080;&#1090;&#1088;&#1072;&#1090;&#1080;%202021/1%20&#1044;&#1054;&#1061;&#1054;&#1044;&#1048;%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44;&#1086;&#1093;&#1086;&#1076;&#1080;%20&#1074;&#1080;&#1090;&#1088;&#1072;&#1090;&#1080;/&#1044;&#1086;&#1093;&#1086;&#1076;&#1080;%20&#1074;&#1080;&#1090;&#1088;&#1072;&#1090;&#1080;%202022/1%20&#1044;&#1054;&#1061;&#1054;&#1044;&#1048;%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4%2024,06,21/&#1057;&#1090;&#1072;&#1090;&#1090;&#1110;%20&#1074;&#1080;&#1090;&#1088;&#1072;&#1090;%20&#1079;&#1075;&#1110;&#1076;&#1085;&#1086;%20&#1050;&#1090;&#1056;%20&#1093;&#1074;%202024%20%2024,06,25%20&#1087;&#1086;&#1076;&#1072;&#1085;&#108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1069;&#1082;&#1086;&#1085;&#1086;&#1084;&#1080;&#1089;&#1090;/&#1052;&#1086;&#1080;%20&#1076;&#1086;&#1082;&#1091;&#1084;&#1077;&#1085;&#1090;&#1099;/&#1110;&#1085;&#1074;&#1077;&#1089;&#1090;%20&#1087;&#1088;&#1086;&#1075;&#1088;/&#1090;&#1072;&#1088;&#1080;&#1092;/&#1056;&#1077;&#1082;&#1086;&#1084;&#1077;&#1085;&#1076;&#1072;&#1094;&#1080;&#1080;%202014%20&#1084;.%20&#1070;&#1078;&#1085;&#1077;%207/&#1058;&#1040;&#1041;&#1051;&#1048;&#1062;&#1071;%20&#1042;&#1048;&#1058;&#1056;&#1040;&#1058;%20&#1054;&#1057;&#1058;%20&#1055;&#1056;&#1048;&#1049;&#1053;&#1071;&#1058;&#104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3/&#1057;&#1090;&#1072;&#1090;&#1090;&#1110;%20&#1074;&#1080;&#1090;&#1088;&#1072;&#1090;%20&#1079;&#1075;&#1110;&#1076;&#1085;&#1086;%20&#1050;&#1090;&#1056;%20&#1093;&#1074;%202023%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3/&#1057;&#1090;&#1072;&#1090;&#1090;&#1110;%20&#1074;&#1080;&#1090;&#1088;&#1072;&#1090;%20&#1079;&#1075;&#1110;&#1076;&#1085;&#1086;%20&#1050;&#1090;&#1056;%20&#1093;&#1074;%202023%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110;&#1085;&#1074;&#1077;&#1089;&#1090;%20&#1087;&#1088;&#1086;&#1075;&#1088;/&#1090;&#1072;&#1088;&#1080;&#1092;/&#1090;&#1072;&#1088;&#1080;&#1092;%202022/&#1057;&#1090;&#1072;&#1090;&#1090;&#1110;%20&#1074;&#1080;&#1090;&#1088;&#1072;&#1090;%20&#1079;&#1075;&#1110;&#1076;&#1085;&#1086;%20&#1050;&#1090;&#1056;%20&#1093;&#1074;%202022%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1;&#1048;&#1042;&#1053;&#1045;&#1042;&#1050;&#1040;%20&#1073;&#1102;&#1076;&#1078;&#1077;&#1090;/2025%20%203028/3_&#1051;&#1080;&#1074;&#1085;&#1077;&#1074;&#1082;&#1072;_&#1056;&#1086;&#1079;&#1088;&#1072;&#1093;&#1091;&#1085;&#1086;&#1082;%202025%2024.09.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Downloads/&#1052;&#1086;&#1080;%20&#1076;&#1086;&#1082;&#1091;&#1084;&#1077;&#1085;&#1090;&#1099;%20&#1074;&#1086;&#1076;&#1086;&#1082;&#1072;&#1085;&#1072;&#1083;/&#1051;&#1048;&#1042;&#1053;&#1045;&#1042;&#1050;&#1040;%20&#1073;&#1102;&#1076;&#1078;&#1077;&#1090;/2025%20%203028/3_&#1051;&#1080;&#1074;&#1085;&#1077;&#1074;&#1082;&#1072;_&#1056;&#1086;&#1079;&#1088;&#1072;&#1093;&#1091;&#1085;&#1086;&#1082;%202025%2024.09.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ічн"/>
      <sheetName val="12,24"/>
      <sheetName val="11,25"/>
      <sheetName val="10,25"/>
      <sheetName val="07,24"/>
      <sheetName val="05,22"/>
      <sheetName val="04,25"/>
      <sheetName val="1,25"/>
      <sheetName val="Лист1"/>
      <sheetName val="до тарифу"/>
    </sheetNames>
    <sheetDataSet>
      <sheetData sheetId="0" refreshError="1"/>
      <sheetData sheetId="1" refreshError="1"/>
      <sheetData sheetId="2">
        <row r="108">
          <cell r="K108">
            <v>1395685.5</v>
          </cell>
        </row>
      </sheetData>
      <sheetData sheetId="3" refreshError="1"/>
      <sheetData sheetId="4" refreshError="1"/>
      <sheetData sheetId="5" refreshError="1"/>
      <sheetData sheetId="6" refreshError="1"/>
      <sheetData sheetId="7">
        <row r="108">
          <cell r="J108">
            <v>88.5</v>
          </cell>
          <cell r="K108">
            <v>1395685.5</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ічн"/>
      <sheetName val="12,24"/>
      <sheetName val="11,24"/>
      <sheetName val="07,24"/>
      <sheetName val="05,22"/>
      <sheetName val="04,24"/>
      <sheetName val="1,24"/>
      <sheetName val="Лист1"/>
      <sheetName val="до тарифу"/>
    </sheetNames>
    <sheetDataSet>
      <sheetData sheetId="0"/>
      <sheetData sheetId="1"/>
      <sheetData sheetId="2"/>
      <sheetData sheetId="3"/>
      <sheetData sheetId="4"/>
      <sheetData sheetId="5"/>
      <sheetData sheetId="6">
        <row r="109">
          <cell r="J109">
            <v>88.5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кл"/>
      <sheetName val="тар"/>
      <sheetName val="ночн.празд"/>
      <sheetName val="ФОТ"/>
      <sheetName val="Лист3"/>
      <sheetName val="Лист4"/>
      <sheetName val="Лист1"/>
      <sheetName val="без ливн"/>
      <sheetName val="Лист2"/>
    </sheetNames>
    <sheetDataSet>
      <sheetData sheetId="0"/>
      <sheetData sheetId="1">
        <row r="5">
          <cell r="B5">
            <v>3028</v>
          </cell>
          <cell r="G5">
            <v>165</v>
          </cell>
        </row>
        <row r="8">
          <cell r="K8">
            <v>477</v>
          </cell>
        </row>
        <row r="11">
          <cell r="K11">
            <v>686</v>
          </cell>
        </row>
        <row r="16">
          <cell r="K16">
            <v>174</v>
          </cell>
        </row>
        <row r="25">
          <cell r="B25">
            <v>3028</v>
          </cell>
        </row>
        <row r="45">
          <cell r="B45">
            <v>3028</v>
          </cell>
        </row>
      </sheetData>
      <sheetData sheetId="2">
        <row r="3">
          <cell r="B3">
            <v>1087.3636363636363</v>
          </cell>
          <cell r="C3">
            <v>3126.170454545454</v>
          </cell>
          <cell r="D3">
            <v>1685.4136363636362</v>
          </cell>
          <cell r="E3">
            <v>5898.9477272727254</v>
          </cell>
          <cell r="J3">
            <v>1452.6363636363637</v>
          </cell>
          <cell r="K3">
            <v>4176.329545454546</v>
          </cell>
          <cell r="L3">
            <v>2251.5863636363642</v>
          </cell>
          <cell r="M3">
            <v>7880.5522727272737</v>
          </cell>
          <cell r="N3">
            <v>2174.7272727272725</v>
          </cell>
          <cell r="O3">
            <v>6252.3409090909081</v>
          </cell>
          <cell r="P3">
            <v>3370.8272727272724</v>
          </cell>
          <cell r="Q3">
            <v>11797.895454545451</v>
          </cell>
          <cell r="R3">
            <v>2487.818181818182</v>
          </cell>
          <cell r="S3">
            <v>3576.2386363636365</v>
          </cell>
          <cell r="T3">
            <v>3856.1181818181826</v>
          </cell>
          <cell r="U3">
            <v>13496.413636363637</v>
          </cell>
        </row>
        <row r="4">
          <cell r="B4">
            <v>598.04999999999995</v>
          </cell>
          <cell r="C4">
            <v>0</v>
          </cell>
          <cell r="D4">
            <v>1674.54</v>
          </cell>
          <cell r="E4">
            <v>5860.8899999999985</v>
          </cell>
          <cell r="J4">
            <v>798.95</v>
          </cell>
          <cell r="K4">
            <v>0</v>
          </cell>
          <cell r="L4">
            <v>2237.0600000000004</v>
          </cell>
          <cell r="M4">
            <v>7829.71</v>
          </cell>
          <cell r="N4">
            <v>1196.0999999999999</v>
          </cell>
          <cell r="O4">
            <v>0</v>
          </cell>
          <cell r="P4">
            <v>3349.08</v>
          </cell>
          <cell r="Q4">
            <v>11721.779999999997</v>
          </cell>
          <cell r="R4">
            <v>1368.3</v>
          </cell>
          <cell r="S4">
            <v>0</v>
          </cell>
          <cell r="T4">
            <v>3831.2400000000002</v>
          </cell>
          <cell r="U4">
            <v>13409.34</v>
          </cell>
        </row>
        <row r="5">
          <cell r="B5">
            <v>8876.7169811320764</v>
          </cell>
          <cell r="C5">
            <v>3460.415094339623</v>
          </cell>
          <cell r="D5">
            <v>1865.6150943396228</v>
          </cell>
          <cell r="E5">
            <v>6529.6528301886792</v>
          </cell>
          <cell r="J5">
            <v>11858.628930817611</v>
          </cell>
          <cell r="K5">
            <v>4622.8553459119503</v>
          </cell>
          <cell r="L5">
            <v>2492.3220125786165</v>
          </cell>
          <cell r="M5">
            <v>8723.1270440251574</v>
          </cell>
          <cell r="N5">
            <v>17753.433962264153</v>
          </cell>
          <cell r="O5">
            <v>6920.830188679246</v>
          </cell>
          <cell r="P5">
            <v>3731.2301886792457</v>
          </cell>
          <cell r="Q5">
            <v>13059.305660377358</v>
          </cell>
          <cell r="R5">
            <v>20309.358490566039</v>
          </cell>
          <cell r="S5">
            <v>3958.6037735849059</v>
          </cell>
          <cell r="T5">
            <v>4268.4075471698116</v>
          </cell>
          <cell r="U5">
            <v>14939.42641509434</v>
          </cell>
        </row>
        <row r="6">
          <cell r="B6">
            <v>3724.3832335329339</v>
          </cell>
          <cell r="C6">
            <v>3294.646706586826</v>
          </cell>
          <cell r="D6">
            <v>1718.946107784431</v>
          </cell>
          <cell r="E6">
            <v>6016.3113772455081</v>
          </cell>
          <cell r="J6">
            <v>4975.4970059880243</v>
          </cell>
          <cell r="K6">
            <v>4401.4011976047905</v>
          </cell>
          <cell r="L6">
            <v>2296.3832335329344</v>
          </cell>
          <cell r="M6">
            <v>8037.3413173652689</v>
          </cell>
          <cell r="N6">
            <v>7448.7664670658678</v>
          </cell>
          <cell r="O6">
            <v>6589.293413173652</v>
          </cell>
          <cell r="P6">
            <v>3437.892215568862</v>
          </cell>
          <cell r="Q6">
            <v>12032.622754491016</v>
          </cell>
          <cell r="R6">
            <v>8521.1497005988022</v>
          </cell>
          <cell r="S6">
            <v>3768.9700598802397</v>
          </cell>
          <cell r="T6">
            <v>3932.8383233532936</v>
          </cell>
          <cell r="U6">
            <v>13764.934131736527</v>
          </cell>
        </row>
        <row r="7">
          <cell r="B7">
            <v>6619.9245283018872</v>
          </cell>
          <cell r="C7">
            <v>6920.830188679246</v>
          </cell>
          <cell r="D7">
            <v>1865.6150943396228</v>
          </cell>
          <cell r="E7">
            <v>6529.6528301886792</v>
          </cell>
          <cell r="J7">
            <v>8843.7232704402522</v>
          </cell>
          <cell r="K7">
            <v>9245.7106918239006</v>
          </cell>
          <cell r="L7">
            <v>2492.3220125786165</v>
          </cell>
          <cell r="M7">
            <v>8723.1270440251574</v>
          </cell>
          <cell r="N7">
            <v>13239.849056603774</v>
          </cell>
          <cell r="O7">
            <v>13841.660377358492</v>
          </cell>
          <cell r="P7">
            <v>3731.2301886792457</v>
          </cell>
          <cell r="Q7">
            <v>13059.305660377358</v>
          </cell>
          <cell r="R7">
            <v>15145.962264150945</v>
          </cell>
          <cell r="S7">
            <v>7917.2075471698117</v>
          </cell>
          <cell r="T7">
            <v>4268.4075471698116</v>
          </cell>
          <cell r="U7">
            <v>14939.42641509434</v>
          </cell>
        </row>
        <row r="8">
          <cell r="B8">
            <v>9188.5827814569529</v>
          </cell>
          <cell r="C8">
            <v>7287.4966887417213</v>
          </cell>
          <cell r="D8">
            <v>1901.0860927152316</v>
          </cell>
          <cell r="E8">
            <v>6653.8013245033108</v>
          </cell>
          <cell r="J8">
            <v>12275.258278145697</v>
          </cell>
          <cell r="K8">
            <v>9735.5496688741732</v>
          </cell>
          <cell r="L8">
            <v>2539.7086092715235</v>
          </cell>
          <cell r="M8">
            <v>8888.9801324503296</v>
          </cell>
          <cell r="N8">
            <v>18377.165562913906</v>
          </cell>
          <cell r="O8">
            <v>14574.993377483443</v>
          </cell>
          <cell r="P8">
            <v>3802.1721854304633</v>
          </cell>
          <cell r="Q8">
            <v>13307.602649006622</v>
          </cell>
          <cell r="R8">
            <v>21022.887417218542</v>
          </cell>
          <cell r="S8">
            <v>8336.662251655629</v>
          </cell>
          <cell r="T8">
            <v>4349.5629139072844</v>
          </cell>
          <cell r="U8">
            <v>15223.470198675494</v>
          </cell>
        </row>
        <row r="9">
          <cell r="B9">
            <v>1366.9714285714285</v>
          </cell>
          <cell r="C9">
            <v>3144.0342857142859</v>
          </cell>
          <cell r="D9">
            <v>1695.0445714285715</v>
          </cell>
          <cell r="E9">
            <v>5932.655999999999</v>
          </cell>
          <cell r="J9">
            <v>1826.1714285714286</v>
          </cell>
          <cell r="K9">
            <v>4200.1942857142858</v>
          </cell>
          <cell r="L9">
            <v>2264.4525714285714</v>
          </cell>
          <cell r="M9">
            <v>7925.5839999999998</v>
          </cell>
          <cell r="N9">
            <v>2733.9428571428571</v>
          </cell>
          <cell r="O9">
            <v>6288.0685714285719</v>
          </cell>
          <cell r="P9">
            <v>3390.0891428571431</v>
          </cell>
          <cell r="Q9">
            <v>11865.311999999998</v>
          </cell>
          <cell r="R9">
            <v>3127.542857142857</v>
          </cell>
          <cell r="S9">
            <v>3596.6742857142854</v>
          </cell>
          <cell r="T9">
            <v>3878.1531428571429</v>
          </cell>
          <cell r="U9">
            <v>13573.535999999998</v>
          </cell>
        </row>
        <row r="10">
          <cell r="B10">
            <v>8372.6999999999989</v>
          </cell>
          <cell r="C10">
            <v>3438.7874999999999</v>
          </cell>
          <cell r="D10">
            <v>1853.9549999999999</v>
          </cell>
          <cell r="E10">
            <v>6488.8424999999997</v>
          </cell>
          <cell r="J10">
            <v>11185.300000000001</v>
          </cell>
          <cell r="K10">
            <v>4593.9625000000005</v>
          </cell>
          <cell r="L10">
            <v>2476.7450000000003</v>
          </cell>
          <cell r="M10">
            <v>8668.6075000000001</v>
          </cell>
          <cell r="N10">
            <v>16745.399999999998</v>
          </cell>
          <cell r="O10">
            <v>6877.5749999999998</v>
          </cell>
          <cell r="P10">
            <v>3707.91</v>
          </cell>
          <cell r="Q10">
            <v>12977.684999999999</v>
          </cell>
          <cell r="R10">
            <v>19156.2</v>
          </cell>
          <cell r="S10">
            <v>3933.8624999999997</v>
          </cell>
          <cell r="T10">
            <v>4241.7299999999996</v>
          </cell>
          <cell r="U10">
            <v>14846.054999999997</v>
          </cell>
        </row>
        <row r="11">
          <cell r="B11">
            <v>1366.9714285714285</v>
          </cell>
          <cell r="C11">
            <v>0</v>
          </cell>
          <cell r="D11">
            <v>1640.3657142857146</v>
          </cell>
          <cell r="E11">
            <v>5741.28</v>
          </cell>
          <cell r="J11">
            <v>1826.1714285714286</v>
          </cell>
          <cell r="K11">
            <v>0</v>
          </cell>
          <cell r="L11">
            <v>2191.4057142857141</v>
          </cell>
          <cell r="M11">
            <v>7669.9199999999992</v>
          </cell>
          <cell r="N11">
            <v>2733.9428571428571</v>
          </cell>
          <cell r="O11">
            <v>0</v>
          </cell>
          <cell r="P11">
            <v>3280.7314285714292</v>
          </cell>
          <cell r="Q11">
            <v>11482.56</v>
          </cell>
          <cell r="R11">
            <v>3127.542857142857</v>
          </cell>
          <cell r="S11">
            <v>0</v>
          </cell>
          <cell r="T11">
            <v>3753.0514285714289</v>
          </cell>
          <cell r="U11">
            <v>13135.679999999998</v>
          </cell>
        </row>
        <row r="12">
          <cell r="B12">
            <v>1087.3636363636363</v>
          </cell>
          <cell r="C12">
            <v>3126.170454545454</v>
          </cell>
          <cell r="D12">
            <v>1685.4136363636362</v>
          </cell>
          <cell r="E12">
            <v>5898.9477272727254</v>
          </cell>
          <cell r="J12">
            <v>1452.6363636363637</v>
          </cell>
          <cell r="K12">
            <v>4176.329545454546</v>
          </cell>
          <cell r="L12">
            <v>2251.5863636363642</v>
          </cell>
          <cell r="M12">
            <v>7880.5522727272737</v>
          </cell>
          <cell r="N12">
            <v>2174.7272727272725</v>
          </cell>
          <cell r="O12">
            <v>6252.3409090909081</v>
          </cell>
          <cell r="P12">
            <v>3370.8272727272724</v>
          </cell>
          <cell r="Q12">
            <v>11797.895454545451</v>
          </cell>
          <cell r="R12">
            <v>2487.818181818182</v>
          </cell>
          <cell r="S12">
            <v>3576.2386363636365</v>
          </cell>
          <cell r="T12">
            <v>3856.1181818181826</v>
          </cell>
          <cell r="U12">
            <v>13496.413636363637</v>
          </cell>
        </row>
        <row r="13">
          <cell r="B13">
            <v>7475.6249999999991</v>
          </cell>
          <cell r="C13">
            <v>0</v>
          </cell>
          <cell r="D13">
            <v>1794.15</v>
          </cell>
          <cell r="E13">
            <v>6279.5249999999996</v>
          </cell>
          <cell r="J13">
            <v>9986.875</v>
          </cell>
          <cell r="K13">
            <v>0</v>
          </cell>
          <cell r="L13">
            <v>2396.85</v>
          </cell>
          <cell r="M13">
            <v>8388.9750000000004</v>
          </cell>
          <cell r="N13">
            <v>14951.249999999998</v>
          </cell>
          <cell r="O13">
            <v>0</v>
          </cell>
          <cell r="P13">
            <v>3588.3</v>
          </cell>
          <cell r="Q13">
            <v>12559.05</v>
          </cell>
          <cell r="R13">
            <v>17103.75</v>
          </cell>
          <cell r="S13">
            <v>0</v>
          </cell>
          <cell r="T13">
            <v>4104.9000000000005</v>
          </cell>
          <cell r="U13">
            <v>14367.15</v>
          </cell>
        </row>
        <row r="14">
          <cell r="B14">
            <v>1649.7931034482758</v>
          </cell>
          <cell r="C14">
            <v>3162.1034482758619</v>
          </cell>
          <cell r="D14">
            <v>1704.7862068965519</v>
          </cell>
          <cell r="E14">
            <v>5966.751724137931</v>
          </cell>
          <cell r="J14">
            <v>2204</v>
          </cell>
          <cell r="K14">
            <v>4224.333333333333</v>
          </cell>
          <cell r="L14">
            <v>2277.4666666666667</v>
          </cell>
          <cell r="M14">
            <v>7971.1333333333323</v>
          </cell>
          <cell r="N14">
            <v>3299.5862068965516</v>
          </cell>
          <cell r="O14">
            <v>6324.2068965517237</v>
          </cell>
          <cell r="P14">
            <v>3409.5724137931038</v>
          </cell>
          <cell r="Q14">
            <v>11933.503448275862</v>
          </cell>
          <cell r="R14">
            <v>3774.6206896551726</v>
          </cell>
          <cell r="S14">
            <v>3617.344827586207</v>
          </cell>
          <cell r="T14">
            <v>3900.4413793103449</v>
          </cell>
          <cell r="U14">
            <v>13651.544827586207</v>
          </cell>
        </row>
        <row r="15">
          <cell r="B15">
            <v>51414.445757742258</v>
          </cell>
          <cell r="C15">
            <v>36960.65482142847</v>
          </cell>
          <cell r="D15">
            <v>21084.931154517017</v>
          </cell>
          <cell r="E15">
            <v>73797.259040809542</v>
          </cell>
          <cell r="J15">
            <v>68685.848069807165</v>
          </cell>
          <cell r="K15">
            <v>49376.66611417153</v>
          </cell>
          <cell r="L15">
            <v>28167.88854761537</v>
          </cell>
          <cell r="M15">
            <v>98587.609916653804</v>
          </cell>
          <cell r="N15">
            <v>102828.89151548452</v>
          </cell>
          <cell r="O15">
            <v>73921.309642856941</v>
          </cell>
          <cell r="P15">
            <v>42169.862309034033</v>
          </cell>
          <cell r="Q15">
            <v>147594.51808161908</v>
          </cell>
          <cell r="R15">
            <v>117632.95064011159</v>
          </cell>
          <cell r="S15">
            <v>42281.802518318356</v>
          </cell>
          <cell r="T15">
            <v>48240.968645975481</v>
          </cell>
          <cell r="U15">
            <v>168843.39026091417</v>
          </cell>
        </row>
      </sheetData>
      <sheetData sheetId="3">
        <row r="697">
          <cell r="BC697">
            <v>8039002.5599999987</v>
          </cell>
        </row>
        <row r="719">
          <cell r="BC719">
            <v>6830118.1247135671</v>
          </cell>
        </row>
        <row r="749">
          <cell r="BC749">
            <v>3422758.4</v>
          </cell>
        </row>
        <row r="752">
          <cell r="BC752">
            <v>356328</v>
          </cell>
        </row>
        <row r="753">
          <cell r="BC753">
            <v>527614.48</v>
          </cell>
        </row>
        <row r="771">
          <cell r="BC771">
            <v>0</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кл"/>
      <sheetName val="тар"/>
      <sheetName val="ночн.празд (1218)"/>
      <sheetName val="ФОТ2014 общ (2)"/>
      <sheetName val="Лист1"/>
      <sheetName val="ОБЩ"/>
      <sheetName val="ВНС"/>
      <sheetName val="КНС"/>
      <sheetName val="АВР"/>
      <sheetName val="ВС"/>
      <sheetName val="АХО14"/>
      <sheetName val="КИПиА"/>
      <sheetName val="ФОТ2014 (1)"/>
      <sheetName val="ночн.празд"/>
      <sheetName val="ФОТ2014 (2)"/>
      <sheetName val="ночн.празд (1419)"/>
      <sheetName val="ФОТ2014 (3)"/>
      <sheetName val="ночн.празд (1625)"/>
      <sheetName val="порівняння (2)"/>
      <sheetName val="порівняння"/>
      <sheetName val="АХО13"/>
      <sheetName val="ФОТ2013"/>
    </sheetNames>
    <sheetDataSet>
      <sheetData sheetId="0" refreshError="1"/>
      <sheetData sheetId="1" refreshError="1"/>
      <sheetData sheetId="2" refreshError="1"/>
      <sheetData sheetId="3" refreshError="1">
        <row r="61">
          <cell r="C61">
            <v>4</v>
          </cell>
        </row>
        <row r="64">
          <cell r="C64">
            <v>1</v>
          </cell>
        </row>
        <row r="66">
          <cell r="C66">
            <v>1</v>
          </cell>
        </row>
        <row r="83">
          <cell r="C83">
            <v>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1"/>
      <sheetName val="м куб"/>
      <sheetName val="Річний план"/>
      <sheetName val="Річний план ХВ"/>
      <sheetName val="Лист4"/>
      <sheetName val="Лист2"/>
      <sheetName val="ОП 1"/>
      <sheetName val="Лист7"/>
      <sheetName val=" 'К' розподілу ЦВ та ХВ "/>
      <sheetName val="прямі витрати ЦВ та ЦВВ"/>
      <sheetName val="прямі витрати ЦхВ та ЦВВ"/>
      <sheetName val="Тепл"/>
      <sheetName val="ПММ"/>
      <sheetName val="ВД"/>
      <sheetName val="нат пок"/>
      <sheetName val="загальновиробничі"/>
      <sheetName val="ОП"/>
      <sheetName val="ВОП"/>
      <sheetName val="ВНС"/>
      <sheetName val="КНС"/>
      <sheetName val="АВР"/>
      <sheetName val="площі"/>
      <sheetName val="Адм.,збут"/>
      <sheetName val="Адм"/>
      <sheetName val="Збут"/>
      <sheetName val="пов"/>
      <sheetName val="ливн"/>
      <sheetName val="засувки"/>
      <sheetName val="матеріали"/>
      <sheetName val="м3"/>
      <sheetName val="норми"/>
      <sheetName val="обм.ф"/>
      <sheetName val="Аморт"/>
      <sheetName val="Лист9"/>
      <sheetName val="Витр"/>
      <sheetName val="дох"/>
      <sheetName val="фінпл"/>
      <sheetName val="ФП"/>
      <sheetName val="ФП 1"/>
      <sheetName val="Лист11"/>
      <sheetName val="Лист10"/>
      <sheetName val="ФП НБ"/>
      <sheetName val="Лист12"/>
      <sheetName val="ФП генератор"/>
      <sheetName val="2022 план"/>
      <sheetName val="2020 1"/>
      <sheetName val="2021 зв"/>
      <sheetName val="2021"/>
      <sheetName val="Лист8"/>
      <sheetName val="Лист5"/>
      <sheetName val="1 кв"/>
      <sheetName val="1 півр"/>
      <sheetName val="Лист6"/>
      <sheetName val="порівн"/>
      <sheetName val="реєстр "/>
      <sheetName val="4 "/>
      <sheetName val="5"/>
      <sheetName val="6 "/>
      <sheetName val="7"/>
      <sheetName val="8"/>
      <sheetName val="9"/>
      <sheetName val="10"/>
      <sheetName val="11"/>
      <sheetName val="12"/>
      <sheetName val="13"/>
      <sheetName val="14"/>
      <sheetName val="4 П"/>
      <sheetName val="5П"/>
      <sheetName val="вимог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6">
          <cell r="J16">
            <v>931.89292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 внутр"/>
      <sheetName val="АП заг"/>
      <sheetName val="АП ЦВВ"/>
      <sheetName val="Зам норми"/>
      <sheetName val="обсл норми"/>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пов"/>
      <sheetName val="31 нат пок"/>
      <sheetName val="ВД"/>
      <sheetName val="ОП 1"/>
      <sheetName val="Лист12"/>
      <sheetName val="ОП"/>
      <sheetName val="Ремонти"/>
      <sheetName val="площі"/>
      <sheetName val="Аморт"/>
      <sheetName val="обм. ф"/>
      <sheetName val="матеріали"/>
      <sheetName val="норми"/>
      <sheetName val="Заміна"/>
      <sheetName val="обсл"/>
      <sheetName val="компенсація"/>
      <sheetName val="ПММ"/>
      <sheetName val="ПММ -1"/>
      <sheetName val="ВНС"/>
      <sheetName val="КНС"/>
      <sheetName val="Адм.,збут"/>
      <sheetName val="загальновиробничі"/>
      <sheetName val="АВР"/>
      <sheetName val="Адм"/>
      <sheetName val="Збут"/>
      <sheetName val="Лист13"/>
      <sheetName val=" 'К' розподілу ЦВ та ХВ "/>
      <sheetName val="ВОП"/>
      <sheetName val="норми колодязь"/>
      <sheetName val="чисел. контр."/>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28"/>
      <sheetName val="16"/>
      <sheetName val="17"/>
      <sheetName val="18"/>
      <sheetName val="19"/>
      <sheetName val="м3"/>
      <sheetName val="20"/>
      <sheetName val="21"/>
      <sheetName val="22"/>
      <sheetName val="23"/>
      <sheetName val="24"/>
      <sheetName val="25"/>
      <sheetName val="26"/>
      <sheetName val="27"/>
      <sheetName val="29"/>
      <sheetName val="30"/>
      <sheetName val="3 П"/>
      <sheetName val="4 П"/>
      <sheetName val="5П"/>
      <sheetName val="вимоги"/>
      <sheetName val="збірна"/>
      <sheetName val="Стр ЦВВ 1"/>
      <sheetName val="Стр ЦХВВ 1"/>
      <sheetName val="Стр порівн ЦВВ"/>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sheetData sheetId="3"/>
      <sheetData sheetId="4"/>
      <sheetData sheetId="5"/>
      <sheetData sheetId="6">
        <row r="22">
          <cell r="K22">
            <v>2648.654</v>
          </cell>
        </row>
      </sheetData>
      <sheetData sheetId="7">
        <row r="31">
          <cell r="K31">
            <v>28774.800000000003</v>
          </cell>
        </row>
      </sheetData>
      <sheetData sheetId="8"/>
      <sheetData sheetId="9">
        <row r="12">
          <cell r="T12">
            <v>365</v>
          </cell>
        </row>
      </sheetData>
      <sheetData sheetId="10">
        <row r="49">
          <cell r="X49">
            <v>10500</v>
          </cell>
        </row>
      </sheetData>
      <sheetData sheetId="11"/>
      <sheetData sheetId="12"/>
      <sheetData sheetId="13"/>
      <sheetData sheetId="14"/>
      <sheetData sheetId="15"/>
      <sheetData sheetId="16"/>
      <sheetData sheetId="17">
        <row r="4">
          <cell r="I4">
            <v>420.92095999999998</v>
          </cell>
        </row>
        <row r="68">
          <cell r="P68"/>
        </row>
        <row r="69">
          <cell r="P69"/>
        </row>
        <row r="70">
          <cell r="P70"/>
        </row>
        <row r="72">
          <cell r="P72"/>
        </row>
        <row r="102">
          <cell r="F102">
            <v>3597.75</v>
          </cell>
        </row>
      </sheetData>
      <sheetData sheetId="18"/>
      <sheetData sheetId="19">
        <row r="15">
          <cell r="E15">
            <v>6.1939273000000004</v>
          </cell>
        </row>
      </sheetData>
      <sheetData sheetId="20">
        <row r="3">
          <cell r="CR3">
            <v>1.7142857142857142</v>
          </cell>
        </row>
      </sheetData>
      <sheetData sheetId="21"/>
      <sheetData sheetId="22"/>
      <sheetData sheetId="23"/>
      <sheetData sheetId="24">
        <row r="4">
          <cell r="C4">
            <v>226.2</v>
          </cell>
        </row>
      </sheetData>
      <sheetData sheetId="25"/>
      <sheetData sheetId="26"/>
      <sheetData sheetId="27">
        <row r="17">
          <cell r="O17" t="str">
            <v xml:space="preserve">Щебінь </v>
          </cell>
        </row>
      </sheetData>
      <sheetData sheetId="28">
        <row r="20">
          <cell r="J20">
            <v>0.71138116253152273</v>
          </cell>
        </row>
      </sheetData>
      <sheetData sheetId="29"/>
      <sheetData sheetId="30"/>
      <sheetData sheetId="31"/>
      <sheetData sheetId="32">
        <row r="12">
          <cell r="I12">
            <v>4534.6375000000007</v>
          </cell>
        </row>
      </sheetData>
      <sheetData sheetId="33"/>
      <sheetData sheetId="34">
        <row r="13">
          <cell r="B13">
            <v>1552.695984</v>
          </cell>
        </row>
      </sheetData>
      <sheetData sheetId="35">
        <row r="10">
          <cell r="E10">
            <v>796.37760000000003</v>
          </cell>
        </row>
      </sheetData>
      <sheetData sheetId="36"/>
      <sheetData sheetId="37"/>
      <sheetData sheetId="38">
        <row r="170">
          <cell r="F170">
            <v>1561.9730833333335</v>
          </cell>
        </row>
      </sheetData>
      <sheetData sheetId="39">
        <row r="5">
          <cell r="I5">
            <v>5703.5689199999997</v>
          </cell>
        </row>
        <row r="6">
          <cell r="I6">
            <v>1254.7851624</v>
          </cell>
        </row>
        <row r="9">
          <cell r="I9">
            <v>52.453850727979514</v>
          </cell>
        </row>
        <row r="40">
          <cell r="I40">
            <v>7759.0970307417247</v>
          </cell>
        </row>
      </sheetData>
      <sheetData sheetId="40">
        <row r="3">
          <cell r="K3">
            <v>3430.1509599999999</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row r="26">
          <cell r="O26">
            <v>1552.695984</v>
          </cell>
        </row>
      </sheetData>
      <sheetData sheetId="54"/>
      <sheetData sheetId="55"/>
      <sheetData sheetId="56"/>
      <sheetData sheetId="57"/>
      <sheetData sheetId="58">
        <row r="6">
          <cell r="W6">
            <v>1552.695984</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2">
          <cell r="K12">
            <v>760.87330799999995</v>
          </cell>
        </row>
      </sheetData>
      <sheetData sheetId="77"/>
      <sheetData sheetId="78"/>
      <sheetData sheetId="79"/>
      <sheetData sheetId="80"/>
      <sheetData sheetId="81"/>
      <sheetData sheetId="82"/>
      <sheetData sheetId="83"/>
      <sheetData sheetId="84"/>
      <sheetData sheetId="8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 внутр"/>
      <sheetName val="АП заг"/>
      <sheetName val="АП ЦВВ"/>
      <sheetName val="Зам норми"/>
      <sheetName val="обсл норми"/>
      <sheetName val="мат кол"/>
      <sheetName val="ВОВ15"/>
      <sheetName val="ВОВ25-80"/>
      <sheetName val="Зам розр"/>
      <sheetName val="обсл розр"/>
      <sheetName val="БКБ"/>
      <sheetName val="МІЗ"/>
      <sheetName val="СК"/>
      <sheetName val="Н.Б, Б"/>
      <sheetName val="ЮР"/>
      <sheetName val="пов"/>
      <sheetName val="АП розб"/>
      <sheetName val=" 'К' розподілу ЦВ та ХВ "/>
      <sheetName val="ВОП"/>
      <sheetName val="ВД"/>
      <sheetName val="Лист12"/>
      <sheetName val="ОП"/>
      <sheetName val="Ремонти"/>
      <sheetName val="Лист16"/>
      <sheetName val="площі"/>
      <sheetName val="Аморт"/>
      <sheetName val="ОП 1"/>
      <sheetName val="обм. ф"/>
      <sheetName val="матеріали"/>
      <sheetName val="ливн"/>
      <sheetName val="31 нат пок"/>
      <sheetName val="норми"/>
      <sheetName val="Заміна"/>
      <sheetName val="обсл"/>
      <sheetName val="компенсація"/>
      <sheetName val="ПММ"/>
      <sheetName val="ПММ -1"/>
      <sheetName val="ВНС"/>
      <sheetName val="КНС"/>
      <sheetName val="АВР"/>
      <sheetName val="Лист13"/>
      <sheetName val="Адм"/>
      <sheetName val="норми колодязь"/>
      <sheetName val="чисел. контр."/>
      <sheetName val="Збут"/>
      <sheetName val="Адм.,збут"/>
      <sheetName val="загальновиробничі"/>
      <sheetName val="Річний план"/>
      <sheetName val="прямі витрати ЦВ та ЦВВ"/>
      <sheetName val="прямі витрати ЦхВ та ЦВВ"/>
      <sheetName val="Лист5"/>
      <sheetName val="Річний план ХВ"/>
      <sheetName val="м3"/>
      <sheetName val="реєстр"/>
      <sheetName val="Лист10"/>
      <sheetName val="вимоги Ц"/>
      <sheetName val="28"/>
      <sheetName val="16"/>
      <sheetName val="17"/>
      <sheetName val="18"/>
      <sheetName val="19"/>
      <sheetName val="м3 1"/>
      <sheetName val="м3 2"/>
      <sheetName val="м 3"/>
      <sheetName val="20"/>
      <sheetName val="21"/>
      <sheetName val="22"/>
      <sheetName val="23"/>
      <sheetName val="23 АП"/>
      <sheetName val="24"/>
      <sheetName val="25"/>
      <sheetName val="26"/>
      <sheetName val="27"/>
      <sheetName val="29"/>
      <sheetName val="30"/>
      <sheetName val="3 П"/>
      <sheetName val="4 П"/>
      <sheetName val="5П"/>
      <sheetName val="вимоги"/>
      <sheetName val="Лист15"/>
      <sheetName val="збірна"/>
      <sheetName val="Стр ЦВВ 1"/>
      <sheetName val="Стр ЦХВВ 1"/>
      <sheetName val="Стр порівн ЦВВ"/>
      <sheetName val="компенс"/>
      <sheetName val="Лист14"/>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sheetData sheetId="3"/>
      <sheetData sheetId="4"/>
      <sheetData sheetId="5"/>
      <sheetData sheetId="6"/>
      <sheetData sheetId="7"/>
      <sheetData sheetId="8">
        <row r="115">
          <cell r="P115">
            <v>2100</v>
          </cell>
        </row>
      </sheetData>
      <sheetData sheetId="9">
        <row r="49">
          <cell r="X49">
            <v>21030</v>
          </cell>
        </row>
      </sheetData>
      <sheetData sheetId="10"/>
      <sheetData sheetId="11"/>
      <sheetData sheetId="12"/>
      <sheetData sheetId="13"/>
      <sheetData sheetId="14"/>
      <sheetData sheetId="15">
        <row r="10">
          <cell r="N10">
            <v>637.05949999999996</v>
          </cell>
          <cell r="O10"/>
        </row>
        <row r="11">
          <cell r="N11">
            <v>95.048400000000001</v>
          </cell>
          <cell r="O11"/>
        </row>
        <row r="12">
          <cell r="N12">
            <v>148.76338625</v>
          </cell>
          <cell r="O12"/>
        </row>
        <row r="13">
          <cell r="N13"/>
          <cell r="O13">
            <v>58.736299999999993</v>
          </cell>
        </row>
        <row r="14">
          <cell r="I14">
            <v>30.155750000000001</v>
          </cell>
        </row>
        <row r="15">
          <cell r="I15">
            <v>28.580549999999999</v>
          </cell>
        </row>
        <row r="21">
          <cell r="N21">
            <v>0.85109789854428342</v>
          </cell>
          <cell r="O21">
            <v>18.478807468432606</v>
          </cell>
        </row>
        <row r="22">
          <cell r="N22">
            <v>0.18267283472985996</v>
          </cell>
          <cell r="O22">
            <v>3.9661431998122323</v>
          </cell>
        </row>
        <row r="23">
          <cell r="N23">
            <v>0.1447216447783635</v>
          </cell>
          <cell r="O23">
            <v>3.1421572241552518</v>
          </cell>
        </row>
        <row r="24">
          <cell r="N24">
            <v>0.17769242234397667</v>
          </cell>
          <cell r="O24">
            <v>3.8580098326055392</v>
          </cell>
        </row>
        <row r="25">
          <cell r="N25">
            <v>0</v>
          </cell>
          <cell r="O25">
            <v>0</v>
          </cell>
        </row>
        <row r="27">
          <cell r="N27">
            <v>5.0702731699779457E-2</v>
          </cell>
          <cell r="O27">
            <v>1.1008440025599124</v>
          </cell>
        </row>
        <row r="28">
          <cell r="N28">
            <v>0.1216865560794707</v>
          </cell>
          <cell r="O28">
            <v>2.6420256061437901</v>
          </cell>
        </row>
        <row r="29">
          <cell r="N29"/>
          <cell r="O29"/>
        </row>
        <row r="30">
          <cell r="N30">
            <v>8.2138425353642727E-2</v>
          </cell>
          <cell r="O30">
            <v>1.7833672841470583</v>
          </cell>
        </row>
        <row r="31">
          <cell r="N31">
            <v>2.0281092679911784E-2</v>
          </cell>
          <cell r="O31">
            <v>0.44033760102396496</v>
          </cell>
        </row>
        <row r="42">
          <cell r="B42" t="str">
            <v>Льон сантехнічний (пакля)</v>
          </cell>
          <cell r="C42" t="str">
            <v>19430000-9</v>
          </cell>
          <cell r="D42" t="str">
            <v>шт</v>
          </cell>
          <cell r="E42">
            <v>4</v>
          </cell>
          <cell r="F42">
            <v>130.80000000000001</v>
          </cell>
        </row>
        <row r="43">
          <cell r="B43" t="str">
            <v>Ліхтар</v>
          </cell>
          <cell r="C43" t="str">
            <v>31500000-1</v>
          </cell>
          <cell r="D43" t="str">
            <v>шт</v>
          </cell>
          <cell r="E43">
            <v>1</v>
          </cell>
          <cell r="F43">
            <v>541.66666666666674</v>
          </cell>
        </row>
        <row r="44">
          <cell r="B44" t="str">
            <v>Паяльник 40Вт</v>
          </cell>
          <cell r="C44" t="str">
            <v>44510000-8</v>
          </cell>
          <cell r="D44" t="str">
            <v>шт</v>
          </cell>
          <cell r="E44">
            <v>1</v>
          </cell>
          <cell r="F44">
            <v>106.3</v>
          </cell>
        </row>
        <row r="45">
          <cell r="B45" t="str">
            <v>Стрічка тефлонова</v>
          </cell>
          <cell r="C45" t="str">
            <v>44173000-3</v>
          </cell>
          <cell r="D45" t="str">
            <v>шт</v>
          </cell>
          <cell r="E45">
            <v>72</v>
          </cell>
          <cell r="F45">
            <v>80</v>
          </cell>
        </row>
        <row r="46">
          <cell r="B46" t="str">
            <v>Круглогубці</v>
          </cell>
          <cell r="C46" t="str">
            <v>44510000-8</v>
          </cell>
          <cell r="D46" t="str">
            <v>шт</v>
          </cell>
          <cell r="E46">
            <v>1</v>
          </cell>
          <cell r="F46">
            <v>219.4</v>
          </cell>
        </row>
        <row r="47">
          <cell r="B47" t="str">
            <v xml:space="preserve">Плоскогубці </v>
          </cell>
          <cell r="C47" t="str">
            <v>44510000-8</v>
          </cell>
          <cell r="D47" t="str">
            <v>шт</v>
          </cell>
          <cell r="E47">
            <v>2</v>
          </cell>
          <cell r="F47">
            <v>149.19999999999999</v>
          </cell>
        </row>
        <row r="48">
          <cell r="B48" t="str">
            <v>Припій</v>
          </cell>
          <cell r="C48" t="str">
            <v>44510000-8</v>
          </cell>
          <cell r="D48" t="str">
            <v>шт</v>
          </cell>
          <cell r="E48">
            <v>2</v>
          </cell>
          <cell r="F48">
            <v>24.92</v>
          </cell>
        </row>
        <row r="49">
          <cell r="B49" t="str">
            <v xml:space="preserve">Кувалда 2 кг. </v>
          </cell>
          <cell r="C49" t="str">
            <v>44510000-8</v>
          </cell>
          <cell r="D49" t="str">
            <v>шт</v>
          </cell>
          <cell r="E49">
            <v>1</v>
          </cell>
          <cell r="F49">
            <v>375</v>
          </cell>
        </row>
        <row r="50">
          <cell r="B50" t="str">
            <v>Молоток каменяра</v>
          </cell>
          <cell r="C50" t="str">
            <v>44510000-8</v>
          </cell>
          <cell r="D50" t="str">
            <v>шт</v>
          </cell>
          <cell r="E50">
            <v>1</v>
          </cell>
          <cell r="F50">
            <v>483.33333333333337</v>
          </cell>
        </row>
        <row r="51">
          <cell r="B51" t="str">
            <v>Лом малий 0,5 м</v>
          </cell>
          <cell r="C51" t="str">
            <v>44510000-8</v>
          </cell>
          <cell r="D51" t="str">
            <v>шт</v>
          </cell>
          <cell r="E51">
            <v>1</v>
          </cell>
          <cell r="F51">
            <v>208.33333333333334</v>
          </cell>
        </row>
        <row r="52">
          <cell r="B52" t="str">
            <v>Кисть малярська середня</v>
          </cell>
          <cell r="C52" t="str">
            <v>44510000-8</v>
          </cell>
          <cell r="D52" t="str">
            <v>шт</v>
          </cell>
          <cell r="E52">
            <v>1</v>
          </cell>
          <cell r="F52">
            <v>56.666666666666671</v>
          </cell>
        </row>
        <row r="53">
          <cell r="B53" t="str">
            <v>Кельма</v>
          </cell>
          <cell r="C53" t="str">
            <v>44510000-8</v>
          </cell>
          <cell r="D53" t="str">
            <v>шт</v>
          </cell>
          <cell r="E53">
            <v>1</v>
          </cell>
          <cell r="F53">
            <v>100</v>
          </cell>
        </row>
        <row r="54">
          <cell r="B54" t="str">
            <v>Черпак штукатурний малий</v>
          </cell>
          <cell r="C54" t="str">
            <v>44510000-8</v>
          </cell>
          <cell r="D54" t="str">
            <v>шт</v>
          </cell>
          <cell r="E54">
            <v>1</v>
          </cell>
          <cell r="F54">
            <v>100</v>
          </cell>
        </row>
        <row r="55">
          <cell r="B55" t="str">
            <v>Шпатель штукатурний</v>
          </cell>
          <cell r="C55" t="str">
            <v>44510000-8</v>
          </cell>
          <cell r="D55" t="str">
            <v>шт</v>
          </cell>
          <cell r="E55">
            <v>1</v>
          </cell>
          <cell r="F55">
            <v>100</v>
          </cell>
        </row>
        <row r="56">
          <cell r="B56" t="str">
            <v>Лопати мала саперна складна під кутом 900</v>
          </cell>
          <cell r="C56" t="str">
            <v>44510000-8</v>
          </cell>
          <cell r="D56" t="str">
            <v>шт</v>
          </cell>
          <cell r="E56">
            <v>1</v>
          </cell>
          <cell r="F56">
            <v>433.33333333333337</v>
          </cell>
        </row>
        <row r="57">
          <cell r="B57" t="str">
            <v>Лопата совкова</v>
          </cell>
          <cell r="C57" t="str">
            <v>44510000-8</v>
          </cell>
          <cell r="D57" t="str">
            <v>шт</v>
          </cell>
          <cell r="E57">
            <v>1</v>
          </cell>
          <cell r="F57">
            <v>258.33333333333337</v>
          </cell>
        </row>
        <row r="58">
          <cell r="B58" t="str">
            <v>Лопата штикова</v>
          </cell>
          <cell r="C58" t="str">
            <v>44510000-8</v>
          </cell>
          <cell r="D58" t="str">
            <v>шт</v>
          </cell>
          <cell r="E58">
            <v>5</v>
          </cell>
          <cell r="F58">
            <v>291.66666666666669</v>
          </cell>
        </row>
        <row r="59">
          <cell r="B59" t="str">
            <v>Держак для лопат</v>
          </cell>
          <cell r="C59" t="str">
            <v>44510000-8</v>
          </cell>
          <cell r="D59" t="str">
            <v>шт</v>
          </cell>
          <cell r="E59">
            <v>5</v>
          </cell>
          <cell r="F59">
            <v>54.166666666666671</v>
          </cell>
        </row>
        <row r="60">
          <cell r="B60" t="str">
            <v>Мітла</v>
          </cell>
          <cell r="C60" t="str">
            <v>44510000-8</v>
          </cell>
          <cell r="D60" t="str">
            <v>шт</v>
          </cell>
          <cell r="E60">
            <v>5</v>
          </cell>
          <cell r="F60">
            <v>208</v>
          </cell>
        </row>
        <row r="61">
          <cell r="B61" t="str">
            <v>Кусачки</v>
          </cell>
          <cell r="C61" t="str">
            <v>44510000-8</v>
          </cell>
          <cell r="D61" t="str">
            <v>шт</v>
          </cell>
          <cell r="E61">
            <v>2</v>
          </cell>
          <cell r="F61">
            <v>368.55</v>
          </cell>
        </row>
        <row r="62">
          <cell r="B62" t="str">
            <v>Викрутка пласка</v>
          </cell>
          <cell r="C62" t="str">
            <v>44510000-8</v>
          </cell>
          <cell r="D62" t="str">
            <v>шт</v>
          </cell>
          <cell r="E62">
            <v>2</v>
          </cell>
          <cell r="F62">
            <v>42.56</v>
          </cell>
        </row>
        <row r="63">
          <cell r="B63" t="str">
            <v>Викрутка  фігурна</v>
          </cell>
          <cell r="C63" t="str">
            <v>44510000-8</v>
          </cell>
          <cell r="D63" t="str">
            <v>шт</v>
          </cell>
          <cell r="E63">
            <v>2</v>
          </cell>
          <cell r="F63">
            <v>57.3</v>
          </cell>
        </row>
        <row r="64">
          <cell r="B64" t="str">
            <v>Ключ развідний</v>
          </cell>
          <cell r="C64" t="str">
            <v>44510000-8</v>
          </cell>
          <cell r="D64" t="str">
            <v>шт</v>
          </cell>
          <cell r="E64">
            <v>1</v>
          </cell>
          <cell r="F64">
            <v>180.15</v>
          </cell>
        </row>
        <row r="65">
          <cell r="B65" t="str">
            <v>Ключ трубний</v>
          </cell>
          <cell r="C65" t="str">
            <v>44510000-8</v>
          </cell>
          <cell r="D65" t="str">
            <v>шт</v>
          </cell>
          <cell r="E65">
            <v>1</v>
          </cell>
          <cell r="F65">
            <v>174.15</v>
          </cell>
        </row>
        <row r="66">
          <cell r="B66" t="str">
            <v>Ключ ріжковий-30</v>
          </cell>
          <cell r="C66" t="str">
            <v>44510000-8</v>
          </cell>
          <cell r="D66" t="str">
            <v>шт</v>
          </cell>
          <cell r="E66">
            <v>1</v>
          </cell>
          <cell r="F66">
            <v>130.57</v>
          </cell>
        </row>
        <row r="67">
          <cell r="B67" t="str">
            <v>Ключ ріжковий-19</v>
          </cell>
          <cell r="C67" t="str">
            <v>44510000-8</v>
          </cell>
          <cell r="D67" t="str">
            <v>шт</v>
          </cell>
          <cell r="E67">
            <v>1</v>
          </cell>
          <cell r="F67">
            <v>54.67</v>
          </cell>
        </row>
        <row r="68">
          <cell r="B68" t="str">
            <v>Ключ ріжковий-14</v>
          </cell>
          <cell r="C68" t="str">
            <v>44510000-8</v>
          </cell>
          <cell r="D68" t="str">
            <v>шт</v>
          </cell>
          <cell r="E68">
            <v>1</v>
          </cell>
          <cell r="F68">
            <v>33.78</v>
          </cell>
        </row>
        <row r="69">
          <cell r="B69" t="str">
            <v>Ніж складний</v>
          </cell>
          <cell r="C69" t="str">
            <v>44510000-8</v>
          </cell>
          <cell r="D69" t="str">
            <v>шт</v>
          </cell>
          <cell r="E69">
            <v>2</v>
          </cell>
          <cell r="F69">
            <v>112.78</v>
          </cell>
        </row>
        <row r="70">
          <cell r="B70" t="str">
            <v>Щітка по металу</v>
          </cell>
          <cell r="C70" t="str">
            <v>44510000-8</v>
          </cell>
          <cell r="D70" t="str">
            <v>шт</v>
          </cell>
          <cell r="E70">
            <v>2</v>
          </cell>
          <cell r="F70">
            <v>74.849999999999994</v>
          </cell>
        </row>
        <row r="71">
          <cell r="B71" t="str">
            <v>Тиски</v>
          </cell>
          <cell r="C71" t="str">
            <v>44510000-8</v>
          </cell>
          <cell r="D71" t="str">
            <v>шт</v>
          </cell>
          <cell r="E71">
            <v>1</v>
          </cell>
          <cell r="F71">
            <v>1096.8800000000001</v>
          </cell>
        </row>
        <row r="72">
          <cell r="B72" t="str">
            <v>Наждак</v>
          </cell>
          <cell r="C72" t="str">
            <v>44510000-8</v>
          </cell>
          <cell r="D72" t="str">
            <v>шт</v>
          </cell>
          <cell r="E72">
            <v>1</v>
          </cell>
          <cell r="F72">
            <v>1272.3699999999999</v>
          </cell>
        </row>
        <row r="73">
          <cell r="B73" t="str">
            <v xml:space="preserve">Ящик для інструменту </v>
          </cell>
          <cell r="C73" t="str">
            <v>44619300-5</v>
          </cell>
          <cell r="D73" t="str">
            <v>шт</v>
          </cell>
          <cell r="E73">
            <v>1</v>
          </cell>
          <cell r="F73">
            <v>3000</v>
          </cell>
        </row>
        <row r="80">
          <cell r="N80">
            <v>7.2520831250000013</v>
          </cell>
          <cell r="O80"/>
        </row>
        <row r="81">
          <cell r="N81"/>
          <cell r="O81">
            <v>66.27713301666671</v>
          </cell>
        </row>
        <row r="82">
          <cell r="G82">
            <v>49.158333333333339</v>
          </cell>
          <cell r="N82"/>
          <cell r="O82">
            <v>49.728570000000012</v>
          </cell>
        </row>
        <row r="83">
          <cell r="N83"/>
          <cell r="O83"/>
        </row>
        <row r="84">
          <cell r="N84">
            <v>0</v>
          </cell>
          <cell r="O84"/>
        </row>
        <row r="85">
          <cell r="I85">
            <v>27.930558333333337</v>
          </cell>
          <cell r="P85">
            <v>27.930558333333337</v>
          </cell>
        </row>
        <row r="86">
          <cell r="P86">
            <v>283.4951831630417</v>
          </cell>
        </row>
        <row r="87">
          <cell r="P87"/>
        </row>
        <row r="88">
          <cell r="N88">
            <v>1.0837752184735856</v>
          </cell>
          <cell r="O88">
            <v>23.530634531568939</v>
          </cell>
        </row>
        <row r="90">
          <cell r="I90">
            <v>1.4117440000000001</v>
          </cell>
          <cell r="N90">
            <v>4.7719518173848972E-2</v>
          </cell>
          <cell r="O90">
            <v>1.0360732770332941</v>
          </cell>
        </row>
        <row r="96">
          <cell r="N96">
            <v>15.764808792577718</v>
          </cell>
          <cell r="O96">
            <v>296.00406557318166</v>
          </cell>
          <cell r="P96">
            <v>76.683525634240652</v>
          </cell>
        </row>
        <row r="97">
          <cell r="N97">
            <v>2.9519073795180719</v>
          </cell>
          <cell r="O97">
            <v>178.89277899971981</v>
          </cell>
          <cell r="P97">
            <v>98.826514852192901</v>
          </cell>
        </row>
        <row r="98">
          <cell r="N98">
            <v>2.9519073795180719</v>
          </cell>
          <cell r="O98">
            <v>178.89277899971981</v>
          </cell>
          <cell r="P98">
            <v>9.4951386207621056</v>
          </cell>
        </row>
        <row r="99">
          <cell r="N99">
            <v>2.9519073795180719</v>
          </cell>
          <cell r="O99"/>
          <cell r="P99"/>
        </row>
        <row r="100">
          <cell r="N100"/>
          <cell r="O100">
            <v>146.50613803586438</v>
          </cell>
          <cell r="P100"/>
        </row>
        <row r="101">
          <cell r="N101"/>
          <cell r="O101">
            <v>32.38664096385542</v>
          </cell>
          <cell r="P101"/>
        </row>
        <row r="102">
          <cell r="F102">
            <v>0.85416666666666663</v>
          </cell>
          <cell r="G102">
            <v>1992</v>
          </cell>
          <cell r="H102" t="str">
            <v>*1000=</v>
          </cell>
          <cell r="N102"/>
          <cell r="O102"/>
          <cell r="P102"/>
        </row>
        <row r="103">
          <cell r="N103"/>
          <cell r="O103"/>
          <cell r="P103"/>
        </row>
        <row r="104">
          <cell r="N104"/>
          <cell r="O104"/>
          <cell r="P104">
            <v>9.4951386207621056</v>
          </cell>
        </row>
        <row r="105">
          <cell r="N105">
            <v>0</v>
          </cell>
          <cell r="O105"/>
          <cell r="P105">
            <v>62.651399999999995</v>
          </cell>
        </row>
        <row r="106">
          <cell r="N106">
            <v>0</v>
          </cell>
          <cell r="O106"/>
          <cell r="P106">
            <v>26.679976231430807</v>
          </cell>
        </row>
        <row r="118">
          <cell r="C118">
            <v>160</v>
          </cell>
          <cell r="D118">
            <v>1200</v>
          </cell>
          <cell r="E118">
            <v>1200</v>
          </cell>
          <cell r="F118">
            <v>1200</v>
          </cell>
          <cell r="G118">
            <v>1800</v>
          </cell>
          <cell r="H118">
            <v>1800</v>
          </cell>
        </row>
        <row r="119">
          <cell r="C119">
            <v>507</v>
          </cell>
          <cell r="D119">
            <v>4</v>
          </cell>
          <cell r="E119">
            <v>9</v>
          </cell>
          <cell r="F119">
            <v>15</v>
          </cell>
          <cell r="G119">
            <v>3</v>
          </cell>
          <cell r="H119">
            <v>2</v>
          </cell>
          <cell r="I119">
            <v>540</v>
          </cell>
        </row>
        <row r="120">
          <cell r="C120">
            <v>81120</v>
          </cell>
          <cell r="D120">
            <v>4800</v>
          </cell>
          <cell r="E120">
            <v>10800</v>
          </cell>
          <cell r="F120">
            <v>18000</v>
          </cell>
          <cell r="G120">
            <v>5400</v>
          </cell>
          <cell r="H120">
            <v>3600</v>
          </cell>
          <cell r="I120">
            <v>123.72</v>
          </cell>
        </row>
      </sheetData>
      <sheetData sheetId="16">
        <row r="56">
          <cell r="K56">
            <v>11.676</v>
          </cell>
          <cell r="P56">
            <v>2.048</v>
          </cell>
          <cell r="R56">
            <v>0.27899999999999991</v>
          </cell>
        </row>
      </sheetData>
      <sheetData sheetId="17">
        <row r="27">
          <cell r="A27">
            <v>0.56485211845430361</v>
          </cell>
        </row>
      </sheetData>
      <sheetData sheetId="18">
        <row r="9">
          <cell r="B9" t="str">
            <v>Слюсар -ремонтник</v>
          </cell>
        </row>
      </sheetData>
      <sheetData sheetId="19"/>
      <sheetData sheetId="20"/>
      <sheetData sheetId="21"/>
      <sheetData sheetId="22"/>
      <sheetData sheetId="23"/>
      <sheetData sheetId="24"/>
      <sheetData sheetId="25"/>
      <sheetData sheetId="26"/>
      <sheetData sheetId="27"/>
      <sheetData sheetId="28">
        <row r="28">
          <cell r="B28" t="str">
            <v>18230000-0</v>
          </cell>
        </row>
      </sheetData>
      <sheetData sheetId="29">
        <row r="53">
          <cell r="E53">
            <v>2</v>
          </cell>
        </row>
      </sheetData>
      <sheetData sheetId="30"/>
      <sheetData sheetId="31"/>
      <sheetData sheetId="32"/>
      <sheetData sheetId="33"/>
      <sheetData sheetId="34"/>
      <sheetData sheetId="35">
        <row r="20">
          <cell r="E20">
            <v>27655</v>
          </cell>
        </row>
      </sheetData>
      <sheetData sheetId="36"/>
      <sheetData sheetId="37">
        <row r="5">
          <cell r="K5">
            <v>1530.3294960000001</v>
          </cell>
        </row>
      </sheetData>
      <sheetData sheetId="38">
        <row r="10">
          <cell r="E10">
            <v>810.53071799999998</v>
          </cell>
        </row>
      </sheetData>
      <sheetData sheetId="39">
        <row r="23">
          <cell r="B23" t="str">
            <v xml:space="preserve">Щебень </v>
          </cell>
        </row>
      </sheetData>
      <sheetData sheetId="40"/>
      <sheetData sheetId="41">
        <row r="18">
          <cell r="B18" t="str">
            <v>Системи баз даних (Підписки та програми)</v>
          </cell>
          <cell r="C18"/>
          <cell r="D18"/>
        </row>
        <row r="19">
          <cell r="I19">
            <v>41.189499999999995</v>
          </cell>
        </row>
        <row r="20">
          <cell r="I20">
            <v>6.5679999999999996</v>
          </cell>
        </row>
        <row r="21">
          <cell r="I21">
            <v>195.20099999999999</v>
          </cell>
        </row>
        <row r="22">
          <cell r="I22">
            <v>85.674999999999997</v>
          </cell>
        </row>
        <row r="24">
          <cell r="I24">
            <v>1.1879999999999999</v>
          </cell>
        </row>
        <row r="25">
          <cell r="I25">
            <v>0</v>
          </cell>
        </row>
        <row r="61">
          <cell r="B61" t="str">
            <v>Розетка 1*Z CR-1608 внут.испол</v>
          </cell>
          <cell r="C61" t="str">
            <v>шт</v>
          </cell>
          <cell r="D61">
            <v>5</v>
          </cell>
          <cell r="E61">
            <v>68.7</v>
          </cell>
        </row>
        <row r="62">
          <cell r="B62" t="str">
            <v>Розетка 1*Z керам. В/М бел.наруж.испол.</v>
          </cell>
          <cell r="C62" t="str">
            <v>шт</v>
          </cell>
          <cell r="D62">
            <v>5</v>
          </cell>
          <cell r="E62">
            <v>97.1</v>
          </cell>
        </row>
        <row r="63">
          <cell r="B63" t="str">
            <v>Вилка 16А з заземленням</v>
          </cell>
          <cell r="C63" t="str">
            <v>шт</v>
          </cell>
          <cell r="D63">
            <v>5</v>
          </cell>
          <cell r="E63">
            <v>92.4</v>
          </cell>
        </row>
        <row r="64">
          <cell r="B64" t="str">
            <v>Лампа світлодіодна Т8 9 W</v>
          </cell>
          <cell r="C64" t="str">
            <v>шт</v>
          </cell>
          <cell r="D64">
            <v>10</v>
          </cell>
          <cell r="E64">
            <v>85</v>
          </cell>
        </row>
        <row r="65">
          <cell r="B65" t="str">
            <v>Лампа світлодіодна Т8 18 W</v>
          </cell>
          <cell r="C65" t="str">
            <v>шт</v>
          </cell>
          <cell r="D65">
            <v>10</v>
          </cell>
          <cell r="E65">
            <v>120</v>
          </cell>
        </row>
        <row r="66">
          <cell r="B66" t="str">
            <v>Лампи LED 10W</v>
          </cell>
          <cell r="C66" t="str">
            <v>шт</v>
          </cell>
          <cell r="D66">
            <v>10</v>
          </cell>
          <cell r="E66">
            <v>100</v>
          </cell>
        </row>
        <row r="67">
          <cell r="B67" t="str">
            <v>Лампи LED 12W</v>
          </cell>
          <cell r="C67" t="str">
            <v>шт</v>
          </cell>
          <cell r="D67">
            <v>10</v>
          </cell>
          <cell r="E67">
            <v>125</v>
          </cell>
        </row>
        <row r="68">
          <cell r="B68" t="str">
            <v>Лампа світлодіодна Т8 9 W</v>
          </cell>
          <cell r="C68" t="str">
            <v>шт</v>
          </cell>
          <cell r="D68">
            <v>10</v>
          </cell>
          <cell r="E68">
            <v>85</v>
          </cell>
        </row>
        <row r="69">
          <cell r="B69" t="str">
            <v>Лампа світлодіодна Т8 18 W</v>
          </cell>
          <cell r="C69" t="str">
            <v>шт</v>
          </cell>
          <cell r="D69">
            <v>10</v>
          </cell>
          <cell r="E69">
            <v>120</v>
          </cell>
        </row>
        <row r="70">
          <cell r="B70" t="str">
            <v xml:space="preserve">Ізолента </v>
          </cell>
          <cell r="C70" t="str">
            <v>шт</v>
          </cell>
          <cell r="D70">
            <v>5</v>
          </cell>
          <cell r="E70">
            <v>48.3</v>
          </cell>
        </row>
        <row r="71">
          <cell r="B71" t="str">
            <v>Провод  ВВГ-Пнг 2*1,0</v>
          </cell>
          <cell r="C71" t="str">
            <v>м</v>
          </cell>
          <cell r="D71">
            <v>40</v>
          </cell>
          <cell r="E71">
            <v>13</v>
          </cell>
        </row>
        <row r="72">
          <cell r="B72" t="str">
            <v>Провод ВВП 3*2,5 мм</v>
          </cell>
          <cell r="C72" t="str">
            <v>м</v>
          </cell>
          <cell r="D72">
            <v>40</v>
          </cell>
          <cell r="E72">
            <v>38</v>
          </cell>
        </row>
        <row r="73">
          <cell r="B73" t="str">
            <v>Провід ВВП 4*4,0 мм</v>
          </cell>
          <cell r="C73" t="str">
            <v>м</v>
          </cell>
          <cell r="D73">
            <v>40</v>
          </cell>
          <cell r="E73">
            <v>82</v>
          </cell>
        </row>
        <row r="74">
          <cell r="B74" t="str">
            <v>Хомут  каб.150*3</v>
          </cell>
          <cell r="C74" t="str">
            <v>уп</v>
          </cell>
          <cell r="D74">
            <v>1</v>
          </cell>
          <cell r="E74">
            <v>48.9</v>
          </cell>
        </row>
        <row r="75">
          <cell r="B75" t="str">
            <v>Хомут  каб.200*4</v>
          </cell>
          <cell r="C75" t="str">
            <v>уп</v>
          </cell>
          <cell r="D75">
            <v>1</v>
          </cell>
          <cell r="E75">
            <v>57.9</v>
          </cell>
        </row>
        <row r="78">
          <cell r="F78">
            <v>13309.3</v>
          </cell>
        </row>
        <row r="83">
          <cell r="B83" t="str">
            <v>журнал реєстрації  А4, газ.24арк.</v>
          </cell>
          <cell r="C83" t="str">
            <v>шт</v>
          </cell>
          <cell r="D83">
            <v>1</v>
          </cell>
          <cell r="E83">
            <v>49.75</v>
          </cell>
        </row>
        <row r="84">
          <cell r="B84" t="str">
            <v>блокнот-записник</v>
          </cell>
          <cell r="C84" t="str">
            <v>шт</v>
          </cell>
          <cell r="D84">
            <v>5</v>
          </cell>
          <cell r="E84">
            <v>109.75</v>
          </cell>
        </row>
        <row r="85">
          <cell r="B85" t="str">
            <v>зошит 48 аркушів</v>
          </cell>
          <cell r="C85" t="str">
            <v>шт</v>
          </cell>
          <cell r="D85">
            <v>16</v>
          </cell>
          <cell r="E85">
            <v>18.3</v>
          </cell>
        </row>
        <row r="86">
          <cell r="B86" t="str">
            <v xml:space="preserve">зошит, А4, 176 арк., тв.палітурка, </v>
          </cell>
          <cell r="C86" t="str">
            <v>шт</v>
          </cell>
          <cell r="D86">
            <v>5</v>
          </cell>
          <cell r="E86">
            <v>112.25</v>
          </cell>
        </row>
        <row r="87">
          <cell r="B87" t="str">
            <v>зошит 96 аркушів</v>
          </cell>
          <cell r="C87" t="str">
            <v>шт</v>
          </cell>
          <cell r="D87">
            <v>10</v>
          </cell>
          <cell r="E87">
            <v>51.6</v>
          </cell>
        </row>
        <row r="88">
          <cell r="B88" t="str">
            <v>папка-швидкозшивач з перфорацією</v>
          </cell>
          <cell r="C88" t="str">
            <v>шт</v>
          </cell>
          <cell r="D88">
            <v>100</v>
          </cell>
          <cell r="E88">
            <v>4.5</v>
          </cell>
        </row>
        <row r="89">
          <cell r="B89" t="str">
            <v>папка-швидкозшивач з перфорацією</v>
          </cell>
          <cell r="C89" t="str">
            <v>шт</v>
          </cell>
          <cell r="D89">
            <v>50</v>
          </cell>
          <cell r="E89">
            <v>6.5</v>
          </cell>
        </row>
        <row r="90">
          <cell r="B90" t="str">
            <v>папка "Дело"("Справа")</v>
          </cell>
          <cell r="C90" t="str">
            <v>шт</v>
          </cell>
          <cell r="D90">
            <v>30</v>
          </cell>
          <cell r="E90">
            <v>5.75</v>
          </cell>
        </row>
        <row r="91">
          <cell r="B91" t="str">
            <v>папка-швидкозшивач с проз.верхом</v>
          </cell>
          <cell r="C91" t="str">
            <v>шт</v>
          </cell>
          <cell r="D91">
            <v>13</v>
          </cell>
          <cell r="E91">
            <v>6.25</v>
          </cell>
        </row>
        <row r="92">
          <cell r="B92" t="str">
            <v>папка для паперів на зав"язках</v>
          </cell>
          <cell r="C92" t="str">
            <v>шт</v>
          </cell>
          <cell r="D92">
            <v>40</v>
          </cell>
          <cell r="E92">
            <v>9.75</v>
          </cell>
        </row>
        <row r="93">
          <cell r="B93" t="str">
            <v>папка А4 пластикова</v>
          </cell>
          <cell r="C93" t="str">
            <v>шт</v>
          </cell>
          <cell r="D93">
            <v>1</v>
          </cell>
          <cell r="E93">
            <v>11.25</v>
          </cell>
        </row>
        <row r="94">
          <cell r="B94" t="str">
            <v>папка дисплей на 20л</v>
          </cell>
          <cell r="C94" t="str">
            <v>шт</v>
          </cell>
          <cell r="D94">
            <v>3</v>
          </cell>
          <cell r="E94">
            <v>50.5</v>
          </cell>
        </row>
        <row r="95">
          <cell r="B95" t="str">
            <v>папка-планшет з затиском</v>
          </cell>
          <cell r="C95" t="str">
            <v>шт</v>
          </cell>
          <cell r="D95">
            <v>10</v>
          </cell>
          <cell r="E95">
            <v>194.87520000000001</v>
          </cell>
        </row>
        <row r="96">
          <cell r="B96" t="str">
            <v>швидкозшивач</v>
          </cell>
          <cell r="C96" t="str">
            <v>шт</v>
          </cell>
          <cell r="D96">
            <v>270</v>
          </cell>
          <cell r="E96">
            <v>8.25</v>
          </cell>
        </row>
        <row r="97">
          <cell r="B97" t="str">
            <v>клей-олівець</v>
          </cell>
          <cell r="C97" t="str">
            <v>шт</v>
          </cell>
          <cell r="D97">
            <v>5</v>
          </cell>
          <cell r="E97">
            <v>12.1104</v>
          </cell>
        </row>
        <row r="98">
          <cell r="B98" t="str">
            <v>клей ПВА 35мл</v>
          </cell>
          <cell r="C98" t="str">
            <v>шт</v>
          </cell>
          <cell r="D98">
            <v>10</v>
          </cell>
          <cell r="E98">
            <v>13.147200000000002</v>
          </cell>
        </row>
        <row r="99">
          <cell r="B99" t="str">
            <v>клей ПВА 200 мл</v>
          </cell>
          <cell r="C99" t="str">
            <v>шт</v>
          </cell>
          <cell r="D99">
            <v>10</v>
          </cell>
          <cell r="E99">
            <v>31.75</v>
          </cell>
        </row>
        <row r="100">
          <cell r="B100" t="str">
            <v>клей силікатний 70 г з пензликом (не купували)</v>
          </cell>
          <cell r="C100" t="str">
            <v>шт</v>
          </cell>
          <cell r="D100">
            <v>2</v>
          </cell>
          <cell r="E100">
            <v>6.8112000000000004</v>
          </cell>
        </row>
        <row r="101">
          <cell r="B101" t="str">
            <v>стрічка касова для термопринтерів 57/17м</v>
          </cell>
          <cell r="C101" t="str">
            <v>рул</v>
          </cell>
          <cell r="D101">
            <v>200</v>
          </cell>
          <cell r="E101">
            <v>9.5</v>
          </cell>
        </row>
        <row r="102">
          <cell r="B102" t="str">
            <v>стрічка клеюча прозора 40 мкм</v>
          </cell>
          <cell r="C102" t="str">
            <v>рул</v>
          </cell>
          <cell r="D102">
            <v>4</v>
          </cell>
          <cell r="E102">
            <v>48.25</v>
          </cell>
        </row>
        <row r="103">
          <cell r="B103" t="str">
            <v>стрічка клеюча прозора 24*20</v>
          </cell>
          <cell r="C103" t="str">
            <v>рул</v>
          </cell>
          <cell r="D103">
            <v>159</v>
          </cell>
          <cell r="E103">
            <v>11.1</v>
          </cell>
        </row>
        <row r="104">
          <cell r="B104" t="str">
            <v>ручка масляна</v>
          </cell>
          <cell r="C104" t="str">
            <v>шт</v>
          </cell>
          <cell r="D104">
            <v>4</v>
          </cell>
          <cell r="E104">
            <v>7.1999999999999993</v>
          </cell>
        </row>
        <row r="105">
          <cell r="B105" t="str">
            <v>ручка кулькова</v>
          </cell>
          <cell r="C105" t="str">
            <v>шт</v>
          </cell>
          <cell r="D105">
            <v>248</v>
          </cell>
          <cell r="E105">
            <v>17</v>
          </cell>
        </row>
        <row r="106">
          <cell r="B106" t="str">
            <v>ручка-коректор</v>
          </cell>
          <cell r="C106" t="str">
            <v>шт</v>
          </cell>
          <cell r="D106">
            <v>15</v>
          </cell>
          <cell r="E106">
            <v>21.25</v>
          </cell>
        </row>
        <row r="107">
          <cell r="B107" t="str">
            <v>стрижень кульковий (не купували)</v>
          </cell>
          <cell r="C107" t="str">
            <v>шт</v>
          </cell>
          <cell r="D107">
            <v>296</v>
          </cell>
          <cell r="E107">
            <v>2.1</v>
          </cell>
        </row>
        <row r="108">
          <cell r="B108" t="str">
            <v>чинка металева</v>
          </cell>
          <cell r="C108" t="str">
            <v>шт</v>
          </cell>
          <cell r="D108">
            <v>2</v>
          </cell>
          <cell r="E108">
            <v>10</v>
          </cell>
        </row>
        <row r="109">
          <cell r="B109" t="str">
            <v xml:space="preserve">олівець креслярський </v>
          </cell>
          <cell r="C109" t="str">
            <v>шт</v>
          </cell>
          <cell r="D109">
            <v>10</v>
          </cell>
          <cell r="E109">
            <v>36</v>
          </cell>
        </row>
        <row r="110">
          <cell r="B110" t="str">
            <v>олівець чорнографітовий без гумки</v>
          </cell>
          <cell r="C110" t="str">
            <v>шт</v>
          </cell>
          <cell r="D110">
            <v>50</v>
          </cell>
          <cell r="E110">
            <v>6.5</v>
          </cell>
        </row>
        <row r="111">
          <cell r="B111" t="str">
            <v>олівець 0.5 мм</v>
          </cell>
          <cell r="C111" t="str">
            <v>шт</v>
          </cell>
          <cell r="D111">
            <v>4</v>
          </cell>
          <cell r="E111">
            <v>10.25</v>
          </cell>
        </row>
        <row r="112">
          <cell r="B112" t="str">
            <v>грифель 0.5 мм</v>
          </cell>
          <cell r="C112" t="str">
            <v>пач</v>
          </cell>
          <cell r="D112">
            <v>10</v>
          </cell>
          <cell r="E112">
            <v>23.25</v>
          </cell>
        </row>
        <row r="113">
          <cell r="B113" t="str">
            <v>скріпка канцелярська 25мм (1000 шт.)</v>
          </cell>
          <cell r="C113" t="str">
            <v>шт</v>
          </cell>
          <cell r="D113">
            <v>13</v>
          </cell>
          <cell r="E113">
            <v>10.007999999999999</v>
          </cell>
        </row>
        <row r="114">
          <cell r="B114" t="str">
            <v>скріпка канцелярська кругла 25мм (100 шт.)</v>
          </cell>
          <cell r="C114" t="str">
            <v>пач</v>
          </cell>
          <cell r="D114">
            <v>27</v>
          </cell>
          <cell r="E114">
            <v>11.2608</v>
          </cell>
        </row>
        <row r="115">
          <cell r="B115" t="str">
            <v>скоби № 10 (1000 шт.)</v>
          </cell>
          <cell r="C115" t="str">
            <v>пач</v>
          </cell>
          <cell r="D115">
            <v>33</v>
          </cell>
          <cell r="E115">
            <v>11.735999999999999</v>
          </cell>
        </row>
        <row r="116">
          <cell r="B116" t="str">
            <v>скоби № 10 /5</v>
          </cell>
          <cell r="C116" t="str">
            <v>пач</v>
          </cell>
          <cell r="D116">
            <v>10</v>
          </cell>
          <cell r="E116">
            <v>10.799999999999999</v>
          </cell>
        </row>
        <row r="117">
          <cell r="B117" t="str">
            <v>скобы 24</v>
          </cell>
          <cell r="C117" t="str">
            <v>пач</v>
          </cell>
          <cell r="D117">
            <v>4</v>
          </cell>
          <cell r="E117">
            <v>17.75</v>
          </cell>
        </row>
        <row r="118">
          <cell r="B118" t="str">
            <v>маркер текстовий</v>
          </cell>
          <cell r="C118" t="str">
            <v>шт</v>
          </cell>
          <cell r="D118">
            <v>20</v>
          </cell>
          <cell r="E118">
            <v>26</v>
          </cell>
        </row>
        <row r="119">
          <cell r="B119" t="str">
            <v>маркер</v>
          </cell>
          <cell r="C119" t="str">
            <v>шт</v>
          </cell>
          <cell r="D119">
            <v>41</v>
          </cell>
          <cell r="E119">
            <v>28.104000000000003</v>
          </cell>
        </row>
        <row r="120">
          <cell r="B120" t="str">
            <v>Гумка SunpearI,чорнило-олівець</v>
          </cell>
          <cell r="C120" t="str">
            <v>шт</v>
          </cell>
          <cell r="D120">
            <v>22</v>
          </cell>
          <cell r="E120">
            <v>10.699199999999998</v>
          </cell>
        </row>
        <row r="121">
          <cell r="B121" t="str">
            <v>гумки для грошей 200 гр</v>
          </cell>
          <cell r="C121" t="str">
            <v>пач</v>
          </cell>
          <cell r="D121">
            <v>5</v>
          </cell>
          <cell r="E121">
            <v>136.25</v>
          </cell>
        </row>
        <row r="122">
          <cell r="B122" t="str">
            <v>ніж канцелярский</v>
          </cell>
          <cell r="C122" t="str">
            <v>шт</v>
          </cell>
          <cell r="D122">
            <v>10</v>
          </cell>
          <cell r="E122">
            <v>63.995999999999995</v>
          </cell>
        </row>
        <row r="123">
          <cell r="B123" t="str">
            <v>папір для нотаток 90х90х80мм</v>
          </cell>
          <cell r="C123" t="str">
            <v>пач</v>
          </cell>
          <cell r="D123">
            <v>15</v>
          </cell>
          <cell r="E123">
            <v>96.3</v>
          </cell>
        </row>
        <row r="124">
          <cell r="B124" t="str">
            <v>папір офісний А 3</v>
          </cell>
          <cell r="C124" t="str">
            <v>пач</v>
          </cell>
          <cell r="D124">
            <v>1</v>
          </cell>
          <cell r="E124">
            <v>616.25</v>
          </cell>
        </row>
        <row r="125">
          <cell r="B125" t="str">
            <v>папір офісний А4, 500 арк.</v>
          </cell>
          <cell r="C125" t="str">
            <v>пач</v>
          </cell>
          <cell r="D125">
            <v>200</v>
          </cell>
          <cell r="E125">
            <v>196.2</v>
          </cell>
        </row>
        <row r="126">
          <cell r="B126" t="str">
            <v>папір офісний А4</v>
          </cell>
          <cell r="C126" t="str">
            <v>пач</v>
          </cell>
          <cell r="D126">
            <v>2</v>
          </cell>
          <cell r="E126">
            <v>318</v>
          </cell>
        </row>
        <row r="127">
          <cell r="B127" t="str">
            <v>папір офісний А5</v>
          </cell>
          <cell r="C127" t="str">
            <v>пач</v>
          </cell>
          <cell r="D127">
            <v>45</v>
          </cell>
          <cell r="E127">
            <v>106.5</v>
          </cell>
        </row>
        <row r="128">
          <cell r="B128" t="str">
            <v>файл-конверт А4 100 шт</v>
          </cell>
          <cell r="C128" t="str">
            <v>пач</v>
          </cell>
          <cell r="D128">
            <v>22</v>
          </cell>
          <cell r="E128">
            <v>151.19999999999999</v>
          </cell>
        </row>
        <row r="129">
          <cell r="B129" t="str">
            <v>закладка неонова 5 кольорів 12х45мм,125шт,cтрілка</v>
          </cell>
          <cell r="C129" t="str">
            <v>пач</v>
          </cell>
          <cell r="D129">
            <v>10</v>
          </cell>
          <cell r="E129">
            <v>18.446400000000001</v>
          </cell>
        </row>
        <row r="130">
          <cell r="B130" t="str">
            <v xml:space="preserve">подорожній лист </v>
          </cell>
          <cell r="C130" t="str">
            <v>пач</v>
          </cell>
          <cell r="D130">
            <v>20</v>
          </cell>
          <cell r="E130">
            <v>151.5</v>
          </cell>
        </row>
        <row r="131">
          <cell r="B131" t="str">
            <v xml:space="preserve">календар настінний </v>
          </cell>
          <cell r="C131" t="str">
            <v>шт</v>
          </cell>
          <cell r="D131">
            <v>15</v>
          </cell>
          <cell r="E131">
            <v>109.08</v>
          </cell>
        </row>
        <row r="132">
          <cell r="B132" t="str">
            <v>календарь перекедной</v>
          </cell>
          <cell r="C132" t="str">
            <v>шт</v>
          </cell>
          <cell r="D132">
            <v>7</v>
          </cell>
          <cell r="E132">
            <v>34.295999999999999</v>
          </cell>
        </row>
        <row r="133">
          <cell r="B133" t="str">
            <v>ножницы с резин.вставками</v>
          </cell>
          <cell r="C133" t="str">
            <v>шт</v>
          </cell>
          <cell r="D133">
            <v>8</v>
          </cell>
          <cell r="E133">
            <v>56.5</v>
          </cell>
        </row>
        <row r="134">
          <cell r="B134" t="str">
            <v>степлер  № 10</v>
          </cell>
          <cell r="C134" t="str">
            <v>шт</v>
          </cell>
          <cell r="D134">
            <v>10</v>
          </cell>
          <cell r="E134">
            <v>75.75</v>
          </cell>
        </row>
        <row r="135">
          <cell r="B135" t="str">
            <v>антистеплер</v>
          </cell>
          <cell r="C135" t="str">
            <v>шт</v>
          </cell>
          <cell r="D135">
            <v>5</v>
          </cell>
          <cell r="E135">
            <v>33.25</v>
          </cell>
        </row>
        <row r="136">
          <cell r="B136" t="str">
            <v>затиск для паперу 25 мм</v>
          </cell>
          <cell r="C136" t="str">
            <v>шт</v>
          </cell>
          <cell r="D136">
            <v>10</v>
          </cell>
          <cell r="E136">
            <v>28.584</v>
          </cell>
        </row>
        <row r="137">
          <cell r="B137" t="str">
            <v>затиск для паперу 19 мм</v>
          </cell>
          <cell r="C137" t="str">
            <v>шт</v>
          </cell>
          <cell r="D137">
            <v>10</v>
          </cell>
          <cell r="E137">
            <v>15.75</v>
          </cell>
        </row>
        <row r="138">
          <cell r="B138" t="str">
            <v xml:space="preserve">кисть флейцевая </v>
          </cell>
          <cell r="C138" t="str">
            <v>шт</v>
          </cell>
          <cell r="D138">
            <v>2</v>
          </cell>
          <cell r="E138">
            <v>36</v>
          </cell>
        </row>
        <row r="139">
          <cell r="B139" t="str">
            <v>пензель-макловиця тип "Мини" 30х120мм натурал.ворс</v>
          </cell>
          <cell r="C139" t="str">
            <v>шт</v>
          </cell>
          <cell r="D139">
            <v>2</v>
          </cell>
          <cell r="E139">
            <v>42.48</v>
          </cell>
        </row>
        <row r="140">
          <cell r="B140" t="str">
            <v>фарба штемпельна</v>
          </cell>
          <cell r="C140" t="str">
            <v>шт</v>
          </cell>
          <cell r="D140">
            <v>9</v>
          </cell>
          <cell r="E140">
            <v>49.247999999999998</v>
          </cell>
        </row>
        <row r="141">
          <cell r="B141" t="str">
            <v>реєстратор 50 мм двостор.</v>
          </cell>
          <cell r="C141" t="str">
            <v>шт</v>
          </cell>
          <cell r="D141">
            <v>105</v>
          </cell>
          <cell r="E141">
            <v>80.5</v>
          </cell>
        </row>
        <row r="142">
          <cell r="B142" t="str">
            <v>чинка металева</v>
          </cell>
          <cell r="C142" t="str">
            <v>шт</v>
          </cell>
          <cell r="D142">
            <v>4</v>
          </cell>
          <cell r="E142">
            <v>10</v>
          </cell>
        </row>
        <row r="143">
          <cell r="B143" t="str">
            <v>діркопробивач  Welle-2 20 аркушів чорний</v>
          </cell>
          <cell r="C143" t="str">
            <v>шт</v>
          </cell>
          <cell r="D143">
            <v>2</v>
          </cell>
          <cell r="E143">
            <v>112.752</v>
          </cell>
        </row>
        <row r="144">
          <cell r="B144" t="str">
            <v>штемпель самонабиратель</v>
          </cell>
          <cell r="C144" t="str">
            <v>шт</v>
          </cell>
          <cell r="D144">
            <v>1</v>
          </cell>
          <cell r="E144">
            <v>365.16</v>
          </cell>
        </row>
        <row r="145">
          <cell r="B145"/>
          <cell r="C145"/>
          <cell r="D145"/>
          <cell r="E145"/>
        </row>
        <row r="146">
          <cell r="B146"/>
          <cell r="C146"/>
          <cell r="D146"/>
          <cell r="E146"/>
        </row>
        <row r="147">
          <cell r="F147">
            <v>89149.1204</v>
          </cell>
        </row>
        <row r="150">
          <cell r="B150" t="str">
            <v>картридж лазерний Canon 052H</v>
          </cell>
          <cell r="C150" t="str">
            <v>шт</v>
          </cell>
          <cell r="D150">
            <v>2</v>
          </cell>
          <cell r="E150">
            <v>4978.8</v>
          </cell>
        </row>
        <row r="151">
          <cell r="B151" t="str">
            <v>Драм-картридж Xerox WC 5016/5020</v>
          </cell>
          <cell r="C151" t="str">
            <v>шт</v>
          </cell>
          <cell r="D151">
            <v>1</v>
          </cell>
          <cell r="E151">
            <v>3956.3999999999996</v>
          </cell>
        </row>
        <row r="152">
          <cell r="B152" t="str">
            <v>картридж  Xerox WC 5016/5020 комплект 2шт</v>
          </cell>
          <cell r="C152" t="str">
            <v>комп</v>
          </cell>
          <cell r="D152">
            <v>1</v>
          </cell>
          <cell r="E152">
            <v>1384.17</v>
          </cell>
        </row>
        <row r="153">
          <cell r="B153" t="str">
            <v>картридж лазерний Xerox WC 5016/5020</v>
          </cell>
          <cell r="C153" t="str">
            <v>шт</v>
          </cell>
          <cell r="D153">
            <v>1</v>
          </cell>
          <cell r="E153">
            <v>3399.17</v>
          </cell>
        </row>
        <row r="154">
          <cell r="B154" t="str">
            <v>эл. Дрель мала (для зшивання документыв)</v>
          </cell>
          <cell r="C154" t="str">
            <v>шт</v>
          </cell>
          <cell r="D154">
            <v>1</v>
          </cell>
          <cell r="E154">
            <v>1008</v>
          </cell>
        </row>
        <row r="155">
          <cell r="B155" t="str">
            <v>калькулятор СИТЕЗЕН</v>
          </cell>
          <cell r="C155" t="str">
            <v>шт</v>
          </cell>
          <cell r="D155">
            <v>3</v>
          </cell>
          <cell r="E155">
            <v>402.27600000000001</v>
          </cell>
        </row>
        <row r="156">
          <cell r="B156" t="str">
            <v>діркопробивач  Welle-2 20 аркушів чорний</v>
          </cell>
          <cell r="C156" t="str">
            <v>шт</v>
          </cell>
          <cell r="D156">
            <v>2</v>
          </cell>
          <cell r="E156">
            <v>112.752</v>
          </cell>
        </row>
        <row r="157">
          <cell r="B157" t="str">
            <v>Підставка настольна для ручок,оліців -канц.</v>
          </cell>
          <cell r="C157" t="str">
            <v>шт</v>
          </cell>
          <cell r="D157">
            <v>5</v>
          </cell>
          <cell r="E157">
            <v>129.6</v>
          </cell>
        </row>
        <row r="158">
          <cell r="B158" t="str">
            <v>проушина 50 мм</v>
          </cell>
          <cell r="C158" t="str">
            <v>шт</v>
          </cell>
          <cell r="D158">
            <v>1</v>
          </cell>
          <cell r="E158">
            <v>6.5</v>
          </cell>
        </row>
        <row r="159">
          <cell r="B159" t="str">
            <v>лоток горизонтальний</v>
          </cell>
          <cell r="C159" t="str">
            <v>шт</v>
          </cell>
          <cell r="D159">
            <v>10</v>
          </cell>
          <cell r="E159">
            <v>87.623999999999995</v>
          </cell>
        </row>
        <row r="160">
          <cell r="B160" t="str">
            <v>лоток горизонтальний</v>
          </cell>
          <cell r="C160" t="str">
            <v>шт</v>
          </cell>
          <cell r="D160">
            <v>8</v>
          </cell>
          <cell r="E160">
            <v>108.91200000000001</v>
          </cell>
        </row>
        <row r="161">
          <cell r="B161" t="str">
            <v>калькулятор</v>
          </cell>
          <cell r="C161" t="str">
            <v>шт</v>
          </cell>
          <cell r="D161">
            <v>2</v>
          </cell>
          <cell r="E161">
            <v>402.27600000000001</v>
          </cell>
        </row>
        <row r="162">
          <cell r="B162" t="str">
            <v>вентилятор настільний</v>
          </cell>
          <cell r="C162" t="str">
            <v>шт</v>
          </cell>
          <cell r="D162">
            <v>1</v>
          </cell>
          <cell r="E162">
            <v>1008</v>
          </cell>
        </row>
        <row r="166">
          <cell r="F166">
            <v>25352.260000000002</v>
          </cell>
        </row>
        <row r="169">
          <cell r="B169" t="str">
            <v>елемент живлення LR 3 (блістер 4 шт)</v>
          </cell>
          <cell r="C169" t="str">
            <v>шт</v>
          </cell>
          <cell r="D169">
            <v>15</v>
          </cell>
          <cell r="E169">
            <v>14.803199999999997</v>
          </cell>
        </row>
        <row r="170">
          <cell r="B170" t="str">
            <v>елемент живлення LR 3 (блістер 4 шт)</v>
          </cell>
          <cell r="C170" t="str">
            <v>шт</v>
          </cell>
          <cell r="D170">
            <v>14</v>
          </cell>
          <cell r="E170">
            <v>14.313599999999999</v>
          </cell>
        </row>
        <row r="171">
          <cell r="B171" t="str">
            <v>елемент живлення LR 6 (блістер 4 шт)</v>
          </cell>
          <cell r="C171" t="str">
            <v>шт</v>
          </cell>
          <cell r="D171">
            <v>10</v>
          </cell>
          <cell r="E171">
            <v>15.25</v>
          </cell>
        </row>
        <row r="172">
          <cell r="B172" t="str">
            <v>батарейка LR3 (мини-пальчик)</v>
          </cell>
          <cell r="C172" t="str">
            <v>шт</v>
          </cell>
          <cell r="D172">
            <v>5</v>
          </cell>
          <cell r="E172">
            <v>15</v>
          </cell>
        </row>
        <row r="173">
          <cell r="B173" t="str">
            <v>Туалетний папір, носові хустинки, рушники для рук і серветки</v>
          </cell>
          <cell r="C173" t="str">
            <v>рул</v>
          </cell>
          <cell r="D173">
            <v>84</v>
          </cell>
          <cell r="E173">
            <v>11.48</v>
          </cell>
        </row>
        <row r="174">
          <cell r="B174" t="str">
            <v xml:space="preserve">Пакети д/сміття 120л </v>
          </cell>
          <cell r="C174" t="str">
            <v>пач</v>
          </cell>
          <cell r="D174">
            <v>3</v>
          </cell>
          <cell r="E174">
            <v>40.33</v>
          </cell>
        </row>
        <row r="175">
          <cell r="B175" t="str">
            <v>пакети для сміття 60 л*20шт</v>
          </cell>
          <cell r="C175" t="str">
            <v>рул</v>
          </cell>
          <cell r="D175">
            <v>24</v>
          </cell>
          <cell r="E175">
            <v>39.25</v>
          </cell>
        </row>
        <row r="176">
          <cell r="B176" t="str">
            <v>пакети для сміття 35 л*90шт</v>
          </cell>
          <cell r="C176" t="str">
            <v>рул</v>
          </cell>
          <cell r="D176">
            <v>15</v>
          </cell>
          <cell r="E176">
            <v>57.3</v>
          </cell>
        </row>
        <row r="177">
          <cell r="B177" t="str">
            <v>швабра</v>
          </cell>
          <cell r="C177" t="str">
            <v>шт</v>
          </cell>
          <cell r="D177">
            <v>2</v>
          </cell>
          <cell r="E177">
            <v>122.71679999999999</v>
          </cell>
        </row>
        <row r="178">
          <cell r="B178" t="str">
            <v>віник сорго великий</v>
          </cell>
          <cell r="C178" t="str">
            <v>шт</v>
          </cell>
          <cell r="D178">
            <v>6</v>
          </cell>
          <cell r="E178">
            <v>98.33</v>
          </cell>
        </row>
        <row r="179">
          <cell r="B179" t="str">
            <v>комплект "Ледар" совок з ручкою 100 см + щітка з короткою щетиною</v>
          </cell>
          <cell r="C179" t="str">
            <v>компл.</v>
          </cell>
          <cell r="D179">
            <v>1</v>
          </cell>
          <cell r="E179">
            <v>136.51199999999997</v>
          </cell>
        </row>
        <row r="180">
          <cell r="B180" t="str">
            <v>Відро</v>
          </cell>
          <cell r="C180" t="str">
            <v>шт</v>
          </cell>
          <cell r="D180">
            <v>1</v>
          </cell>
          <cell r="E180">
            <v>83.333333333333343</v>
          </cell>
        </row>
        <row r="181">
          <cell r="B181" t="str">
            <v>шпагат льнопеньковий армований, бобина</v>
          </cell>
          <cell r="C181" t="str">
            <v>боб</v>
          </cell>
          <cell r="D181">
            <v>0.82499999999999996</v>
          </cell>
          <cell r="E181">
            <v>301</v>
          </cell>
        </row>
        <row r="182">
          <cell r="B182" t="str">
            <v>нитка прошивочная</v>
          </cell>
          <cell r="C182" t="str">
            <v>шт</v>
          </cell>
          <cell r="D182">
            <v>1</v>
          </cell>
          <cell r="E182">
            <v>73</v>
          </cell>
        </row>
        <row r="183">
          <cell r="B183" t="str">
            <v>стрічка клеюча пакувальна каучук,прозора</v>
          </cell>
          <cell r="C183" t="str">
            <v>рул</v>
          </cell>
          <cell r="D183">
            <v>5</v>
          </cell>
          <cell r="E183">
            <v>88.5</v>
          </cell>
        </row>
        <row r="184">
          <cell r="B184" t="str">
            <v>засіб "ГАЛА" для миття посуду 500 мл</v>
          </cell>
          <cell r="C184" t="str">
            <v>шт</v>
          </cell>
          <cell r="D184">
            <v>24</v>
          </cell>
          <cell r="E184">
            <v>46.75</v>
          </cell>
        </row>
        <row r="185">
          <cell r="B185" t="str">
            <v>губка кухонна, 10шт/уп</v>
          </cell>
          <cell r="C185" t="str">
            <v>пач</v>
          </cell>
          <cell r="D185">
            <v>12</v>
          </cell>
          <cell r="E185">
            <v>46.25</v>
          </cell>
        </row>
        <row r="186">
          <cell r="B186" t="str">
            <v>порошок пральний "ПІФ", автомат, 1/450 гр</v>
          </cell>
          <cell r="C186" t="str">
            <v>пач</v>
          </cell>
          <cell r="D186">
            <v>8</v>
          </cell>
          <cell r="E186">
            <v>54.99</v>
          </cell>
        </row>
        <row r="187">
          <cell r="B187" t="str">
            <v>мило рідке, зелене, 5л</v>
          </cell>
          <cell r="C187" t="str">
            <v>шт</v>
          </cell>
          <cell r="D187">
            <v>12</v>
          </cell>
          <cell r="E187">
            <v>142.5</v>
          </cell>
        </row>
        <row r="188">
          <cell r="B188" t="str">
            <v>засіб для миття полу 1000 г</v>
          </cell>
          <cell r="C188" t="str">
            <v>шт</v>
          </cell>
          <cell r="D188">
            <v>48</v>
          </cell>
          <cell r="E188">
            <v>111.42719999999998</v>
          </cell>
        </row>
        <row r="189">
          <cell r="B189" t="str">
            <v>засіб дизенфікуючий Доместос 1000 мл</v>
          </cell>
          <cell r="C189" t="str">
            <v>шт</v>
          </cell>
          <cell r="D189">
            <v>24</v>
          </cell>
          <cell r="E189">
            <v>140.80000000000001</v>
          </cell>
        </row>
        <row r="190">
          <cell r="B190"/>
          <cell r="C190"/>
          <cell r="D190"/>
          <cell r="E190"/>
        </row>
        <row r="191">
          <cell r="F191">
            <v>17910.457933333335</v>
          </cell>
        </row>
        <row r="199">
          <cell r="F199">
            <v>42790</v>
          </cell>
        </row>
        <row r="207">
          <cell r="F207">
            <v>55400</v>
          </cell>
        </row>
      </sheetData>
      <sheetData sheetId="42"/>
      <sheetData sheetId="43"/>
      <sheetData sheetId="44">
        <row r="16">
          <cell r="K16">
            <v>24</v>
          </cell>
        </row>
        <row r="19">
          <cell r="K19">
            <v>0.86099999999999999</v>
          </cell>
        </row>
        <row r="20">
          <cell r="K20">
            <v>0</v>
          </cell>
        </row>
        <row r="21">
          <cell r="K21">
            <v>99.99</v>
          </cell>
        </row>
        <row r="22">
          <cell r="K22">
            <v>0.46416239999999992</v>
          </cell>
        </row>
        <row r="26">
          <cell r="C26">
            <v>592.5</v>
          </cell>
          <cell r="E26">
            <v>2.75</v>
          </cell>
          <cell r="S26">
            <v>1.9848749999999997</v>
          </cell>
        </row>
        <row r="27">
          <cell r="C27">
            <v>296.25</v>
          </cell>
          <cell r="E27">
            <v>1.2</v>
          </cell>
        </row>
        <row r="28">
          <cell r="C28">
            <v>3614.25</v>
          </cell>
          <cell r="E28">
            <v>2.75</v>
          </cell>
        </row>
        <row r="29">
          <cell r="C29">
            <v>1807.125</v>
          </cell>
          <cell r="E29">
            <v>1.2</v>
          </cell>
        </row>
        <row r="30">
          <cell r="C30">
            <v>7228.5</v>
          </cell>
          <cell r="E30">
            <v>2.5</v>
          </cell>
        </row>
        <row r="74">
          <cell r="B74" t="str">
            <v>журнал реєстрації  А4, газ.24арк.</v>
          </cell>
          <cell r="C74" t="str">
            <v>шт</v>
          </cell>
          <cell r="D74">
            <v>1</v>
          </cell>
          <cell r="E74">
            <v>49.75</v>
          </cell>
        </row>
        <row r="75">
          <cell r="B75" t="str">
            <v>блокнот-записник</v>
          </cell>
          <cell r="C75" t="str">
            <v>шт</v>
          </cell>
          <cell r="D75">
            <v>5</v>
          </cell>
          <cell r="E75">
            <v>109.75</v>
          </cell>
        </row>
        <row r="76">
          <cell r="B76" t="str">
            <v>зошит 48 аркушів</v>
          </cell>
          <cell r="C76" t="str">
            <v>шт</v>
          </cell>
          <cell r="D76">
            <v>16</v>
          </cell>
          <cell r="E76">
            <v>18.3</v>
          </cell>
        </row>
        <row r="77">
          <cell r="B77" t="str">
            <v xml:space="preserve">зошит, А4, 176 арк., тв.палітурка, </v>
          </cell>
          <cell r="C77" t="str">
            <v>шт</v>
          </cell>
          <cell r="D77">
            <v>5</v>
          </cell>
          <cell r="E77">
            <v>112.25</v>
          </cell>
        </row>
        <row r="78">
          <cell r="B78" t="str">
            <v>зошит 96 аркушів</v>
          </cell>
          <cell r="C78" t="str">
            <v>шт</v>
          </cell>
          <cell r="D78">
            <v>10</v>
          </cell>
          <cell r="E78">
            <v>51.6</v>
          </cell>
        </row>
        <row r="79">
          <cell r="B79" t="str">
            <v>папка-швидкозшивач з перфорацією</v>
          </cell>
          <cell r="C79" t="str">
            <v>шт</v>
          </cell>
          <cell r="D79">
            <v>100</v>
          </cell>
          <cell r="E79">
            <v>4.5</v>
          </cell>
        </row>
        <row r="80">
          <cell r="B80" t="str">
            <v>папка-швидкозшивач з перфорацією</v>
          </cell>
          <cell r="C80" t="str">
            <v>шт</v>
          </cell>
          <cell r="D80">
            <v>50</v>
          </cell>
          <cell r="E80">
            <v>6.5</v>
          </cell>
        </row>
        <row r="81">
          <cell r="B81" t="str">
            <v>папка "Дело"("Справа")</v>
          </cell>
          <cell r="C81" t="str">
            <v>шт</v>
          </cell>
          <cell r="D81">
            <v>30</v>
          </cell>
          <cell r="E81">
            <v>5.75</v>
          </cell>
        </row>
        <row r="82">
          <cell r="B82" t="str">
            <v>папка-швидкозшивач с проз.верхом</v>
          </cell>
          <cell r="C82" t="str">
            <v>шт</v>
          </cell>
          <cell r="D82">
            <v>13</v>
          </cell>
          <cell r="E82">
            <v>6.25</v>
          </cell>
        </row>
        <row r="83">
          <cell r="B83" t="str">
            <v>папка для паперів на зав"язках</v>
          </cell>
          <cell r="C83" t="str">
            <v>шт</v>
          </cell>
          <cell r="D83">
            <v>40</v>
          </cell>
          <cell r="E83">
            <v>9.75</v>
          </cell>
        </row>
        <row r="84">
          <cell r="B84" t="str">
            <v>папка А4 пластикова</v>
          </cell>
          <cell r="C84" t="str">
            <v>шт</v>
          </cell>
          <cell r="D84">
            <v>1</v>
          </cell>
          <cell r="E84">
            <v>11.25</v>
          </cell>
        </row>
        <row r="85">
          <cell r="B85" t="str">
            <v>папка дисплей на 20л</v>
          </cell>
          <cell r="C85" t="str">
            <v>шт</v>
          </cell>
          <cell r="D85">
            <v>3</v>
          </cell>
          <cell r="E85">
            <v>50.5</v>
          </cell>
        </row>
        <row r="86">
          <cell r="B86" t="str">
            <v>папка-планшет з затиском</v>
          </cell>
          <cell r="C86" t="str">
            <v>шт</v>
          </cell>
          <cell r="D86">
            <v>20</v>
          </cell>
          <cell r="E86">
            <v>194.87520000000001</v>
          </cell>
        </row>
        <row r="87">
          <cell r="B87" t="str">
            <v>швидкозшивач</v>
          </cell>
          <cell r="C87" t="str">
            <v>шт</v>
          </cell>
          <cell r="D87">
            <v>270</v>
          </cell>
          <cell r="E87">
            <v>8.25</v>
          </cell>
        </row>
        <row r="88">
          <cell r="B88" t="str">
            <v>клей-олівець</v>
          </cell>
          <cell r="C88" t="str">
            <v>шт</v>
          </cell>
          <cell r="D88">
            <v>5</v>
          </cell>
          <cell r="E88">
            <v>12.1104</v>
          </cell>
        </row>
        <row r="89">
          <cell r="B89" t="str">
            <v>клей ПВА 35мл</v>
          </cell>
          <cell r="C89" t="str">
            <v>шт</v>
          </cell>
          <cell r="D89">
            <v>20</v>
          </cell>
          <cell r="E89">
            <v>13.147200000000002</v>
          </cell>
        </row>
        <row r="90">
          <cell r="B90" t="str">
            <v>клей ПВА 200 мл</v>
          </cell>
          <cell r="C90" t="str">
            <v>шт</v>
          </cell>
          <cell r="D90">
            <v>15</v>
          </cell>
          <cell r="E90">
            <v>31.75</v>
          </cell>
        </row>
        <row r="91">
          <cell r="B91" t="str">
            <v>клей силікатний 70 г з пензликом (не купували)</v>
          </cell>
          <cell r="C91" t="str">
            <v>шт</v>
          </cell>
          <cell r="D91">
            <v>2</v>
          </cell>
          <cell r="E91">
            <v>6.8112000000000004</v>
          </cell>
        </row>
        <row r="92">
          <cell r="B92" t="str">
            <v>стрічка касова для термопринтерів 57/17м</v>
          </cell>
          <cell r="C92" t="str">
            <v>рул</v>
          </cell>
          <cell r="D92">
            <v>100</v>
          </cell>
          <cell r="E92">
            <v>9.5</v>
          </cell>
        </row>
        <row r="93">
          <cell r="B93" t="str">
            <v>стрічка клеюча прозора 40 мкм</v>
          </cell>
          <cell r="C93" t="str">
            <v>рул</v>
          </cell>
          <cell r="D93">
            <v>4</v>
          </cell>
          <cell r="E93">
            <v>48.25</v>
          </cell>
        </row>
        <row r="94">
          <cell r="B94" t="str">
            <v>стрічка клеюча прозора 24*20</v>
          </cell>
          <cell r="C94" t="str">
            <v>рул</v>
          </cell>
          <cell r="D94">
            <v>159</v>
          </cell>
          <cell r="E94">
            <v>11.1</v>
          </cell>
        </row>
        <row r="95">
          <cell r="B95" t="str">
            <v>ручка масляна</v>
          </cell>
          <cell r="C95" t="str">
            <v>шт</v>
          </cell>
          <cell r="D95">
            <v>4</v>
          </cell>
          <cell r="E95">
            <v>7.1999999999999993</v>
          </cell>
        </row>
        <row r="96">
          <cell r="B96" t="str">
            <v>ручка кулькова</v>
          </cell>
          <cell r="C96" t="str">
            <v>шт</v>
          </cell>
          <cell r="D96">
            <v>248</v>
          </cell>
          <cell r="E96">
            <v>17</v>
          </cell>
        </row>
        <row r="97">
          <cell r="B97" t="str">
            <v>ручка-коректор</v>
          </cell>
          <cell r="C97" t="str">
            <v>шт</v>
          </cell>
          <cell r="D97">
            <v>15</v>
          </cell>
          <cell r="E97">
            <v>21.25</v>
          </cell>
        </row>
        <row r="98">
          <cell r="B98" t="str">
            <v>стрижень кульковий (не купували)</v>
          </cell>
          <cell r="C98" t="str">
            <v>шт</v>
          </cell>
          <cell r="D98">
            <v>296</v>
          </cell>
          <cell r="E98">
            <v>2.1</v>
          </cell>
        </row>
        <row r="99">
          <cell r="B99" t="str">
            <v>чинка металева</v>
          </cell>
          <cell r="C99" t="str">
            <v>шт</v>
          </cell>
          <cell r="D99">
            <v>2</v>
          </cell>
          <cell r="E99">
            <v>10</v>
          </cell>
        </row>
        <row r="100">
          <cell r="B100" t="str">
            <v xml:space="preserve">олівець креслярський </v>
          </cell>
          <cell r="C100" t="str">
            <v>шт</v>
          </cell>
          <cell r="D100">
            <v>10</v>
          </cell>
          <cell r="E100">
            <v>36</v>
          </cell>
        </row>
        <row r="101">
          <cell r="B101" t="str">
            <v>олівець чорнографітовий без гумки</v>
          </cell>
          <cell r="C101" t="str">
            <v>шт</v>
          </cell>
          <cell r="D101">
            <v>70</v>
          </cell>
          <cell r="E101">
            <v>6.5</v>
          </cell>
        </row>
        <row r="102">
          <cell r="B102" t="str">
            <v>олівець 0.5 мм</v>
          </cell>
          <cell r="C102" t="str">
            <v>шт</v>
          </cell>
          <cell r="D102">
            <v>4</v>
          </cell>
          <cell r="E102">
            <v>10.25</v>
          </cell>
        </row>
        <row r="103">
          <cell r="B103" t="str">
            <v>грифель 0.5 мм</v>
          </cell>
          <cell r="C103" t="str">
            <v>пач</v>
          </cell>
          <cell r="D103">
            <v>10</v>
          </cell>
          <cell r="E103">
            <v>23.25</v>
          </cell>
        </row>
        <row r="104">
          <cell r="B104" t="str">
            <v>скріпка канцелярська 25мм (1000 шт.)</v>
          </cell>
          <cell r="C104" t="str">
            <v>шт</v>
          </cell>
          <cell r="D104">
            <v>13</v>
          </cell>
          <cell r="E104">
            <v>10.007999999999999</v>
          </cell>
        </row>
        <row r="105">
          <cell r="B105" t="str">
            <v>скріпка канцелярська кругла 25мм (100 шт.)</v>
          </cell>
          <cell r="C105" t="str">
            <v>пач</v>
          </cell>
          <cell r="D105">
            <v>27</v>
          </cell>
          <cell r="E105">
            <v>11.2608</v>
          </cell>
        </row>
        <row r="106">
          <cell r="B106" t="str">
            <v>скоби № 10 (1000 шт.)</v>
          </cell>
          <cell r="C106" t="str">
            <v>пач</v>
          </cell>
          <cell r="D106">
            <v>33</v>
          </cell>
          <cell r="E106">
            <v>11.735999999999999</v>
          </cell>
        </row>
        <row r="107">
          <cell r="B107" t="str">
            <v>скоби № 10 /5</v>
          </cell>
          <cell r="C107" t="str">
            <v>пач</v>
          </cell>
          <cell r="D107">
            <v>10</v>
          </cell>
          <cell r="E107">
            <v>10.799999999999999</v>
          </cell>
        </row>
        <row r="108">
          <cell r="B108" t="str">
            <v>скобы 24</v>
          </cell>
          <cell r="C108" t="str">
            <v>пач</v>
          </cell>
          <cell r="D108">
            <v>5</v>
          </cell>
          <cell r="E108">
            <v>17.75</v>
          </cell>
        </row>
        <row r="109">
          <cell r="B109" t="str">
            <v>маркер текстовий</v>
          </cell>
          <cell r="C109" t="str">
            <v>шт</v>
          </cell>
          <cell r="D109">
            <v>20</v>
          </cell>
          <cell r="E109">
            <v>26</v>
          </cell>
        </row>
        <row r="110">
          <cell r="B110" t="str">
            <v>маркер</v>
          </cell>
          <cell r="C110" t="str">
            <v>шт</v>
          </cell>
          <cell r="D110">
            <v>41</v>
          </cell>
          <cell r="E110">
            <v>28.104000000000003</v>
          </cell>
        </row>
        <row r="111">
          <cell r="B111" t="str">
            <v>Гумка SunpearI,чорнило-олівець</v>
          </cell>
          <cell r="C111" t="str">
            <v>шт</v>
          </cell>
          <cell r="D111">
            <v>22</v>
          </cell>
          <cell r="E111">
            <v>10.699199999999998</v>
          </cell>
        </row>
        <row r="112">
          <cell r="B112" t="str">
            <v>гумки для грошей 200 гр</v>
          </cell>
          <cell r="C112" t="str">
            <v>пач</v>
          </cell>
          <cell r="D112">
            <v>10</v>
          </cell>
          <cell r="E112">
            <v>136.25</v>
          </cell>
        </row>
        <row r="113">
          <cell r="B113" t="str">
            <v>ніж канцелярский</v>
          </cell>
          <cell r="C113" t="str">
            <v>шт</v>
          </cell>
          <cell r="D113">
            <v>10</v>
          </cell>
          <cell r="E113">
            <v>63.995999999999995</v>
          </cell>
        </row>
        <row r="114">
          <cell r="B114" t="str">
            <v>папір для нотаток 90х90х80мм</v>
          </cell>
          <cell r="C114" t="str">
            <v>пач</v>
          </cell>
          <cell r="D114">
            <v>15</v>
          </cell>
          <cell r="E114">
            <v>96.3</v>
          </cell>
        </row>
        <row r="115">
          <cell r="B115" t="str">
            <v>папір офісний А 3</v>
          </cell>
          <cell r="C115" t="str">
            <v>пач</v>
          </cell>
          <cell r="D115">
            <v>1</v>
          </cell>
          <cell r="E115">
            <v>616.25</v>
          </cell>
        </row>
        <row r="116">
          <cell r="B116" t="str">
            <v>папір офісний А4, 500 арк.</v>
          </cell>
          <cell r="C116" t="str">
            <v>пач</v>
          </cell>
          <cell r="D116">
            <v>200</v>
          </cell>
          <cell r="E116">
            <v>196.2</v>
          </cell>
        </row>
        <row r="117">
          <cell r="B117" t="str">
            <v>папір офісний А4</v>
          </cell>
          <cell r="C117" t="str">
            <v>пач</v>
          </cell>
          <cell r="D117">
            <v>2</v>
          </cell>
          <cell r="E117">
            <v>318</v>
          </cell>
        </row>
        <row r="118">
          <cell r="B118" t="str">
            <v>папір офісний А5</v>
          </cell>
          <cell r="C118" t="str">
            <v>пач</v>
          </cell>
          <cell r="D118">
            <v>45</v>
          </cell>
          <cell r="E118">
            <v>106.5</v>
          </cell>
        </row>
        <row r="119">
          <cell r="B119" t="str">
            <v>файл-конверт А4 100 шт</v>
          </cell>
          <cell r="C119" t="str">
            <v>пач</v>
          </cell>
          <cell r="D119">
            <v>22</v>
          </cell>
          <cell r="E119">
            <v>151.19999999999999</v>
          </cell>
        </row>
        <row r="120">
          <cell r="B120" t="str">
            <v>закладка неонова 5 кольорів 12х45мм,125шт,cтрілка</v>
          </cell>
          <cell r="C120" t="str">
            <v>пач</v>
          </cell>
          <cell r="D120">
            <v>10</v>
          </cell>
          <cell r="E120">
            <v>18.446400000000001</v>
          </cell>
        </row>
        <row r="121">
          <cell r="B121" t="str">
            <v xml:space="preserve">подорожній лист </v>
          </cell>
          <cell r="C121" t="str">
            <v>пач</v>
          </cell>
          <cell r="D121">
            <v>20</v>
          </cell>
          <cell r="E121">
            <v>151.5</v>
          </cell>
        </row>
        <row r="122">
          <cell r="B122" t="str">
            <v xml:space="preserve">календар настінний </v>
          </cell>
          <cell r="C122" t="str">
            <v>шт</v>
          </cell>
          <cell r="D122">
            <v>8</v>
          </cell>
          <cell r="E122">
            <v>109.08</v>
          </cell>
        </row>
        <row r="123">
          <cell r="B123" t="str">
            <v>календарь перекедной</v>
          </cell>
          <cell r="C123" t="str">
            <v>шт</v>
          </cell>
          <cell r="D123">
            <v>7</v>
          </cell>
          <cell r="E123">
            <v>34.295999999999999</v>
          </cell>
        </row>
        <row r="124">
          <cell r="B124" t="str">
            <v>ножницы с резин.вставками</v>
          </cell>
          <cell r="C124" t="str">
            <v>шт</v>
          </cell>
          <cell r="D124">
            <v>12</v>
          </cell>
          <cell r="E124">
            <v>56.5</v>
          </cell>
        </row>
        <row r="125">
          <cell r="B125" t="str">
            <v>степлер  № 10</v>
          </cell>
          <cell r="C125" t="str">
            <v>шт</v>
          </cell>
          <cell r="D125">
            <v>10</v>
          </cell>
          <cell r="E125">
            <v>75.75</v>
          </cell>
        </row>
        <row r="126">
          <cell r="B126" t="str">
            <v>антистеплер</v>
          </cell>
          <cell r="C126" t="str">
            <v>шт</v>
          </cell>
          <cell r="D126">
            <v>5</v>
          </cell>
          <cell r="E126">
            <v>33.25</v>
          </cell>
        </row>
        <row r="127">
          <cell r="B127" t="str">
            <v>затиск для паперу 25 мм</v>
          </cell>
          <cell r="C127" t="str">
            <v>шт</v>
          </cell>
          <cell r="D127">
            <v>9</v>
          </cell>
          <cell r="E127">
            <v>28.584</v>
          </cell>
        </row>
        <row r="128">
          <cell r="B128" t="str">
            <v>затиск для паперу 19 мм</v>
          </cell>
          <cell r="C128" t="str">
            <v>шт</v>
          </cell>
          <cell r="D128">
            <v>10</v>
          </cell>
          <cell r="E128">
            <v>15.75</v>
          </cell>
        </row>
        <row r="129">
          <cell r="B129" t="str">
            <v xml:space="preserve">кисть флейцевая </v>
          </cell>
          <cell r="C129" t="str">
            <v>шт</v>
          </cell>
          <cell r="D129">
            <v>2</v>
          </cell>
          <cell r="E129">
            <v>36</v>
          </cell>
        </row>
        <row r="130">
          <cell r="B130" t="str">
            <v>пензель-макловиця тип "Мини" 30х120мм натурал.ворс</v>
          </cell>
          <cell r="C130" t="str">
            <v>шт</v>
          </cell>
          <cell r="D130">
            <v>2</v>
          </cell>
          <cell r="E130">
            <v>42.48</v>
          </cell>
        </row>
        <row r="131">
          <cell r="B131" t="str">
            <v>фарба штемпельна</v>
          </cell>
          <cell r="C131" t="str">
            <v>шт</v>
          </cell>
          <cell r="D131">
            <v>9</v>
          </cell>
          <cell r="E131">
            <v>49.247999999999998</v>
          </cell>
        </row>
        <row r="132">
          <cell r="B132" t="str">
            <v>реєстратор 50 мм двостор.</v>
          </cell>
          <cell r="C132" t="str">
            <v>шт</v>
          </cell>
          <cell r="D132">
            <v>105</v>
          </cell>
          <cell r="E132">
            <v>80.5</v>
          </cell>
        </row>
        <row r="133">
          <cell r="B133" t="str">
            <v>чинка металева</v>
          </cell>
          <cell r="C133" t="str">
            <v>шт</v>
          </cell>
          <cell r="D133">
            <v>4</v>
          </cell>
          <cell r="E133">
            <v>10</v>
          </cell>
        </row>
        <row r="134">
          <cell r="B134" t="str">
            <v>діркопробивач  Welle-2 20 аркушів чорний</v>
          </cell>
          <cell r="C134" t="str">
            <v>шт</v>
          </cell>
          <cell r="D134">
            <v>2</v>
          </cell>
          <cell r="E134">
            <v>112.752</v>
          </cell>
        </row>
        <row r="135">
          <cell r="B135" t="str">
            <v>штемпель самонабиратель</v>
          </cell>
          <cell r="C135" t="str">
            <v>шт</v>
          </cell>
          <cell r="D135">
            <v>1</v>
          </cell>
          <cell r="E135">
            <v>365.16</v>
          </cell>
        </row>
        <row r="136">
          <cell r="B136" t="str">
            <v>елемент живлення LR 3 (блістер 4 шт)</v>
          </cell>
          <cell r="C136" t="str">
            <v>шт</v>
          </cell>
          <cell r="D136">
            <v>15</v>
          </cell>
          <cell r="E136">
            <v>14.803199999999997</v>
          </cell>
        </row>
        <row r="137">
          <cell r="B137" t="str">
            <v>елемент живлення LR 3 (блістер 4 шт)</v>
          </cell>
          <cell r="C137" t="str">
            <v>шт</v>
          </cell>
          <cell r="D137">
            <v>14</v>
          </cell>
          <cell r="E137">
            <v>14.313599999999999</v>
          </cell>
        </row>
        <row r="138">
          <cell r="B138" t="str">
            <v>елемент живлення LR 6 (блістер 4 шт)</v>
          </cell>
          <cell r="C138" t="str">
            <v>шт</v>
          </cell>
          <cell r="D138">
            <v>10</v>
          </cell>
          <cell r="E138">
            <v>15.25</v>
          </cell>
        </row>
        <row r="139">
          <cell r="B139" t="str">
            <v>батарейка LR3 (мини-пальчик)</v>
          </cell>
          <cell r="C139" t="str">
            <v>шт</v>
          </cell>
          <cell r="D139">
            <v>5</v>
          </cell>
          <cell r="E139">
            <v>15</v>
          </cell>
        </row>
        <row r="140">
          <cell r="B140"/>
          <cell r="C140"/>
          <cell r="D140"/>
          <cell r="E140"/>
        </row>
        <row r="142">
          <cell r="F142">
            <v>91350.888800000001</v>
          </cell>
        </row>
        <row r="145">
          <cell r="B145" t="str">
            <v xml:space="preserve">Подовжувач 5м </v>
          </cell>
          <cell r="C145" t="str">
            <v>шт</v>
          </cell>
          <cell r="D145">
            <v>2</v>
          </cell>
          <cell r="E145">
            <v>339.84</v>
          </cell>
        </row>
        <row r="146">
          <cell r="B146" t="str">
            <v>Подовжувач 3м</v>
          </cell>
          <cell r="C146" t="str">
            <v>шт</v>
          </cell>
          <cell r="D146">
            <v>2</v>
          </cell>
          <cell r="E146">
            <v>240.48</v>
          </cell>
        </row>
        <row r="147">
          <cell r="B147"/>
          <cell r="C147"/>
          <cell r="D147"/>
          <cell r="E147"/>
        </row>
        <row r="151">
          <cell r="B151" t="str">
            <v>Матеріали</v>
          </cell>
        </row>
        <row r="152">
          <cell r="B152" t="str">
            <v>Туалетний папір, носові хустинки, рушники для рук і серветки</v>
          </cell>
          <cell r="C152" t="str">
            <v>рул</v>
          </cell>
          <cell r="D152">
            <v>62</v>
          </cell>
          <cell r="E152">
            <v>11.48</v>
          </cell>
        </row>
        <row r="153">
          <cell r="B153" t="str">
            <v>нитка прошивочная</v>
          </cell>
          <cell r="C153" t="str">
            <v>шт</v>
          </cell>
          <cell r="D153">
            <v>1</v>
          </cell>
          <cell r="E153">
            <v>73</v>
          </cell>
        </row>
        <row r="154">
          <cell r="B154" t="str">
            <v>стрічка клеюча пакувальна каучук,прозора</v>
          </cell>
          <cell r="C154" t="str">
            <v>рул</v>
          </cell>
          <cell r="D154">
            <v>5</v>
          </cell>
          <cell r="E154">
            <v>88.5</v>
          </cell>
        </row>
        <row r="155">
          <cell r="B155"/>
          <cell r="C155"/>
          <cell r="D155"/>
          <cell r="E155"/>
        </row>
        <row r="156">
          <cell r="B156" t="str">
            <v>Усього</v>
          </cell>
          <cell r="C156"/>
          <cell r="E156"/>
        </row>
        <row r="159">
          <cell r="B159" t="str">
            <v>картридж лазерний Canon 052H</v>
          </cell>
          <cell r="C159" t="str">
            <v>шт</v>
          </cell>
          <cell r="D159">
            <v>2</v>
          </cell>
          <cell r="E159">
            <v>4978.8</v>
          </cell>
        </row>
        <row r="160">
          <cell r="B160" t="str">
            <v>Драм-картридж Xerox WC 5016/5020</v>
          </cell>
          <cell r="C160" t="str">
            <v>шт</v>
          </cell>
          <cell r="D160">
            <v>1</v>
          </cell>
          <cell r="E160">
            <v>3956.3999999999996</v>
          </cell>
        </row>
        <row r="161">
          <cell r="B161" t="str">
            <v>картридж  Xerox WC 5016/5020 комплект 2шт</v>
          </cell>
          <cell r="C161" t="str">
            <v>комп</v>
          </cell>
          <cell r="D161">
            <v>1</v>
          </cell>
          <cell r="E161">
            <v>1384.17</v>
          </cell>
        </row>
        <row r="162">
          <cell r="B162" t="str">
            <v>картридж лазерний Xerox WC 5016/5020</v>
          </cell>
          <cell r="C162" t="str">
            <v>шт</v>
          </cell>
          <cell r="D162">
            <v>1</v>
          </cell>
          <cell r="E162">
            <v>3399.17</v>
          </cell>
        </row>
        <row r="163">
          <cell r="B163" t="str">
            <v>эл. Дрель мала (для зшивання документыв)</v>
          </cell>
          <cell r="C163" t="str">
            <v>шт</v>
          </cell>
          <cell r="D163">
            <v>1</v>
          </cell>
          <cell r="E163">
            <v>1008</v>
          </cell>
        </row>
        <row r="164">
          <cell r="B164" t="str">
            <v>калькулятор СИТЕЗЕН</v>
          </cell>
          <cell r="C164" t="str">
            <v>шт</v>
          </cell>
          <cell r="D164">
            <v>3</v>
          </cell>
          <cell r="E164">
            <v>402.27600000000001</v>
          </cell>
        </row>
        <row r="165">
          <cell r="B165" t="str">
            <v>діркопробивач  Welle-2 20 аркушів чорний</v>
          </cell>
          <cell r="C165" t="str">
            <v>шт</v>
          </cell>
          <cell r="D165">
            <v>2</v>
          </cell>
          <cell r="E165">
            <v>112.752</v>
          </cell>
        </row>
        <row r="166">
          <cell r="B166" t="str">
            <v>Підставка настольна для ручок,оліців -канц.</v>
          </cell>
          <cell r="C166" t="str">
            <v>шт</v>
          </cell>
          <cell r="D166">
            <v>5</v>
          </cell>
          <cell r="E166">
            <v>129.6</v>
          </cell>
        </row>
        <row r="167">
          <cell r="B167" t="str">
            <v>проушина 50 мм</v>
          </cell>
          <cell r="C167" t="str">
            <v>шт</v>
          </cell>
          <cell r="D167">
            <v>1</v>
          </cell>
          <cell r="E167">
            <v>6.5</v>
          </cell>
        </row>
        <row r="168">
          <cell r="B168" t="str">
            <v>лоток горизонтальний</v>
          </cell>
          <cell r="C168" t="str">
            <v>шт</v>
          </cell>
          <cell r="D168">
            <v>10</v>
          </cell>
          <cell r="E168">
            <v>87.623999999999995</v>
          </cell>
        </row>
        <row r="169">
          <cell r="B169" t="str">
            <v>лоток горизонтальний</v>
          </cell>
          <cell r="C169" t="str">
            <v>шт</v>
          </cell>
          <cell r="D169">
            <v>8</v>
          </cell>
          <cell r="E169">
            <v>108.91200000000001</v>
          </cell>
        </row>
        <row r="170">
          <cell r="B170" t="str">
            <v>калькулятор</v>
          </cell>
          <cell r="C170" t="str">
            <v>шт</v>
          </cell>
          <cell r="D170">
            <v>2</v>
          </cell>
          <cell r="E170">
            <v>402.27600000000001</v>
          </cell>
        </row>
        <row r="171">
          <cell r="B171" t="str">
            <v>вентилятор настільний</v>
          </cell>
          <cell r="C171" t="str">
            <v>шт</v>
          </cell>
          <cell r="D171">
            <v>1</v>
          </cell>
          <cell r="E171">
            <v>1008</v>
          </cell>
        </row>
        <row r="172">
          <cell r="B172"/>
          <cell r="C172"/>
          <cell r="D172"/>
          <cell r="E172"/>
        </row>
      </sheetData>
      <sheetData sheetId="45"/>
      <sheetData sheetId="46"/>
      <sheetData sheetId="47"/>
      <sheetData sheetId="48"/>
      <sheetData sheetId="49"/>
      <sheetData sheetId="50"/>
      <sheetData sheetId="51"/>
      <sheetData sheetId="52">
        <row r="6">
          <cell r="W6">
            <v>1522.4616199999998</v>
          </cell>
        </row>
        <row r="7">
          <cell r="W7">
            <v>1530.3296199999997</v>
          </cell>
        </row>
        <row r="8">
          <cell r="W8">
            <v>27.623049999999999</v>
          </cell>
        </row>
        <row r="9">
          <cell r="W9">
            <v>321.57948748978794</v>
          </cell>
        </row>
        <row r="14">
          <cell r="U14">
            <v>1035326.6810000001</v>
          </cell>
        </row>
        <row r="15">
          <cell r="U15">
            <v>365309.67800000007</v>
          </cell>
        </row>
        <row r="16">
          <cell r="U16">
            <v>638090.00300000003</v>
          </cell>
        </row>
        <row r="17">
          <cell r="U17">
            <v>31927</v>
          </cell>
        </row>
        <row r="18">
          <cell r="U18">
            <v>48337.11</v>
          </cell>
        </row>
        <row r="19">
          <cell r="U19">
            <v>11553.99</v>
          </cell>
        </row>
        <row r="20">
          <cell r="U20">
            <v>85909.3</v>
          </cell>
        </row>
        <row r="24">
          <cell r="U24">
            <v>678969.99799999991</v>
          </cell>
        </row>
        <row r="25">
          <cell r="U25">
            <v>13165.995000000001</v>
          </cell>
        </row>
        <row r="26">
          <cell r="U26">
            <v>638090.00300000003</v>
          </cell>
        </row>
        <row r="27">
          <cell r="U27">
            <v>27714</v>
          </cell>
        </row>
        <row r="28">
          <cell r="U28">
            <v>42354.46</v>
          </cell>
        </row>
        <row r="29">
          <cell r="U29">
            <v>7853.26</v>
          </cell>
        </row>
        <row r="30">
          <cell r="U30">
            <v>81353</v>
          </cell>
        </row>
        <row r="31">
          <cell r="U31">
            <v>59647</v>
          </cell>
        </row>
        <row r="32">
          <cell r="U32">
            <v>21706</v>
          </cell>
        </row>
        <row r="33">
          <cell r="U33">
            <v>4175.99</v>
          </cell>
        </row>
        <row r="34">
          <cell r="U34">
            <v>3677.27</v>
          </cell>
        </row>
        <row r="38">
          <cell r="B38">
            <v>1179.8</v>
          </cell>
          <cell r="C38">
            <v>1955.8</v>
          </cell>
          <cell r="D38">
            <v>1354</v>
          </cell>
          <cell r="F38">
            <v>968.56</v>
          </cell>
          <cell r="G38">
            <v>2331.8000000000002</v>
          </cell>
          <cell r="H38">
            <v>2599.8000000000002</v>
          </cell>
          <cell r="K38">
            <v>2456.8000000000002</v>
          </cell>
          <cell r="L38">
            <v>2998.8</v>
          </cell>
          <cell r="M38">
            <v>2756.8</v>
          </cell>
          <cell r="P38">
            <v>2333.8000000000002</v>
          </cell>
          <cell r="Q38">
            <v>1891.8</v>
          </cell>
          <cell r="R38">
            <v>1488.8</v>
          </cell>
          <cell r="V38">
            <v>24316.560000000005</v>
          </cell>
        </row>
        <row r="39">
          <cell r="B39">
            <v>3134</v>
          </cell>
          <cell r="C39">
            <v>3109</v>
          </cell>
          <cell r="D39">
            <v>2473</v>
          </cell>
          <cell r="F39">
            <v>2452</v>
          </cell>
          <cell r="G39">
            <v>3813</v>
          </cell>
          <cell r="H39">
            <v>4197</v>
          </cell>
          <cell r="K39">
            <v>4803</v>
          </cell>
          <cell r="L39">
            <v>5030</v>
          </cell>
          <cell r="M39">
            <v>4465</v>
          </cell>
          <cell r="P39">
            <v>3984</v>
          </cell>
          <cell r="Q39">
            <v>3383</v>
          </cell>
          <cell r="R39">
            <v>3214</v>
          </cell>
          <cell r="V39">
            <v>44057</v>
          </cell>
        </row>
        <row r="41">
          <cell r="B41">
            <v>239</v>
          </cell>
          <cell r="C41">
            <v>401</v>
          </cell>
          <cell r="D41">
            <v>231</v>
          </cell>
          <cell r="F41">
            <v>220</v>
          </cell>
          <cell r="G41">
            <v>318</v>
          </cell>
          <cell r="H41">
            <v>286</v>
          </cell>
          <cell r="K41">
            <v>2229</v>
          </cell>
          <cell r="L41">
            <v>1142</v>
          </cell>
          <cell r="M41">
            <v>1227</v>
          </cell>
          <cell r="P41">
            <v>880</v>
          </cell>
          <cell r="Q41">
            <v>388</v>
          </cell>
          <cell r="R41">
            <v>307</v>
          </cell>
          <cell r="V41">
            <v>7868</v>
          </cell>
        </row>
      </sheetData>
      <sheetData sheetId="53"/>
      <sheetData sheetId="54"/>
      <sheetData sheetId="55"/>
      <sheetData sheetId="56">
        <row r="25">
          <cell r="P25">
            <v>1530.32962</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труктура"/>
      <sheetName val="январь"/>
      <sheetName val="01 п"/>
      <sheetName val="февраль"/>
      <sheetName val="02 п"/>
      <sheetName val="март"/>
      <sheetName val="03 п"/>
      <sheetName val="1 кв"/>
      <sheetName val="1 кв п"/>
      <sheetName val="Лист5"/>
      <sheetName val="Лист1"/>
      <sheetName val="2 м п"/>
      <sheetName val="апрель"/>
      <sheetName val="04 п"/>
      <sheetName val="май"/>
      <sheetName val="05 п"/>
      <sheetName val="июнь"/>
      <sheetName val="06 п"/>
      <sheetName val="2 кв"/>
      <sheetName val="2 кв п"/>
      <sheetName val="пів"/>
      <sheetName val="Лист7"/>
      <sheetName val="пол п"/>
      <sheetName val="2 п16+1 п 17"/>
      <sheetName val="июль"/>
      <sheetName val="07 п"/>
      <sheetName val="август"/>
      <sheetName val="08 п"/>
      <sheetName val="сентябрь"/>
      <sheetName val="09 п"/>
      <sheetName val="9 мес"/>
      <sheetName val="9 мес п"/>
      <sheetName val="Лист3"/>
      <sheetName val="окт"/>
      <sheetName val="10 п"/>
      <sheetName val="ноя"/>
      <sheetName val="11 п"/>
      <sheetName val="дек"/>
      <sheetName val="12 п"/>
      <sheetName val="рік"/>
      <sheetName val="год 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J5">
            <v>1530.32962</v>
          </cell>
        </row>
        <row r="6">
          <cell r="J6">
            <v>27.623050000000003</v>
          </cell>
        </row>
        <row r="7">
          <cell r="J7">
            <v>377.99228899999997</v>
          </cell>
        </row>
        <row r="9">
          <cell r="J9">
            <v>978.91388100000006</v>
          </cell>
        </row>
        <row r="10">
          <cell r="J10">
            <v>48.337110000000003</v>
          </cell>
        </row>
        <row r="11">
          <cell r="J11">
            <v>97.463290000000001</v>
          </cell>
        </row>
        <row r="13">
          <cell r="J13">
            <v>11.553990000000001</v>
          </cell>
        </row>
        <row r="73">
          <cell r="J73">
            <v>678.97000500000001</v>
          </cell>
        </row>
        <row r="74">
          <cell r="J74">
            <v>42.354460000000003</v>
          </cell>
        </row>
        <row r="75">
          <cell r="J75">
            <v>89.20626</v>
          </cell>
        </row>
        <row r="77">
          <cell r="J77">
            <v>7.8532600000000006</v>
          </cell>
        </row>
      </sheetData>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тери 23"/>
      <sheetName val="реал 23"/>
      <sheetName val="Лист2"/>
      <sheetName val="Лист1"/>
    </sheetNames>
    <sheetDataSet>
      <sheetData sheetId="0">
        <row r="21">
          <cell r="H21">
            <v>131551.28</v>
          </cell>
        </row>
      </sheetData>
      <sheetData sheetId="1">
        <row r="7">
          <cell r="I7">
            <v>2406</v>
          </cell>
          <cell r="O7">
            <v>310.85000000000002</v>
          </cell>
        </row>
        <row r="8">
          <cell r="I8">
            <v>1985</v>
          </cell>
          <cell r="O8">
            <v>206.8</v>
          </cell>
        </row>
        <row r="9">
          <cell r="I9">
            <v>1564</v>
          </cell>
          <cell r="O9">
            <v>419.42</v>
          </cell>
        </row>
        <row r="11">
          <cell r="I11">
            <v>1601</v>
          </cell>
          <cell r="O11">
            <v>312.10000000000002</v>
          </cell>
        </row>
        <row r="12">
          <cell r="I12">
            <v>1595</v>
          </cell>
          <cell r="O12">
            <v>319.42</v>
          </cell>
        </row>
        <row r="13">
          <cell r="I13">
            <v>2317</v>
          </cell>
          <cell r="O13">
            <v>338.32</v>
          </cell>
        </row>
        <row r="16">
          <cell r="I16">
            <v>1653</v>
          </cell>
          <cell r="O16">
            <v>307.8</v>
          </cell>
        </row>
        <row r="17">
          <cell r="I17">
            <v>1681</v>
          </cell>
          <cell r="O17">
            <v>282.42</v>
          </cell>
        </row>
        <row r="18">
          <cell r="I18">
            <v>1284</v>
          </cell>
          <cell r="O18">
            <v>275.35000000000002</v>
          </cell>
        </row>
        <row r="21">
          <cell r="I21">
            <v>1645</v>
          </cell>
          <cell r="O21">
            <v>291.22000000000003</v>
          </cell>
        </row>
        <row r="22">
          <cell r="I22">
            <v>1902</v>
          </cell>
          <cell r="O22">
            <v>344.55</v>
          </cell>
        </row>
        <row r="23">
          <cell r="I23">
            <v>2073</v>
          </cell>
          <cell r="O23">
            <v>269.02</v>
          </cell>
        </row>
        <row r="54">
          <cell r="C54">
            <v>46912.43</v>
          </cell>
          <cell r="D54">
            <v>10438.93</v>
          </cell>
          <cell r="E54">
            <v>802.14</v>
          </cell>
          <cell r="H54">
            <v>493.28</v>
          </cell>
          <cell r="K54">
            <v>213.16</v>
          </cell>
          <cell r="N54">
            <v>5447</v>
          </cell>
        </row>
        <row r="55">
          <cell r="C55">
            <v>48304.030999999995</v>
          </cell>
          <cell r="D55">
            <v>11350.48</v>
          </cell>
          <cell r="E55">
            <v>1453.6000000000001</v>
          </cell>
          <cell r="H55">
            <v>541.79999999999995</v>
          </cell>
          <cell r="K55">
            <v>339.59999999999997</v>
          </cell>
          <cell r="N55">
            <v>6132</v>
          </cell>
        </row>
        <row r="56">
          <cell r="C56">
            <v>55190.595000000001</v>
          </cell>
          <cell r="D56">
            <v>14216.59</v>
          </cell>
          <cell r="E56">
            <v>1638.83</v>
          </cell>
          <cell r="H56">
            <v>539.52</v>
          </cell>
          <cell r="K56">
            <v>351.78</v>
          </cell>
          <cell r="N56">
            <v>5635</v>
          </cell>
        </row>
        <row r="58">
          <cell r="C58">
            <v>50297.090000000004</v>
          </cell>
          <cell r="D58">
            <v>12746.76</v>
          </cell>
          <cell r="E58">
            <v>1511.6000000000001</v>
          </cell>
          <cell r="H58">
            <v>738.8</v>
          </cell>
          <cell r="K58">
            <v>318.09999999999997</v>
          </cell>
          <cell r="N58">
            <v>6215</v>
          </cell>
        </row>
        <row r="59">
          <cell r="C59">
            <v>54860.901000000005</v>
          </cell>
          <cell r="D59">
            <v>27933.93</v>
          </cell>
          <cell r="E59">
            <v>1167.8699999999999</v>
          </cell>
          <cell r="H59">
            <v>600.52</v>
          </cell>
          <cell r="K59">
            <v>313.23</v>
          </cell>
          <cell r="N59">
            <v>8103</v>
          </cell>
        </row>
        <row r="60">
          <cell r="C60">
            <v>54291.209000000003</v>
          </cell>
          <cell r="D60">
            <v>32453.146000000001</v>
          </cell>
          <cell r="E60">
            <v>3672.7799999999997</v>
          </cell>
          <cell r="H60">
            <v>787.28</v>
          </cell>
          <cell r="K60">
            <v>1282.32</v>
          </cell>
          <cell r="N60">
            <v>6667</v>
          </cell>
        </row>
        <row r="63">
          <cell r="C63">
            <v>51488.288</v>
          </cell>
          <cell r="D63">
            <v>46248.205000000002</v>
          </cell>
          <cell r="E63">
            <v>3689.52</v>
          </cell>
          <cell r="H63">
            <v>548</v>
          </cell>
          <cell r="K63">
            <v>1848</v>
          </cell>
          <cell r="N63">
            <v>8700</v>
          </cell>
        </row>
        <row r="64">
          <cell r="C64">
            <v>52181.035000000003</v>
          </cell>
          <cell r="D64">
            <v>43506.127999999997</v>
          </cell>
          <cell r="E64">
            <v>6225.5999999999995</v>
          </cell>
          <cell r="H64">
            <v>582</v>
          </cell>
          <cell r="K64">
            <v>1994.64</v>
          </cell>
          <cell r="N64">
            <v>11073.8</v>
          </cell>
        </row>
        <row r="65">
          <cell r="C65">
            <v>55387.165000000001</v>
          </cell>
          <cell r="D65">
            <v>43563.968000000001</v>
          </cell>
          <cell r="E65">
            <v>6456.04</v>
          </cell>
          <cell r="H65">
            <v>1306</v>
          </cell>
          <cell r="K65">
            <v>2751.26</v>
          </cell>
          <cell r="N65">
            <v>8052</v>
          </cell>
        </row>
        <row r="68">
          <cell r="C68">
            <v>57014.73</v>
          </cell>
          <cell r="D68">
            <v>33043.957000000002</v>
          </cell>
          <cell r="E68">
            <v>4727.6000000000004</v>
          </cell>
          <cell r="H68">
            <v>1253.82</v>
          </cell>
          <cell r="K68">
            <v>1352.32</v>
          </cell>
          <cell r="N68">
            <v>8362.5</v>
          </cell>
        </row>
        <row r="69">
          <cell r="C69">
            <v>58323.434999999998</v>
          </cell>
          <cell r="D69">
            <v>20219.830999999998</v>
          </cell>
          <cell r="E69">
            <v>2933.6600000000003</v>
          </cell>
          <cell r="H69">
            <v>1141.94</v>
          </cell>
          <cell r="K69">
            <v>545.32000000000005</v>
          </cell>
          <cell r="N69">
            <v>6481</v>
          </cell>
        </row>
        <row r="70">
          <cell r="C70">
            <v>53839.093999999997</v>
          </cell>
          <cell r="D70">
            <v>13174.953000000001</v>
          </cell>
          <cell r="E70">
            <v>3897.2599999999998</v>
          </cell>
          <cell r="H70">
            <v>1627.6499999999999</v>
          </cell>
          <cell r="K70">
            <v>244.26</v>
          </cell>
          <cell r="N70">
            <v>5041</v>
          </cell>
        </row>
        <row r="77">
          <cell r="D77">
            <v>1003</v>
          </cell>
          <cell r="E77">
            <v>1155.27</v>
          </cell>
          <cell r="H77">
            <v>446.28</v>
          </cell>
          <cell r="K77">
            <v>417.15999999999997</v>
          </cell>
          <cell r="N77">
            <v>4514</v>
          </cell>
        </row>
        <row r="78">
          <cell r="D78">
            <v>717</v>
          </cell>
          <cell r="E78">
            <v>1705</v>
          </cell>
          <cell r="H78">
            <v>509.8</v>
          </cell>
          <cell r="K78">
            <v>822.6</v>
          </cell>
          <cell r="N78">
            <v>4319</v>
          </cell>
        </row>
        <row r="79">
          <cell r="D79">
            <v>931</v>
          </cell>
          <cell r="E79">
            <v>2114.9900000000002</v>
          </cell>
          <cell r="H79">
            <v>513.52</v>
          </cell>
          <cell r="K79">
            <v>762.28</v>
          </cell>
          <cell r="N79">
            <v>4524</v>
          </cell>
        </row>
        <row r="81">
          <cell r="D81">
            <v>1227</v>
          </cell>
          <cell r="E81">
            <v>1849</v>
          </cell>
          <cell r="H81">
            <v>709.8</v>
          </cell>
          <cell r="K81">
            <v>261.60000000000002</v>
          </cell>
          <cell r="N81">
            <v>4993</v>
          </cell>
        </row>
        <row r="82">
          <cell r="D82">
            <v>1121</v>
          </cell>
          <cell r="E82">
            <v>1755.03</v>
          </cell>
          <cell r="H82">
            <v>570.52</v>
          </cell>
          <cell r="K82">
            <v>262.23</v>
          </cell>
          <cell r="N82">
            <v>6245</v>
          </cell>
        </row>
        <row r="83">
          <cell r="D83">
            <v>1298</v>
          </cell>
          <cell r="E83">
            <v>2517.04</v>
          </cell>
          <cell r="H83">
            <v>726.28</v>
          </cell>
          <cell r="K83">
            <v>170.32</v>
          </cell>
          <cell r="N83">
            <v>4737</v>
          </cell>
        </row>
        <row r="86">
          <cell r="D86">
            <v>1598</v>
          </cell>
          <cell r="E86">
            <v>3253.95</v>
          </cell>
          <cell r="H86">
            <v>438</v>
          </cell>
          <cell r="K86">
            <v>91</v>
          </cell>
          <cell r="N86">
            <v>5475</v>
          </cell>
        </row>
        <row r="87">
          <cell r="D87">
            <v>994</v>
          </cell>
          <cell r="E87">
            <v>2948.69</v>
          </cell>
          <cell r="H87">
            <v>540</v>
          </cell>
          <cell r="K87">
            <v>169.64</v>
          </cell>
          <cell r="N87">
            <v>6164</v>
          </cell>
        </row>
        <row r="88">
          <cell r="D88">
            <v>1437.6</v>
          </cell>
          <cell r="E88">
            <v>3686.36</v>
          </cell>
          <cell r="H88">
            <v>1138</v>
          </cell>
          <cell r="K88">
            <v>186.26</v>
          </cell>
          <cell r="N88">
            <v>4614</v>
          </cell>
        </row>
        <row r="91">
          <cell r="D91">
            <v>986.39499999999998</v>
          </cell>
          <cell r="E91">
            <v>3693.94</v>
          </cell>
          <cell r="H91">
            <v>1058.82</v>
          </cell>
          <cell r="K91">
            <v>172.32</v>
          </cell>
          <cell r="N91">
            <v>5119</v>
          </cell>
        </row>
        <row r="92">
          <cell r="D92">
            <v>989</v>
          </cell>
          <cell r="E92">
            <v>3543.32</v>
          </cell>
          <cell r="H92">
            <v>1118.94</v>
          </cell>
          <cell r="K92">
            <v>362.32</v>
          </cell>
          <cell r="N92">
            <v>4952</v>
          </cell>
        </row>
        <row r="93">
          <cell r="D93">
            <v>864</v>
          </cell>
          <cell r="E93">
            <v>4760.26</v>
          </cell>
          <cell r="H93">
            <v>1601.6499999999999</v>
          </cell>
          <cell r="K93">
            <v>498.26</v>
          </cell>
          <cell r="N93">
            <v>3991</v>
          </cell>
        </row>
        <row r="100">
          <cell r="B100">
            <v>2532</v>
          </cell>
        </row>
        <row r="101">
          <cell r="B101">
            <v>1998</v>
          </cell>
        </row>
        <row r="102">
          <cell r="B102">
            <v>2374</v>
          </cell>
        </row>
        <row r="104">
          <cell r="B104">
            <v>2562</v>
          </cell>
        </row>
        <row r="105">
          <cell r="B105">
            <v>2539</v>
          </cell>
        </row>
        <row r="106">
          <cell r="B106">
            <v>2632</v>
          </cell>
        </row>
        <row r="109">
          <cell r="B109">
            <v>3133</v>
          </cell>
        </row>
        <row r="110">
          <cell r="B110">
            <v>2623</v>
          </cell>
        </row>
        <row r="111">
          <cell r="B111">
            <v>3694</v>
          </cell>
        </row>
        <row r="114">
          <cell r="B114">
            <v>3129</v>
          </cell>
        </row>
        <row r="115">
          <cell r="B115">
            <v>2443</v>
          </cell>
        </row>
        <row r="116">
          <cell r="B116">
            <v>2268</v>
          </cell>
        </row>
        <row r="123">
          <cell r="B123">
            <v>2489</v>
          </cell>
        </row>
        <row r="124">
          <cell r="B124">
            <v>1952</v>
          </cell>
        </row>
        <row r="125">
          <cell r="B125">
            <v>2249</v>
          </cell>
        </row>
        <row r="127">
          <cell r="B127">
            <v>2450</v>
          </cell>
        </row>
        <row r="128">
          <cell r="B128">
            <v>2408</v>
          </cell>
        </row>
        <row r="129">
          <cell r="B129">
            <v>2461</v>
          </cell>
        </row>
        <row r="132">
          <cell r="B132">
            <v>2365</v>
          </cell>
        </row>
        <row r="133">
          <cell r="B133">
            <v>1707</v>
          </cell>
        </row>
        <row r="134">
          <cell r="B134">
            <v>2617</v>
          </cell>
        </row>
        <row r="137">
          <cell r="B137">
            <v>2447</v>
          </cell>
        </row>
        <row r="138">
          <cell r="B138">
            <v>2317</v>
          </cell>
        </row>
        <row r="139">
          <cell r="B139">
            <v>2252</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труктура"/>
      <sheetName val="январь"/>
      <sheetName val="01 п"/>
      <sheetName val="февраль"/>
      <sheetName val="02 п"/>
      <sheetName val="март"/>
      <sheetName val="03 п"/>
      <sheetName val="1 кв"/>
      <sheetName val="1 кв п"/>
      <sheetName val="Лист1"/>
      <sheetName val="2 м п"/>
      <sheetName val="апрель"/>
      <sheetName val="04 п"/>
      <sheetName val="май"/>
      <sheetName val="05 п"/>
      <sheetName val="июнь"/>
      <sheetName val="06 п"/>
      <sheetName val="2 кв"/>
      <sheetName val="2 кв п"/>
      <sheetName val="полугодие"/>
      <sheetName val="Лист7"/>
      <sheetName val="пол п"/>
      <sheetName val="2 п16+1 п 17"/>
      <sheetName val="июль"/>
      <sheetName val="07 п"/>
      <sheetName val="август"/>
      <sheetName val="08 п"/>
      <sheetName val="сентябрь"/>
      <sheetName val="09 п"/>
      <sheetName val="9 мес"/>
      <sheetName val="9 мес п"/>
      <sheetName val="Лист3"/>
      <sheetName val="окт"/>
      <sheetName val="10 п"/>
      <sheetName val="ноя"/>
      <sheetName val="11 п"/>
      <sheetName val="дек"/>
      <sheetName val="12 п"/>
      <sheetName val="год"/>
      <sheetName val="год п"/>
      <sheetName val="год 2"/>
      <sheetName val="Лист4"/>
      <sheetName val="Лист8"/>
      <sheetName val="год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9">
          <cell r="I9">
            <v>1109.2568130000002</v>
          </cell>
        </row>
        <row r="79">
          <cell r="I79">
            <v>47.17</v>
          </cell>
        </row>
      </sheetData>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1"/>
      <sheetName val="м куб"/>
      <sheetName val="Річний план"/>
      <sheetName val="Річний план ХВ"/>
      <sheetName val="Лист4"/>
      <sheetName val="Лист2"/>
      <sheetName val="ОП 1"/>
      <sheetName val="Лист7"/>
      <sheetName val=" 'К' розподілу ЦВ та ХВ "/>
      <sheetName val="прямі витрати ЦВ та ЦВВ"/>
      <sheetName val="прямі витрати ЦхВ та ЦВВ"/>
      <sheetName val="Тепл"/>
      <sheetName val="ВД"/>
      <sheetName val="матеріали"/>
      <sheetName val="ПММ"/>
      <sheetName val="нат пок"/>
      <sheetName val="загальновиробничі"/>
      <sheetName val="ОП"/>
      <sheetName val="ВОП"/>
      <sheetName val="ВНС"/>
      <sheetName val="КНС"/>
      <sheetName val="АВР"/>
      <sheetName val="площі"/>
      <sheetName val="Адм.,збут"/>
      <sheetName val="Адм"/>
      <sheetName val="Збут"/>
      <sheetName val="пов"/>
      <sheetName val="ливн"/>
      <sheetName val="засувки"/>
      <sheetName val="м3"/>
      <sheetName val="Лист14"/>
      <sheetName val="норми"/>
      <sheetName val="обм.ф"/>
      <sheetName val="Аморт"/>
      <sheetName val="Лист9"/>
      <sheetName val="витр 23"/>
      <sheetName val="Витр"/>
      <sheetName val="дох"/>
      <sheetName val="фінпл"/>
      <sheetName val="ФП"/>
      <sheetName val="ФП 1"/>
      <sheetName val="Лист13"/>
      <sheetName val="звіт 2023"/>
      <sheetName val="кориг тариф"/>
      <sheetName val="Кориг ОПЗ"/>
      <sheetName val="Лист16"/>
      <sheetName val="Лист11"/>
      <sheetName val="1 кв. "/>
      <sheetName val="Лист10"/>
      <sheetName val="ФП НБ"/>
      <sheetName val="Лист12"/>
      <sheetName val="ФП генератор"/>
      <sheetName val="2023 план"/>
      <sheetName val="2020 1"/>
      <sheetName val="2021 зв"/>
      <sheetName val="2022 звіт"/>
      <sheetName val="2021"/>
      <sheetName val="Лист8"/>
      <sheetName val="Лист5"/>
      <sheetName val="1 кв"/>
      <sheetName val="1 півр"/>
      <sheetName val="Лист6"/>
      <sheetName val="порівн"/>
      <sheetName val="реєстр "/>
      <sheetName val="4 "/>
      <sheetName val="5"/>
      <sheetName val="6 "/>
      <sheetName val="7"/>
      <sheetName val="8"/>
      <sheetName val="9"/>
      <sheetName val="10"/>
      <sheetName val="11"/>
      <sheetName val="12"/>
      <sheetName val="13"/>
      <sheetName val="14"/>
      <sheetName val="4 П"/>
      <sheetName val="5П"/>
      <sheetName val="вимоги"/>
    </sheetNames>
    <sheetDataSet>
      <sheetData sheetId="0"/>
      <sheetData sheetId="1"/>
      <sheetData sheetId="2"/>
      <sheetData sheetId="3"/>
      <sheetData sheetId="4"/>
      <sheetData sheetId="5"/>
      <sheetData sheetId="6"/>
      <sheetData sheetId="7"/>
      <sheetData sheetId="8"/>
      <sheetData sheetId="9">
        <row r="30">
          <cell r="C30">
            <v>1</v>
          </cell>
          <cell r="D30">
            <v>0</v>
          </cell>
        </row>
      </sheetData>
      <sheetData sheetId="10"/>
      <sheetData sheetId="11"/>
      <sheetData sheetId="12"/>
      <sheetData sheetId="13"/>
      <sheetData sheetId="14"/>
      <sheetData sheetId="15">
        <row r="17">
          <cell r="AB17">
            <v>21.334716666666665</v>
          </cell>
          <cell r="AH17">
            <v>2.291666666666667</v>
          </cell>
        </row>
        <row r="20">
          <cell r="K20">
            <v>382.01211204166674</v>
          </cell>
          <cell r="Z20">
            <v>48.367240596375019</v>
          </cell>
        </row>
        <row r="34">
          <cell r="E34">
            <v>71</v>
          </cell>
        </row>
      </sheetData>
      <sheetData sheetId="16"/>
      <sheetData sheetId="17">
        <row r="6">
          <cell r="M6">
            <v>8872.0545030716585</v>
          </cell>
        </row>
        <row r="13">
          <cell r="B13">
            <v>664.86494457261438</v>
          </cell>
        </row>
      </sheetData>
      <sheetData sheetId="18">
        <row r="90">
          <cell r="BK90">
            <v>24169.999999999993</v>
          </cell>
          <cell r="BZ90">
            <v>17792.500000000004</v>
          </cell>
          <cell r="CM90">
            <v>25179.054560130895</v>
          </cell>
        </row>
        <row r="104">
          <cell r="BK104">
            <v>11762.5</v>
          </cell>
          <cell r="BZ104">
            <v>1012.5</v>
          </cell>
          <cell r="CM104">
            <v>5404.2305593562678</v>
          </cell>
        </row>
        <row r="112">
          <cell r="BK112">
            <v>13483.953913043477</v>
          </cell>
          <cell r="BZ112">
            <v>18299.651739130433</v>
          </cell>
          <cell r="CM112">
            <v>4281.4747823239959</v>
          </cell>
        </row>
        <row r="122">
          <cell r="BK122">
            <v>0</v>
          </cell>
        </row>
        <row r="123">
          <cell r="BK123">
            <v>12740</v>
          </cell>
          <cell r="BZ123">
            <v>18380</v>
          </cell>
          <cell r="CM123">
            <v>5256.8890191990267</v>
          </cell>
        </row>
        <row r="125">
          <cell r="CM125">
            <v>0</v>
          </cell>
        </row>
        <row r="127">
          <cell r="BZ127">
            <v>8640</v>
          </cell>
        </row>
        <row r="129">
          <cell r="BK129">
            <v>62156.453913043471</v>
          </cell>
          <cell r="BZ129">
            <v>64124.651739130437</v>
          </cell>
        </row>
      </sheetData>
      <sheetData sheetId="19">
        <row r="74">
          <cell r="BH74">
            <v>8039002.5599999987</v>
          </cell>
        </row>
        <row r="89">
          <cell r="BH89">
            <v>57468.6</v>
          </cell>
        </row>
        <row r="90">
          <cell r="BH90">
            <v>175511.26250000001</v>
          </cell>
        </row>
        <row r="91">
          <cell r="BH91">
            <v>24472.981641907714</v>
          </cell>
        </row>
      </sheetData>
      <sheetData sheetId="20">
        <row r="16">
          <cell r="F16">
            <v>8.9062855699999997</v>
          </cell>
        </row>
        <row r="143">
          <cell r="J143">
            <v>124.69168900000001</v>
          </cell>
        </row>
        <row r="161">
          <cell r="B161" t="str">
            <v>Послуги по охороні об'єктів</v>
          </cell>
          <cell r="J161">
            <v>271.92</v>
          </cell>
        </row>
        <row r="164">
          <cell r="J164">
            <v>2.8734117599999998</v>
          </cell>
        </row>
        <row r="167">
          <cell r="J167">
            <v>1.2144999999999999</v>
          </cell>
        </row>
        <row r="168">
          <cell r="J168">
            <v>0</v>
          </cell>
        </row>
        <row r="184">
          <cell r="J184">
            <v>801.50484119999999</v>
          </cell>
        </row>
        <row r="186">
          <cell r="J186">
            <v>3.0151876971314677</v>
          </cell>
        </row>
        <row r="187">
          <cell r="J187">
            <v>13.756411199999892</v>
          </cell>
        </row>
        <row r="188">
          <cell r="J188">
            <v>6988.2051460517032</v>
          </cell>
        </row>
        <row r="192">
          <cell r="I192">
            <v>31796.11341511158</v>
          </cell>
        </row>
        <row r="204">
          <cell r="N204">
            <v>0.56709344017781582</v>
          </cell>
          <cell r="O204">
            <v>0.43290655982218407</v>
          </cell>
        </row>
        <row r="207">
          <cell r="I207">
            <v>2748.8209358556473</v>
          </cell>
          <cell r="N207">
            <v>0.56796720921922805</v>
          </cell>
          <cell r="O207">
            <v>0.43203279078077189</v>
          </cell>
        </row>
        <row r="208">
          <cell r="I208">
            <v>13184.51764652</v>
          </cell>
        </row>
        <row r="209">
          <cell r="I209">
            <v>2179.0393907011166</v>
          </cell>
        </row>
        <row r="211">
          <cell r="I211">
            <v>2397.5101707744971</v>
          </cell>
        </row>
        <row r="214">
          <cell r="I214">
            <v>523.61796000000027</v>
          </cell>
        </row>
        <row r="215">
          <cell r="I215">
            <v>273.07358983644997</v>
          </cell>
        </row>
        <row r="219">
          <cell r="I219">
            <v>988.33348716273667</v>
          </cell>
        </row>
        <row r="223">
          <cell r="I223">
            <v>167.23680666666667</v>
          </cell>
        </row>
        <row r="224">
          <cell r="I224">
            <v>125.10858900000001</v>
          </cell>
        </row>
        <row r="227">
          <cell r="I227">
            <v>7.58815530564</v>
          </cell>
        </row>
        <row r="228">
          <cell r="I228">
            <v>4.930200000000001</v>
          </cell>
        </row>
        <row r="229">
          <cell r="I229">
            <v>15.024166666666668</v>
          </cell>
        </row>
        <row r="232">
          <cell r="I232">
            <v>2.7595425000000002</v>
          </cell>
        </row>
        <row r="233">
          <cell r="I233">
            <v>18.802797616471214</v>
          </cell>
        </row>
        <row r="234">
          <cell r="I234">
            <v>14.432479800762822</v>
          </cell>
        </row>
        <row r="235">
          <cell r="I235">
            <v>61.29184838820975</v>
          </cell>
        </row>
        <row r="236">
          <cell r="I236">
            <v>17.761462328351822</v>
          </cell>
        </row>
        <row r="238">
          <cell r="I238">
            <v>2.8734117599999998</v>
          </cell>
        </row>
        <row r="239">
          <cell r="I239">
            <v>218.27568333333332</v>
          </cell>
        </row>
        <row r="243">
          <cell r="I243">
            <v>20.613399999999999</v>
          </cell>
        </row>
        <row r="244">
          <cell r="I244">
            <v>6988.2051460517032</v>
          </cell>
        </row>
        <row r="250">
          <cell r="I250">
            <v>31796.113415111577</v>
          </cell>
        </row>
      </sheetData>
      <sheetData sheetId="21">
        <row r="101">
          <cell r="I101">
            <v>0.83379999999999999</v>
          </cell>
        </row>
        <row r="130">
          <cell r="I130">
            <v>70.95</v>
          </cell>
        </row>
        <row r="131">
          <cell r="I131">
            <v>3.42</v>
          </cell>
        </row>
        <row r="132">
          <cell r="I132">
            <v>0</v>
          </cell>
        </row>
        <row r="145">
          <cell r="I145">
            <v>210.47805380000003</v>
          </cell>
        </row>
        <row r="151">
          <cell r="I151">
            <v>5334.6408806286709</v>
          </cell>
        </row>
        <row r="155">
          <cell r="I155">
            <v>24201.132204480433</v>
          </cell>
        </row>
        <row r="177">
          <cell r="I177">
            <v>3200.0154947471478</v>
          </cell>
        </row>
        <row r="178">
          <cell r="I178">
            <v>8105.3071799999998</v>
          </cell>
        </row>
        <row r="180">
          <cell r="I180">
            <v>3187.3704615489946</v>
          </cell>
        </row>
        <row r="183">
          <cell r="I183">
            <v>1473.7012800000007</v>
          </cell>
        </row>
        <row r="187">
          <cell r="I187">
            <v>754.47187283726294</v>
          </cell>
        </row>
        <row r="192">
          <cell r="I192">
            <v>15.5556</v>
          </cell>
        </row>
        <row r="193">
          <cell r="I193">
            <v>111.58272666666667</v>
          </cell>
        </row>
        <row r="194">
          <cell r="I194">
            <v>418.50554000000005</v>
          </cell>
        </row>
        <row r="197">
          <cell r="I197">
            <v>264.44543114443997</v>
          </cell>
        </row>
        <row r="198">
          <cell r="I198">
            <v>4.930200000000001</v>
          </cell>
        </row>
        <row r="199">
          <cell r="I199">
            <v>0</v>
          </cell>
        </row>
        <row r="201">
          <cell r="I201">
            <v>24.8358825</v>
          </cell>
        </row>
        <row r="202">
          <cell r="I202">
            <v>22.659702383528792</v>
          </cell>
        </row>
        <row r="203">
          <cell r="I203">
            <v>12.262332960618883</v>
          </cell>
        </row>
        <row r="204">
          <cell r="I204">
            <v>79.819231978995063</v>
          </cell>
        </row>
        <row r="205">
          <cell r="I205">
            <v>20.326974625800595</v>
          </cell>
        </row>
        <row r="207">
          <cell r="I207">
            <v>2.8734117599999998</v>
          </cell>
        </row>
        <row r="212">
          <cell r="I212">
            <v>5334.6408806286718</v>
          </cell>
        </row>
        <row r="218">
          <cell r="I218">
            <v>24186.191371147102</v>
          </cell>
        </row>
      </sheetData>
      <sheetData sheetId="22">
        <row r="162">
          <cell r="E162">
            <v>6.9</v>
          </cell>
        </row>
        <row r="180">
          <cell r="I180">
            <v>256.74607745771249</v>
          </cell>
        </row>
        <row r="189">
          <cell r="G189">
            <v>0.90277777777777779</v>
          </cell>
        </row>
        <row r="193">
          <cell r="I193">
            <v>3.35</v>
          </cell>
        </row>
        <row r="197">
          <cell r="I197">
            <v>306.3737916666667</v>
          </cell>
          <cell r="N197">
            <v>278.44323333333341</v>
          </cell>
        </row>
        <row r="212">
          <cell r="I212">
            <v>38.840600666666674</v>
          </cell>
        </row>
        <row r="228">
          <cell r="G228">
            <v>12350.776585013711</v>
          </cell>
        </row>
        <row r="246">
          <cell r="H246">
            <v>7129.2491430716591</v>
          </cell>
          <cell r="K246">
            <v>0</v>
          </cell>
        </row>
        <row r="252">
          <cell r="K252">
            <v>0</v>
          </cell>
        </row>
        <row r="258">
          <cell r="H258">
            <v>356.43876</v>
          </cell>
          <cell r="K258">
            <v>0</v>
          </cell>
        </row>
        <row r="259">
          <cell r="K259">
            <v>27.930558333333295</v>
          </cell>
        </row>
        <row r="260">
          <cell r="H260">
            <v>1847.1047999999998</v>
          </cell>
        </row>
        <row r="262">
          <cell r="H262">
            <v>42.143652688683005</v>
          </cell>
        </row>
        <row r="263">
          <cell r="H263">
            <v>102.99762143667974</v>
          </cell>
        </row>
        <row r="264">
          <cell r="H264">
            <v>0</v>
          </cell>
        </row>
        <row r="265">
          <cell r="H265">
            <v>18.729359999999996</v>
          </cell>
        </row>
        <row r="266">
          <cell r="H266">
            <v>0.91694249999999977</v>
          </cell>
        </row>
        <row r="267">
          <cell r="H267">
            <v>92.999999999999986</v>
          </cell>
        </row>
        <row r="270">
          <cell r="H270">
            <v>5.5190849999999996</v>
          </cell>
        </row>
        <row r="271">
          <cell r="H271">
            <v>47.188217357310393</v>
          </cell>
        </row>
        <row r="272">
          <cell r="H272">
            <v>23.553017051772777</v>
          </cell>
        </row>
        <row r="273">
          <cell r="H273">
            <v>284.31189940057334</v>
          </cell>
        </row>
        <row r="274">
          <cell r="H274">
            <v>29.340470680218921</v>
          </cell>
        </row>
        <row r="275">
          <cell r="H275">
            <v>732.76179912437919</v>
          </cell>
          <cell r="K275">
            <v>27.930558333333295</v>
          </cell>
        </row>
        <row r="280">
          <cell r="H280">
            <v>0</v>
          </cell>
        </row>
        <row r="281">
          <cell r="H281">
            <v>2.8734117599999998</v>
          </cell>
        </row>
        <row r="282">
          <cell r="H282">
            <v>1.4</v>
          </cell>
        </row>
        <row r="283">
          <cell r="H283">
            <v>3.1929927999999999</v>
          </cell>
        </row>
        <row r="284">
          <cell r="H284">
            <v>22.779999999999998</v>
          </cell>
        </row>
        <row r="285">
          <cell r="H285">
            <v>0</v>
          </cell>
        </row>
        <row r="287">
          <cell r="H287">
            <v>12350.776585013708</v>
          </cell>
          <cell r="I287">
            <v>6988.2051460517032</v>
          </cell>
          <cell r="J287">
            <v>5334.6408806286709</v>
          </cell>
          <cell r="K287">
            <v>27.930558333333295</v>
          </cell>
        </row>
      </sheetData>
      <sheetData sheetId="23">
        <row r="4">
          <cell r="C4">
            <v>226.2</v>
          </cell>
          <cell r="D4">
            <v>1.5543982461445416E-2</v>
          </cell>
          <cell r="E4">
            <v>24.653200786211062</v>
          </cell>
        </row>
        <row r="5">
          <cell r="C5">
            <v>136</v>
          </cell>
          <cell r="D5">
            <v>9.3456304807983063E-3</v>
          </cell>
          <cell r="E5">
            <v>14.82243725430904</v>
          </cell>
          <cell r="F5">
            <v>55.91</v>
          </cell>
          <cell r="G5">
            <v>2.9540000000000002</v>
          </cell>
        </row>
        <row r="6">
          <cell r="C6">
            <v>299.2</v>
          </cell>
          <cell r="D6">
            <v>2.0560387057756275E-2</v>
          </cell>
          <cell r="E6">
            <v>32.609361959479891</v>
          </cell>
          <cell r="F6">
            <v>123.01</v>
          </cell>
          <cell r="G6">
            <v>6.4980000000000002</v>
          </cell>
        </row>
      </sheetData>
      <sheetData sheetId="24">
        <row r="5">
          <cell r="B5">
            <v>11479.440714123952</v>
          </cell>
          <cell r="I5">
            <v>6518.2062947865743</v>
          </cell>
          <cell r="K5">
            <v>4961.2344193373774</v>
          </cell>
        </row>
        <row r="6">
          <cell r="B6">
            <v>8039.002559999999</v>
          </cell>
        </row>
        <row r="7">
          <cell r="B7">
            <v>1768.5805631999997</v>
          </cell>
        </row>
        <row r="39">
          <cell r="B39">
            <v>5219.5124785642947</v>
          </cell>
        </row>
        <row r="40">
          <cell r="B40">
            <v>3422.7584000000006</v>
          </cell>
          <cell r="I40">
            <v>1269.10226812069</v>
          </cell>
          <cell r="K40">
            <v>965.95805187931069</v>
          </cell>
          <cell r="P40">
            <v>1187.6980800000001</v>
          </cell>
          <cell r="R40">
            <v>0</v>
          </cell>
        </row>
        <row r="41">
          <cell r="B41">
            <v>753.00684800000022</v>
          </cell>
        </row>
        <row r="42">
          <cell r="I42">
            <v>25.251353274298161</v>
          </cell>
          <cell r="K42">
            <v>19.219686725701827</v>
          </cell>
          <cell r="T42">
            <v>0</v>
          </cell>
        </row>
        <row r="66">
          <cell r="B66">
            <v>0</v>
          </cell>
          <cell r="T66">
            <v>0</v>
          </cell>
        </row>
      </sheetData>
      <sheetData sheetId="25">
        <row r="4">
          <cell r="L4" t="str">
            <v>Інші види</v>
          </cell>
        </row>
        <row r="5">
          <cell r="L5">
            <v>0</v>
          </cell>
        </row>
        <row r="13">
          <cell r="I13">
            <v>1.875</v>
          </cell>
        </row>
        <row r="14">
          <cell r="I14">
            <v>6.96</v>
          </cell>
        </row>
        <row r="15">
          <cell r="E15">
            <v>4900</v>
          </cell>
          <cell r="I15">
            <v>58.8</v>
          </cell>
        </row>
        <row r="17">
          <cell r="E17">
            <v>125</v>
          </cell>
        </row>
        <row r="22">
          <cell r="B22" t="str">
            <v>Послуги аудиторські</v>
          </cell>
        </row>
        <row r="32">
          <cell r="E32">
            <v>4177.8599999999997</v>
          </cell>
        </row>
        <row r="34">
          <cell r="G34">
            <v>6.9</v>
          </cell>
        </row>
        <row r="35">
          <cell r="G35">
            <v>30</v>
          </cell>
        </row>
        <row r="36">
          <cell r="E36">
            <v>186.75</v>
          </cell>
        </row>
        <row r="40">
          <cell r="I40">
            <v>11479.440714123952</v>
          </cell>
          <cell r="K40">
            <v>0</v>
          </cell>
        </row>
        <row r="211">
          <cell r="I211">
            <v>8039.002559999999</v>
          </cell>
        </row>
        <row r="213">
          <cell r="I213">
            <v>535.66692000000012</v>
          </cell>
        </row>
        <row r="214">
          <cell r="I214">
            <v>54.900008331993</v>
          </cell>
        </row>
        <row r="216">
          <cell r="I216">
            <v>49.167594803463501</v>
          </cell>
        </row>
        <row r="217">
          <cell r="I217">
            <v>136.23734895603263</v>
          </cell>
        </row>
        <row r="218">
          <cell r="I218">
            <v>0</v>
          </cell>
        </row>
        <row r="219">
          <cell r="I219">
            <v>24.773759999999999</v>
          </cell>
        </row>
        <row r="220">
          <cell r="I220">
            <v>0</v>
          </cell>
        </row>
        <row r="221">
          <cell r="I221">
            <v>1.318875</v>
          </cell>
        </row>
        <row r="222">
          <cell r="I222">
            <v>17.29079376</v>
          </cell>
        </row>
        <row r="224">
          <cell r="I224">
            <v>89.149120400000001</v>
          </cell>
        </row>
        <row r="225">
          <cell r="I225">
            <v>56.572017933333335</v>
          </cell>
        </row>
        <row r="227">
          <cell r="I227">
            <v>24</v>
          </cell>
        </row>
        <row r="228">
          <cell r="I228">
            <v>55.4</v>
          </cell>
        </row>
        <row r="229">
          <cell r="I229">
            <v>47.757499999999993</v>
          </cell>
        </row>
        <row r="230">
          <cell r="I230">
            <v>0</v>
          </cell>
        </row>
        <row r="231">
          <cell r="I231">
            <v>1.1879999999999999</v>
          </cell>
        </row>
        <row r="232">
          <cell r="I232">
            <v>195.20099999999999</v>
          </cell>
        </row>
        <row r="233">
          <cell r="I233">
            <v>42.79</v>
          </cell>
        </row>
        <row r="234">
          <cell r="I234">
            <v>123.01</v>
          </cell>
        </row>
        <row r="235">
          <cell r="I235">
            <v>85.674999999999997</v>
          </cell>
        </row>
        <row r="239">
          <cell r="I239">
            <v>11479.44071412395</v>
          </cell>
          <cell r="L239">
            <v>0</v>
          </cell>
        </row>
      </sheetData>
      <sheetData sheetId="26">
        <row r="2">
          <cell r="M2" t="str">
            <v>Абонплата</v>
          </cell>
          <cell r="N2" t="str">
            <v>Інші види</v>
          </cell>
        </row>
        <row r="3">
          <cell r="K3">
            <v>3422.7583999999997</v>
          </cell>
          <cell r="M3">
            <v>1187.6980800000001</v>
          </cell>
          <cell r="N3">
            <v>0</v>
          </cell>
        </row>
        <row r="4">
          <cell r="K4">
            <v>753.00684799999999</v>
          </cell>
        </row>
        <row r="5">
          <cell r="K5">
            <v>44.471039999999988</v>
          </cell>
        </row>
        <row r="10">
          <cell r="K10">
            <v>46.149000000000001</v>
          </cell>
        </row>
        <row r="11">
          <cell r="K11">
            <v>96</v>
          </cell>
        </row>
        <row r="12">
          <cell r="K12">
            <v>26.4</v>
          </cell>
        </row>
        <row r="13">
          <cell r="K13">
            <v>58.8</v>
          </cell>
        </row>
        <row r="14">
          <cell r="G14">
            <v>156.25</v>
          </cell>
          <cell r="K14">
            <v>1.875</v>
          </cell>
        </row>
        <row r="16">
          <cell r="G16">
            <v>125</v>
          </cell>
        </row>
        <row r="17">
          <cell r="K17">
            <v>11.87499976</v>
          </cell>
        </row>
        <row r="20">
          <cell r="K20">
            <v>0</v>
          </cell>
        </row>
        <row r="21">
          <cell r="K21">
            <v>99.99</v>
          </cell>
        </row>
        <row r="22">
          <cell r="K22">
            <v>0.46416239999999992</v>
          </cell>
        </row>
        <row r="32">
          <cell r="K32">
            <v>91.350888800000007</v>
          </cell>
        </row>
        <row r="42">
          <cell r="K42">
            <v>55.91</v>
          </cell>
        </row>
        <row r="46">
          <cell r="K46">
            <v>11.762499999999999</v>
          </cell>
        </row>
        <row r="47">
          <cell r="K47">
            <v>13.483953913043477</v>
          </cell>
        </row>
        <row r="48">
          <cell r="K48">
            <v>24.169999999999991</v>
          </cell>
        </row>
        <row r="50">
          <cell r="K50">
            <v>12.74</v>
          </cell>
        </row>
        <row r="52">
          <cell r="K52">
            <v>5219.512478564292</v>
          </cell>
          <cell r="M52">
            <v>1832.2608207804985</v>
          </cell>
          <cell r="N52">
            <v>0</v>
          </cell>
        </row>
        <row r="184">
          <cell r="J184">
            <v>3422.7583999999997</v>
          </cell>
        </row>
        <row r="186">
          <cell r="J186">
            <v>239.13528818049841</v>
          </cell>
        </row>
        <row r="187">
          <cell r="J187">
            <v>44.471039999999988</v>
          </cell>
        </row>
        <row r="192">
          <cell r="J192">
            <v>25.5</v>
          </cell>
        </row>
        <row r="194">
          <cell r="J194">
            <v>0.86099999999999999</v>
          </cell>
        </row>
        <row r="195">
          <cell r="J195">
            <v>59.904022500000004</v>
          </cell>
        </row>
        <row r="202">
          <cell r="J202">
            <v>49.167594803463501</v>
          </cell>
        </row>
        <row r="203">
          <cell r="J203">
            <v>61.926067707287558</v>
          </cell>
        </row>
        <row r="204">
          <cell r="J204">
            <v>0</v>
          </cell>
        </row>
        <row r="205">
          <cell r="J205">
            <v>11.260800000000001</v>
          </cell>
        </row>
        <row r="206">
          <cell r="J206">
            <v>0</v>
          </cell>
        </row>
        <row r="207">
          <cell r="J207">
            <v>0.55091250000000003</v>
          </cell>
        </row>
        <row r="216">
          <cell r="J216">
            <v>5219.512478564292</v>
          </cell>
        </row>
      </sheetData>
      <sheetData sheetId="27">
        <row r="4">
          <cell r="I4">
            <v>527.61447999999996</v>
          </cell>
        </row>
        <row r="5">
          <cell r="I5">
            <v>116.0751856</v>
          </cell>
        </row>
        <row r="6">
          <cell r="AB6">
            <v>1141.3953241419076</v>
          </cell>
          <cell r="AC6">
            <v>0</v>
          </cell>
          <cell r="AD6">
            <v>0</v>
          </cell>
        </row>
        <row r="7">
          <cell r="I7">
            <v>0</v>
          </cell>
          <cell r="AC7">
            <v>0</v>
          </cell>
          <cell r="AD7">
            <v>0</v>
          </cell>
        </row>
        <row r="8">
          <cell r="AB8">
            <v>0</v>
          </cell>
        </row>
        <row r="9">
          <cell r="AB9">
            <v>1393.9287372213751</v>
          </cell>
        </row>
        <row r="16">
          <cell r="AB16">
            <v>32.062628052000001</v>
          </cell>
        </row>
        <row r="18">
          <cell r="AB18">
            <v>14.488333333333335</v>
          </cell>
        </row>
        <row r="21">
          <cell r="AB21">
            <v>1.4117440000000001</v>
          </cell>
        </row>
        <row r="22">
          <cell r="AB22">
            <v>1.5</v>
          </cell>
        </row>
        <row r="23">
          <cell r="I23">
            <v>25.179054560130893</v>
          </cell>
          <cell r="AB23">
            <v>0.6</v>
          </cell>
        </row>
        <row r="24">
          <cell r="I24">
            <v>5.4042305593562681</v>
          </cell>
          <cell r="AB24">
            <v>3.6</v>
          </cell>
        </row>
        <row r="25">
          <cell r="I25">
            <v>4.281474782323996</v>
          </cell>
          <cell r="AB25">
            <v>2.4300000000000002</v>
          </cell>
        </row>
        <row r="26">
          <cell r="I26">
            <v>5.2568890191990265</v>
          </cell>
        </row>
        <row r="27">
          <cell r="I27">
            <v>0</v>
          </cell>
        </row>
        <row r="87">
          <cell r="AB87">
            <v>3006.3653869808454</v>
          </cell>
          <cell r="AD87">
            <v>0</v>
          </cell>
          <cell r="AE87">
            <v>3006.3653869808454</v>
          </cell>
        </row>
        <row r="111">
          <cell r="I111">
            <v>0</v>
          </cell>
        </row>
        <row r="114">
          <cell r="I114">
            <v>123.72</v>
          </cell>
        </row>
        <row r="122">
          <cell r="I122">
            <v>3006.3653869808459</v>
          </cell>
        </row>
      </sheetData>
      <sheetData sheetId="28">
        <row r="14">
          <cell r="G14">
            <v>813705</v>
          </cell>
        </row>
        <row r="17">
          <cell r="G17">
            <v>179015</v>
          </cell>
        </row>
        <row r="19">
          <cell r="G19">
            <v>62481.449500000002</v>
          </cell>
        </row>
        <row r="63">
          <cell r="G63">
            <v>190080.55000000002</v>
          </cell>
        </row>
        <row r="68">
          <cell r="G68">
            <v>9320</v>
          </cell>
        </row>
        <row r="73">
          <cell r="G73">
            <v>37106</v>
          </cell>
        </row>
        <row r="93">
          <cell r="G93">
            <v>5778.63</v>
          </cell>
        </row>
        <row r="97">
          <cell r="G97">
            <v>0</v>
          </cell>
        </row>
        <row r="100">
          <cell r="G100">
            <v>7940.2</v>
          </cell>
        </row>
        <row r="101">
          <cell r="G101">
            <v>36305.169600000001</v>
          </cell>
        </row>
        <row r="102">
          <cell r="G102">
            <v>23174</v>
          </cell>
        </row>
        <row r="105">
          <cell r="G105">
            <v>6370</v>
          </cell>
        </row>
        <row r="108">
          <cell r="G108">
            <v>85709</v>
          </cell>
        </row>
        <row r="109">
          <cell r="G109">
            <v>378429</v>
          </cell>
        </row>
        <row r="111">
          <cell r="G111">
            <v>450000</v>
          </cell>
        </row>
        <row r="112">
          <cell r="G112">
            <v>295900</v>
          </cell>
        </row>
        <row r="113">
          <cell r="G113">
            <v>298500</v>
          </cell>
        </row>
        <row r="121">
          <cell r="G121">
            <v>3630854.9991000001</v>
          </cell>
          <cell r="O121">
            <v>7895</v>
          </cell>
          <cell r="P121">
            <v>101381.14</v>
          </cell>
          <cell r="Q121">
            <v>6770</v>
          </cell>
          <cell r="S121">
            <v>308997.85760400002</v>
          </cell>
          <cell r="T121">
            <v>269568.91634399997</v>
          </cell>
          <cell r="U121">
            <v>175228.451688</v>
          </cell>
          <cell r="X121">
            <v>652915.395624</v>
          </cell>
          <cell r="Y121">
            <v>1322185.8380559999</v>
          </cell>
          <cell r="Z121">
            <v>474842.28109599999</v>
          </cell>
          <cell r="AC121">
            <v>202958.53848799999</v>
          </cell>
          <cell r="AD121">
            <v>101365.57999999997</v>
          </cell>
          <cell r="AE121">
            <v>6746</v>
          </cell>
        </row>
      </sheetData>
      <sheetData sheetId="29">
        <row r="20">
          <cell r="T20">
            <v>0</v>
          </cell>
          <cell r="V20">
            <v>0</v>
          </cell>
        </row>
      </sheetData>
      <sheetData sheetId="30">
        <row r="10">
          <cell r="C10">
            <v>1181.1270810000001</v>
          </cell>
          <cell r="W10">
            <v>1181127.081</v>
          </cell>
        </row>
        <row r="12">
          <cell r="D12">
            <v>63883.360000000001</v>
          </cell>
          <cell r="E12">
            <v>65652.510999999999</v>
          </cell>
          <cell r="F12">
            <v>75781.184999999998</v>
          </cell>
          <cell r="H12">
            <v>69605.850000000006</v>
          </cell>
          <cell r="I12">
            <v>89333.831000000006</v>
          </cell>
          <cell r="J12">
            <v>94376.35500000001</v>
          </cell>
          <cell r="M12">
            <v>106869.493</v>
          </cell>
          <cell r="N12">
            <v>105722.963</v>
          </cell>
          <cell r="O12">
            <v>108645.133</v>
          </cell>
          <cell r="R12">
            <v>97187.687000000005</v>
          </cell>
          <cell r="S12">
            <v>84986.266000000003</v>
          </cell>
          <cell r="T12">
            <v>73282.046999999991</v>
          </cell>
        </row>
        <row r="16">
          <cell r="D16">
            <v>1295.42</v>
          </cell>
          <cell r="E16">
            <v>1995.4</v>
          </cell>
          <cell r="F16">
            <v>2178.35</v>
          </cell>
          <cell r="H16">
            <v>2250.4</v>
          </cell>
          <cell r="I16">
            <v>1768.3899999999999</v>
          </cell>
          <cell r="J16">
            <v>4460.0599999999995</v>
          </cell>
          <cell r="M16">
            <v>4237.5200000000004</v>
          </cell>
          <cell r="N16">
            <v>6807.5999999999995</v>
          </cell>
          <cell r="O16">
            <v>7762.04</v>
          </cell>
          <cell r="R16">
            <v>5981.42</v>
          </cell>
          <cell r="S16">
            <v>4075.6000000000004</v>
          </cell>
          <cell r="T16">
            <v>5524.91</v>
          </cell>
        </row>
        <row r="17">
          <cell r="D17">
            <v>213.16</v>
          </cell>
          <cell r="E17">
            <v>339.59999999999997</v>
          </cell>
          <cell r="F17">
            <v>351.78</v>
          </cell>
          <cell r="H17">
            <v>318.09999999999997</v>
          </cell>
          <cell r="I17">
            <v>313.23</v>
          </cell>
          <cell r="J17">
            <v>1282.32</v>
          </cell>
          <cell r="M17">
            <v>1848</v>
          </cell>
          <cell r="N17">
            <v>1994.64</v>
          </cell>
          <cell r="O17">
            <v>2751.26</v>
          </cell>
          <cell r="R17">
            <v>1352.32</v>
          </cell>
          <cell r="S17">
            <v>545.32000000000005</v>
          </cell>
          <cell r="T17">
            <v>244.26</v>
          </cell>
        </row>
        <row r="18">
          <cell r="D18">
            <v>5447</v>
          </cell>
          <cell r="E18">
            <v>6132</v>
          </cell>
          <cell r="F18">
            <v>5635</v>
          </cell>
          <cell r="H18">
            <v>6215</v>
          </cell>
          <cell r="I18">
            <v>8103</v>
          </cell>
          <cell r="J18">
            <v>6667</v>
          </cell>
          <cell r="M18">
            <v>8700</v>
          </cell>
          <cell r="N18">
            <v>11073.8</v>
          </cell>
          <cell r="O18">
            <v>8052</v>
          </cell>
          <cell r="R18">
            <v>8362.5</v>
          </cell>
          <cell r="S18">
            <v>6481</v>
          </cell>
          <cell r="T18">
            <v>5041</v>
          </cell>
        </row>
        <row r="20">
          <cell r="I20">
            <v>74117.179999999993</v>
          </cell>
          <cell r="J20">
            <v>80656.86</v>
          </cell>
          <cell r="M20">
            <v>90682.26</v>
          </cell>
        </row>
        <row r="22">
          <cell r="C22">
            <v>810.53071799999987</v>
          </cell>
          <cell r="W22">
            <v>810530.71799999988</v>
          </cell>
        </row>
        <row r="24">
          <cell r="D24">
            <v>50404.43</v>
          </cell>
          <cell r="E24">
            <v>50973.030999999995</v>
          </cell>
          <cell r="F24">
            <v>58370.595000000001</v>
          </cell>
          <cell r="H24">
            <v>53974.090000000004</v>
          </cell>
          <cell r="I24">
            <v>58389.901000000005</v>
          </cell>
          <cell r="J24">
            <v>58050.209000000003</v>
          </cell>
          <cell r="M24">
            <v>55451.288</v>
          </cell>
          <cell r="N24">
            <v>54882.035000000003</v>
          </cell>
          <cell r="O24">
            <v>59441.764999999999</v>
          </cell>
          <cell r="R24">
            <v>60448.125</v>
          </cell>
          <cell r="S24">
            <v>61629.434999999998</v>
          </cell>
          <cell r="T24">
            <v>56955.093999999997</v>
          </cell>
        </row>
        <row r="28">
          <cell r="D28">
            <v>1601.55</v>
          </cell>
          <cell r="E28">
            <v>2214.8000000000002</v>
          </cell>
          <cell r="F28">
            <v>2628.51</v>
          </cell>
          <cell r="H28">
            <v>2558.8000000000002</v>
          </cell>
          <cell r="I28">
            <v>2325.5500000000002</v>
          </cell>
          <cell r="J28">
            <v>3243.3199999999997</v>
          </cell>
          <cell r="M28">
            <v>3691.95</v>
          </cell>
          <cell r="N28">
            <v>3488.69</v>
          </cell>
          <cell r="O28">
            <v>4824.3600000000006</v>
          </cell>
          <cell r="R28">
            <v>4752.76</v>
          </cell>
          <cell r="S28">
            <v>4662.26</v>
          </cell>
          <cell r="T28">
            <v>6361.91</v>
          </cell>
        </row>
        <row r="29">
          <cell r="D29">
            <v>728.01</v>
          </cell>
          <cell r="E29">
            <v>1029.4000000000001</v>
          </cell>
          <cell r="F29">
            <v>1181.7</v>
          </cell>
          <cell r="H29">
            <v>573.70000000000005</v>
          </cell>
          <cell r="I29">
            <v>581.65000000000009</v>
          </cell>
          <cell r="J29">
            <v>508.64</v>
          </cell>
          <cell r="M29">
            <v>398.8</v>
          </cell>
          <cell r="N29">
            <v>452.06</v>
          </cell>
          <cell r="O29">
            <v>461.61</v>
          </cell>
          <cell r="R29">
            <v>463.54</v>
          </cell>
          <cell r="S29">
            <v>706.87</v>
          </cell>
          <cell r="T29">
            <v>767.28</v>
          </cell>
        </row>
        <row r="30">
          <cell r="D30">
            <v>6920</v>
          </cell>
          <cell r="E30">
            <v>6304</v>
          </cell>
          <cell r="F30">
            <v>6088</v>
          </cell>
          <cell r="H30">
            <v>6594</v>
          </cell>
          <cell r="I30">
            <v>7840</v>
          </cell>
          <cell r="J30">
            <v>7054</v>
          </cell>
          <cell r="M30">
            <v>7128</v>
          </cell>
          <cell r="N30">
            <v>7845</v>
          </cell>
          <cell r="O30">
            <v>5898</v>
          </cell>
          <cell r="R30">
            <v>6764</v>
          </cell>
          <cell r="S30">
            <v>6854</v>
          </cell>
          <cell r="T30">
            <v>6064</v>
          </cell>
        </row>
        <row r="38">
          <cell r="D38">
            <v>11676</v>
          </cell>
          <cell r="E38">
            <v>11676</v>
          </cell>
          <cell r="F38">
            <v>11676</v>
          </cell>
          <cell r="H38">
            <v>11676</v>
          </cell>
          <cell r="I38">
            <v>11676</v>
          </cell>
          <cell r="J38">
            <v>11676</v>
          </cell>
          <cell r="M38">
            <v>11676</v>
          </cell>
          <cell r="N38">
            <v>11676</v>
          </cell>
          <cell r="O38">
            <v>11676</v>
          </cell>
          <cell r="R38">
            <v>11676</v>
          </cell>
          <cell r="S38">
            <v>11676</v>
          </cell>
          <cell r="T38">
            <v>11676</v>
          </cell>
          <cell r="W38">
            <v>140112</v>
          </cell>
        </row>
        <row r="39">
          <cell r="D39">
            <v>2048</v>
          </cell>
          <cell r="E39">
            <v>2048</v>
          </cell>
          <cell r="F39">
            <v>2048</v>
          </cell>
          <cell r="H39">
            <v>2048</v>
          </cell>
          <cell r="I39">
            <v>2048</v>
          </cell>
          <cell r="J39">
            <v>2048</v>
          </cell>
          <cell r="M39">
            <v>2048</v>
          </cell>
          <cell r="N39">
            <v>2048</v>
          </cell>
          <cell r="O39">
            <v>2048</v>
          </cell>
          <cell r="R39">
            <v>2048</v>
          </cell>
          <cell r="S39">
            <v>2048</v>
          </cell>
          <cell r="T39">
            <v>2048</v>
          </cell>
          <cell r="W39">
            <v>24576</v>
          </cell>
        </row>
        <row r="40">
          <cell r="D40">
            <v>278.99999999999989</v>
          </cell>
          <cell r="E40">
            <v>278.99999999999989</v>
          </cell>
          <cell r="F40">
            <v>278.99999999999989</v>
          </cell>
          <cell r="H40">
            <v>278.99999999999989</v>
          </cell>
          <cell r="I40">
            <v>278.99999999999989</v>
          </cell>
          <cell r="J40">
            <v>278.99999999999989</v>
          </cell>
          <cell r="M40">
            <v>278.99999999999989</v>
          </cell>
          <cell r="N40">
            <v>278.99999999999989</v>
          </cell>
          <cell r="O40">
            <v>278.99999999999989</v>
          </cell>
          <cell r="R40">
            <v>278.99999999999989</v>
          </cell>
          <cell r="S40">
            <v>278.99999999999989</v>
          </cell>
          <cell r="T40">
            <v>278.99999999999989</v>
          </cell>
          <cell r="W40">
            <v>3347.9999999999986</v>
          </cell>
        </row>
        <row r="44">
          <cell r="F44">
            <v>1</v>
          </cell>
          <cell r="J44">
            <v>1</v>
          </cell>
          <cell r="O44">
            <v>1</v>
          </cell>
          <cell r="T44">
            <v>1</v>
          </cell>
        </row>
        <row r="45">
          <cell r="D45">
            <v>25</v>
          </cell>
          <cell r="E45">
            <v>30</v>
          </cell>
          <cell r="F45">
            <v>25</v>
          </cell>
          <cell r="H45">
            <v>25</v>
          </cell>
          <cell r="I45">
            <v>30</v>
          </cell>
          <cell r="J45">
            <v>25</v>
          </cell>
          <cell r="M45">
            <v>25</v>
          </cell>
          <cell r="N45">
            <v>30</v>
          </cell>
          <cell r="O45">
            <v>25</v>
          </cell>
          <cell r="R45">
            <v>25</v>
          </cell>
          <cell r="S45">
            <v>30</v>
          </cell>
          <cell r="T45">
            <v>25</v>
          </cell>
        </row>
        <row r="49">
          <cell r="D49">
            <v>30</v>
          </cell>
          <cell r="E49">
            <v>30</v>
          </cell>
          <cell r="F49">
            <v>30</v>
          </cell>
          <cell r="H49">
            <v>35</v>
          </cell>
          <cell r="I49">
            <v>45</v>
          </cell>
          <cell r="J49">
            <v>50</v>
          </cell>
          <cell r="M49">
            <v>50</v>
          </cell>
          <cell r="N49">
            <v>50</v>
          </cell>
          <cell r="O49">
            <v>48</v>
          </cell>
          <cell r="R49">
            <v>30</v>
          </cell>
          <cell r="S49">
            <v>30</v>
          </cell>
          <cell r="T49">
            <v>30</v>
          </cell>
        </row>
      </sheetData>
      <sheetData sheetId="31"/>
      <sheetData sheetId="32">
        <row r="20">
          <cell r="E20">
            <v>3.1228105112106808</v>
          </cell>
          <cell r="F20">
            <v>2.3977394887893193</v>
          </cell>
        </row>
        <row r="24">
          <cell r="E24">
            <v>3.1228105112106808</v>
          </cell>
          <cell r="F24">
            <v>2.3977394887893193</v>
          </cell>
        </row>
      </sheetData>
      <sheetData sheetId="33"/>
      <sheetData sheetId="34">
        <row r="45">
          <cell r="H45">
            <v>794673.60000000021</v>
          </cell>
          <cell r="I45">
            <v>2256180.84</v>
          </cell>
        </row>
        <row r="46">
          <cell r="E46">
            <v>535666.92000000016</v>
          </cell>
          <cell r="F46">
            <v>44471.039999999986</v>
          </cell>
          <cell r="H46">
            <v>0</v>
          </cell>
        </row>
      </sheetData>
      <sheetData sheetId="35"/>
      <sheetData sheetId="36"/>
      <sheetData sheetId="37">
        <row r="68">
          <cell r="J68">
            <v>3006.3653869808454</v>
          </cell>
          <cell r="M68">
            <v>5219.512478564292</v>
          </cell>
        </row>
      </sheetData>
      <sheetData sheetId="38">
        <row r="5">
          <cell r="C5">
            <v>30177.796919550001</v>
          </cell>
        </row>
        <row r="7">
          <cell r="C7">
            <v>26452.596699550002</v>
          </cell>
        </row>
        <row r="14">
          <cell r="C14">
            <v>23164.967920439994</v>
          </cell>
        </row>
        <row r="16">
          <cell r="C16">
            <v>19404.96254284</v>
          </cell>
        </row>
        <row r="25">
          <cell r="C25">
            <v>6584.3899199999996</v>
          </cell>
        </row>
        <row r="26">
          <cell r="C26">
            <v>0</v>
          </cell>
        </row>
        <row r="30">
          <cell r="C30">
            <v>0</v>
          </cell>
        </row>
        <row r="36">
          <cell r="V36">
            <v>2256180.84</v>
          </cell>
        </row>
      </sheetData>
      <sheetData sheetId="39">
        <row r="10">
          <cell r="D10">
            <v>2397.5101707744971</v>
          </cell>
        </row>
        <row r="16">
          <cell r="D16">
            <v>988.33348716273667</v>
          </cell>
        </row>
        <row r="72">
          <cell r="D72">
            <v>3187.3704615489951</v>
          </cell>
        </row>
        <row r="77">
          <cell r="D77">
            <v>754.47187283726305</v>
          </cell>
        </row>
        <row r="123">
          <cell r="D123">
            <v>7129.2491430716591</v>
          </cell>
        </row>
        <row r="176">
          <cell r="D176">
            <v>3422.7584000000002</v>
          </cell>
        </row>
        <row r="234">
          <cell r="D234">
            <v>8039.002559999999</v>
          </cell>
        </row>
        <row r="295">
          <cell r="D295">
            <v>1141.3953241419078</v>
          </cell>
        </row>
        <row r="327">
          <cell r="D327">
            <v>813.70500000000004</v>
          </cell>
        </row>
        <row r="343">
          <cell r="B343" t="str">
            <v>Проведення технічної інвент.</v>
          </cell>
          <cell r="W343">
            <v>751041</v>
          </cell>
        </row>
      </sheetData>
      <sheetData sheetId="40">
        <row r="57">
          <cell r="F57">
            <v>17480.656937163658</v>
          </cell>
        </row>
        <row r="60">
          <cell r="B60">
            <v>0</v>
          </cell>
          <cell r="F60">
            <v>5219.5124785642938</v>
          </cell>
        </row>
        <row r="62">
          <cell r="F62">
            <v>5887.0358388999994</v>
          </cell>
        </row>
        <row r="63">
          <cell r="F63">
            <v>3630.8549989000003</v>
          </cell>
        </row>
        <row r="70">
          <cell r="F70">
            <v>81602.589989485845</v>
          </cell>
        </row>
        <row r="78">
          <cell r="F78">
            <v>0.45680165853184462</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23"/>
      <sheetName val="2024"/>
    </sheetNames>
    <sheetDataSet>
      <sheetData sheetId="0"/>
      <sheetData sheetId="1"/>
      <sheetData sheetId="2">
        <row r="7">
          <cell r="B7">
            <v>135101.79166666666</v>
          </cell>
          <cell r="EP7">
            <v>3089898.666666667</v>
          </cell>
          <cell r="EQ7">
            <v>14390825.633333333</v>
          </cell>
          <cell r="ES7">
            <v>158790.125</v>
          </cell>
          <cell r="ET7">
            <v>7679352.1333333328</v>
          </cell>
        </row>
        <row r="8">
          <cell r="EP8">
            <v>3797402.5</v>
          </cell>
          <cell r="EQ8">
            <v>1963.5916666666667</v>
          </cell>
          <cell r="ES8">
            <v>0</v>
          </cell>
          <cell r="ET8">
            <v>1047.4833333333333</v>
          </cell>
        </row>
        <row r="9">
          <cell r="EP9">
            <v>580929.2583333333</v>
          </cell>
          <cell r="EQ9">
            <v>140880.19166666668</v>
          </cell>
          <cell r="ES9">
            <v>309897.59166666667</v>
          </cell>
          <cell r="ET9">
            <v>24311.28333333334</v>
          </cell>
        </row>
        <row r="10">
          <cell r="EP10">
            <v>0</v>
          </cell>
          <cell r="EQ10">
            <v>0</v>
          </cell>
          <cell r="ES10">
            <v>0</v>
          </cell>
          <cell r="ET10">
            <v>0</v>
          </cell>
        </row>
        <row r="11">
          <cell r="EP11">
            <v>0</v>
          </cell>
          <cell r="EQ11">
            <v>11746.691666666668</v>
          </cell>
          <cell r="ES11">
            <v>0</v>
          </cell>
          <cell r="ET11">
            <v>3637.1333333333337</v>
          </cell>
        </row>
        <row r="13">
          <cell r="EP13">
            <v>731371.55</v>
          </cell>
          <cell r="EQ13">
            <v>130272.04999999999</v>
          </cell>
          <cell r="ES13">
            <v>378753.65</v>
          </cell>
          <cell r="ET13">
            <v>18359.791666666664</v>
          </cell>
        </row>
        <row r="14">
          <cell r="EP14">
            <v>222197.11666666667</v>
          </cell>
          <cell r="EQ14">
            <v>7127.8249999999998</v>
          </cell>
          <cell r="ES14">
            <v>109031.85833333334</v>
          </cell>
          <cell r="ET14">
            <v>3802.1833333333334</v>
          </cell>
        </row>
        <row r="15">
          <cell r="EP15">
            <v>1929276.3833333333</v>
          </cell>
          <cell r="EQ15">
            <v>270469.78333333338</v>
          </cell>
          <cell r="ES15">
            <v>885510.6166666667</v>
          </cell>
          <cell r="ET15">
            <v>144258.75833333336</v>
          </cell>
        </row>
        <row r="16">
          <cell r="EP16">
            <v>253808.45833333334</v>
          </cell>
          <cell r="EQ16">
            <v>6965.1083333333345</v>
          </cell>
          <cell r="ES16">
            <v>44656.986666666664</v>
          </cell>
          <cell r="ET16">
            <v>3715.5583333333338</v>
          </cell>
        </row>
        <row r="19">
          <cell r="EP19">
            <v>10351075.475</v>
          </cell>
          <cell r="EQ19">
            <v>14953285.766666666</v>
          </cell>
          <cell r="ER19">
            <v>3855311.8833333338</v>
          </cell>
          <cell r="ES19">
            <v>1841983.8416666668</v>
          </cell>
          <cell r="ET19">
            <v>7874768.7666666675</v>
          </cell>
          <cell r="EU19">
            <v>3353739.4333333336</v>
          </cell>
        </row>
        <row r="22">
          <cell r="EV22">
            <v>0</v>
          </cell>
        </row>
        <row r="23">
          <cell r="EV23">
            <v>3475.5750000000003</v>
          </cell>
        </row>
        <row r="24">
          <cell r="EV24">
            <v>76980.841666666674</v>
          </cell>
        </row>
        <row r="25">
          <cell r="EV25">
            <v>43121.225000000006</v>
          </cell>
        </row>
        <row r="26">
          <cell r="EV26">
            <v>1480.9666666666667</v>
          </cell>
        </row>
        <row r="29">
          <cell r="EV29">
            <v>74333.991666666669</v>
          </cell>
        </row>
        <row r="32">
          <cell r="EV32">
            <v>34963.466666666667</v>
          </cell>
        </row>
        <row r="52">
          <cell r="EV52">
            <v>240757.29</v>
          </cell>
        </row>
        <row r="63">
          <cell r="EV63">
            <v>2597795.6900000009</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Лист1"/>
      <sheetName val="2021"/>
      <sheetName val="Лист2"/>
    </sheetNames>
    <sheetDataSet>
      <sheetData sheetId="0"/>
      <sheetData sheetId="1"/>
      <sheetData sheetId="2"/>
      <sheetData sheetId="3">
        <row r="7">
          <cell r="B7">
            <v>31280.841666666671</v>
          </cell>
        </row>
        <row r="26">
          <cell r="DK26">
            <v>0</v>
          </cell>
        </row>
        <row r="27">
          <cell r="DK27">
            <v>0</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22"/>
    </sheetNames>
    <sheetDataSet>
      <sheetData sheetId="0"/>
      <sheetData sheetId="1"/>
      <sheetData sheetId="2">
        <row r="7">
          <cell r="B7">
            <v>165603.56666666668</v>
          </cell>
        </row>
        <row r="64">
          <cell r="EW64">
            <v>41487032.770000018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 внутр"/>
      <sheetName val="АП заг"/>
      <sheetName val="АП ЦВВ"/>
      <sheetName val="Зам норми"/>
      <sheetName val="обсл норми"/>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пов"/>
      <sheetName val="31 нат пок"/>
      <sheetName val="ВД"/>
      <sheetName val="ОП 1"/>
      <sheetName val="Лист12"/>
      <sheetName val="ОП"/>
      <sheetName val="Ремонти"/>
      <sheetName val="площі"/>
      <sheetName val="Аморт"/>
      <sheetName val="обм. ф"/>
      <sheetName val="матеріали"/>
      <sheetName val="норми"/>
      <sheetName val="Заміна"/>
      <sheetName val="обсл"/>
      <sheetName val="компенсація"/>
      <sheetName val="ПММ"/>
      <sheetName val="ПММ -1"/>
      <sheetName val="ВНС"/>
      <sheetName val="КНС"/>
      <sheetName val="Адм.,збут"/>
      <sheetName val="загальновиробничі"/>
      <sheetName val="АВР"/>
      <sheetName val="Адм"/>
      <sheetName val="Збут"/>
      <sheetName val="Лист13"/>
      <sheetName val=" 'К' розподілу ЦВ та ХВ "/>
      <sheetName val="норми колодязь"/>
      <sheetName val="чисел. контр."/>
      <sheetName val="Річний план"/>
      <sheetName val="прямі витрати ЦВ та ЦВВ"/>
      <sheetName val="прямі витрати ЦхВ та ЦВВ"/>
      <sheetName val="Лист5"/>
      <sheetName val="Річний план ХВ"/>
      <sheetName val="ВОП"/>
      <sheetName val="м3"/>
      <sheetName val="реєстр"/>
      <sheetName val="вимоги Ц"/>
      <sheetName val="28"/>
      <sheetName val="16"/>
      <sheetName val="17"/>
      <sheetName val="18"/>
      <sheetName val="19"/>
      <sheetName val="м3 1"/>
      <sheetName val="м3 2"/>
      <sheetName val="м 3"/>
      <sheetName val="20"/>
      <sheetName val="21"/>
      <sheetName val="22"/>
      <sheetName val="23"/>
      <sheetName val="24"/>
      <sheetName val="25"/>
      <sheetName val="26"/>
      <sheetName val="27"/>
      <sheetName val="29"/>
      <sheetName val="30"/>
      <sheetName val="3 П"/>
      <sheetName val="4 П"/>
      <sheetName val="5П"/>
      <sheetName val="вимоги"/>
      <sheetName val="Лист15"/>
      <sheetName val="збірна"/>
      <sheetName val="Стр ЦВВ 1"/>
      <sheetName val="Стр ЦХВВ 1"/>
      <sheetName val="Стр порівн ЦВВ"/>
      <sheetName val="компенс"/>
      <sheetName val="комп 2"/>
      <sheetName val="Лист14"/>
      <sheetName val="Лист11"/>
      <sheetName val="Лист8"/>
      <sheetName val="Лист9"/>
      <sheetName val="Лист7"/>
      <sheetName val="Лист4"/>
      <sheetName val="Лист1"/>
      <sheetName val="Лист6"/>
      <sheetName val="Лист3"/>
      <sheetName val="аморт 08"/>
      <sheetName val="Лист2"/>
      <sheetName val="Лист16"/>
    </sheetNames>
    <sheetDataSet>
      <sheetData sheetId="0"/>
      <sheetData sheetId="1"/>
      <sheetData sheetId="2"/>
      <sheetData sheetId="3"/>
      <sheetData sheetId="4"/>
      <sheetData sheetId="5"/>
      <sheetData sheetId="6"/>
      <sheetData sheetId="7"/>
      <sheetData sheetId="8">
        <row r="55">
          <cell r="L55">
            <v>22.52</v>
          </cell>
          <cell r="N55">
            <v>17.48</v>
          </cell>
          <cell r="Q55">
            <v>36.99</v>
          </cell>
          <cell r="S55">
            <v>21.16</v>
          </cell>
        </row>
        <row r="57">
          <cell r="L57">
            <v>27.02</v>
          </cell>
          <cell r="N57">
            <v>20.98</v>
          </cell>
          <cell r="Q57">
            <v>44.39</v>
          </cell>
          <cell r="S57">
            <v>25.39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1">
          <cell r="E11">
            <v>2447.4004161455714</v>
          </cell>
        </row>
        <row r="49">
          <cell r="E49">
            <v>25.55</v>
          </cell>
          <cell r="K49">
            <v>28.58</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3"/>
      <sheetName val="ВНС"/>
      <sheetName val="КНС"/>
      <sheetName val="АВР"/>
      <sheetName val="прямі"/>
      <sheetName val="загвир"/>
      <sheetName val="адм.1"/>
      <sheetName val="адм"/>
      <sheetName val="збут. табл"/>
      <sheetName val="збут.1"/>
      <sheetName val="збут"/>
      <sheetName val="розподіл"/>
      <sheetName val="СТРУКТ"/>
      <sheetName val="4"/>
      <sheetName val="5"/>
      <sheetName val="6"/>
      <sheetName val="7"/>
      <sheetName val="8"/>
      <sheetName val="9"/>
      <sheetName val="10"/>
      <sheetName val="11"/>
      <sheetName val="12"/>
      <sheetName val="реаг"/>
      <sheetName val="перс"/>
      <sheetName val="ПММ"/>
      <sheetName val="норми"/>
      <sheetName val="ОП"/>
      <sheetName val="аморт"/>
      <sheetName val="приклад"/>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
          <cell r="K9">
            <v>840.44695823061295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Д"/>
      <sheetName val="ОП 1"/>
      <sheetName val="ВОП"/>
      <sheetName val="ОП"/>
      <sheetName val="Ремонти"/>
      <sheetName val="площі"/>
      <sheetName val="Аморт"/>
      <sheetName val="обм. ф"/>
      <sheetName val="норми"/>
      <sheetName val="АП внутр"/>
      <sheetName val="Заміна"/>
      <sheetName val="обсл"/>
      <sheetName val="АП заг"/>
      <sheetName val="АП ЦВВ"/>
      <sheetName val="компенсація"/>
      <sheetName val="ПММ"/>
      <sheetName val="ВНС"/>
      <sheetName val="КНС"/>
      <sheetName val="Адм.,збут"/>
      <sheetName val="загальновиробничі"/>
      <sheetName val="АВР"/>
      <sheetName val="Адм"/>
      <sheetName val="Збут"/>
      <sheetName val="пов"/>
      <sheetName val=" 'К' розподілу ЦВ та ХВ "/>
      <sheetName val="Зам норми"/>
      <sheetName val="обсл норми"/>
      <sheetName val="норми колодязь"/>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чисел. контр."/>
      <sheetName val="нат пок"/>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28"/>
      <sheetName val="16"/>
      <sheetName val="17"/>
      <sheetName val="18"/>
      <sheetName val="19"/>
      <sheetName val="м3"/>
      <sheetName val="20"/>
      <sheetName val="21"/>
      <sheetName val="22"/>
      <sheetName val="23"/>
      <sheetName val="24"/>
      <sheetName val="25"/>
      <sheetName val="26"/>
      <sheetName val="27"/>
      <sheetName val="29"/>
      <sheetName val="30"/>
      <sheetName val="3 П"/>
      <sheetName val="4 П"/>
      <sheetName val="5П"/>
      <sheetName val="вимоги"/>
      <sheetName val="збірна"/>
      <sheetName val="Стр ЦВВ 1"/>
      <sheetName val="Стр ЦХВВ 1"/>
      <sheetName val="Стр порівн ЦВВ"/>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row r="9">
          <cell r="B9" t="str">
            <v>Слюсар -ремонтник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67">
          <cell r="G167">
            <v>22.566532128779205</v>
          </cell>
        </row>
      </sheetData>
      <sheetData sheetId="17"/>
      <sheetData sheetId="18"/>
      <sheetData sheetId="19"/>
      <sheetData sheetId="20"/>
      <sheetData sheetId="21">
        <row r="16">
          <cell r="I16">
            <v>0.80027999999999999</v>
          </cell>
        </row>
      </sheetData>
      <sheetData sheetId="22">
        <row r="15">
          <cell r="K15">
            <v>8.4239999999999995</v>
          </cell>
        </row>
      </sheetData>
      <sheetData sheetId="23">
        <row r="4">
          <cell r="N4">
            <v>37.670297366679783</v>
          </cell>
          <cell r="O4">
            <v>330.6180303368742</v>
          </cell>
        </row>
        <row r="5">
          <cell r="N5">
            <v>8.2874654206695517</v>
          </cell>
          <cell r="O5">
            <v>72.735966674112319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Д"/>
      <sheetName val="ОП 1"/>
      <sheetName val="ВОП"/>
      <sheetName val="ОП"/>
      <sheetName val="Ремонти"/>
      <sheetName val="площі"/>
      <sheetName val="Аморт"/>
      <sheetName val="обм. ф"/>
      <sheetName val="норми"/>
      <sheetName val="АП внутр"/>
      <sheetName val="Заміна"/>
      <sheetName val="обсл"/>
      <sheetName val="АП заг"/>
      <sheetName val="АП ЦВВ"/>
      <sheetName val="компенсація"/>
      <sheetName val="ПММ"/>
      <sheetName val="ПММ 1"/>
      <sheetName val="ВНС"/>
      <sheetName val="КНС"/>
      <sheetName val="Адм.,збут"/>
      <sheetName val="загальновиробничі"/>
      <sheetName val="АВР"/>
      <sheetName val="Адм"/>
      <sheetName val="Збут"/>
      <sheetName val="пов"/>
      <sheetName val=" 'К' розподілу ЦВ та ХВ "/>
      <sheetName val="Зам норми"/>
      <sheetName val="обсл норми"/>
      <sheetName val="норми колодязь"/>
      <sheetName val="мат кол"/>
      <sheetName val="ВОВ15"/>
      <sheetName val="ВОВ25-80"/>
      <sheetName val="АП розб"/>
      <sheetName val="Зам розр"/>
      <sheetName val="обсл розр"/>
      <sheetName val="БКБ"/>
      <sheetName val="МІЗ"/>
      <sheetName val="СК"/>
      <sheetName val="Лист10"/>
      <sheetName val="Н.Б, Б"/>
      <sheetName val="ЮР"/>
      <sheetName val="чисел. контр."/>
      <sheetName val="нат пок"/>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28"/>
      <sheetName val="16"/>
      <sheetName val="17"/>
      <sheetName val="18"/>
      <sheetName val="19"/>
      <sheetName val="м3"/>
      <sheetName val="20"/>
      <sheetName val="21"/>
      <sheetName val="22"/>
      <sheetName val="23"/>
      <sheetName val="24"/>
      <sheetName val="25"/>
      <sheetName val="26"/>
      <sheetName val="27"/>
      <sheetName val="29"/>
      <sheetName val="30"/>
      <sheetName val="3 П"/>
      <sheetName val="4 П"/>
      <sheetName val="5П"/>
      <sheetName val="вимоги"/>
      <sheetName val="збірна"/>
      <sheetName val="Стр ЦВВ 1"/>
      <sheetName val="Стр ЦХВВ 1"/>
      <sheetName val="Стр порівн ЦВВ"/>
      <sheetName val="Лист11"/>
      <sheetName val="Лист8"/>
      <sheetName val="Лист9"/>
      <sheetName val="Лист7"/>
      <sheetName val="Лист4"/>
      <sheetName val="Лист1"/>
      <sheetName val="Лист6"/>
      <sheetName val="Лист3"/>
      <sheetName val="Лист2"/>
    </sheetNames>
    <sheetDataSet>
      <sheetData sheetId="0"/>
      <sheetData sheetId="1"/>
      <sheetData sheetId="2">
        <row r="8">
          <cell r="E8">
            <v>4</v>
          </cell>
        </row>
      </sheetData>
      <sheetData sheetId="3"/>
      <sheetData sheetId="4"/>
      <sheetData sheetId="5"/>
      <sheetData sheetId="6"/>
      <sheetData sheetId="7"/>
      <sheetData sheetId="8">
        <row r="7">
          <cell r="C7">
            <v>1563.223066</v>
          </cell>
        </row>
      </sheetData>
      <sheetData sheetId="9"/>
      <sheetData sheetId="10"/>
      <sheetData sheetId="11"/>
      <sheetData sheetId="12"/>
      <sheetData sheetId="13"/>
      <sheetData sheetId="14"/>
      <sheetData sheetId="15">
        <row r="12">
          <cell r="K12">
            <v>182.28470000000004</v>
          </cell>
        </row>
      </sheetData>
      <sheetData sheetId="16"/>
      <sheetData sheetId="17">
        <row r="34">
          <cell r="J34">
            <v>985511.47500000009</v>
          </cell>
        </row>
      </sheetData>
      <sheetData sheetId="18">
        <row r="100">
          <cell r="I100">
            <v>130.76305101851574</v>
          </cell>
        </row>
      </sheetData>
      <sheetData sheetId="19"/>
      <sheetData sheetId="20"/>
      <sheetData sheetId="21">
        <row r="136">
          <cell r="H136">
            <v>264.74719511261264</v>
          </cell>
        </row>
      </sheetData>
      <sheetData sheetId="22">
        <row r="39">
          <cell r="I39">
            <v>28.61441567567568</v>
          </cell>
        </row>
      </sheetData>
      <sheetData sheetId="23">
        <row r="44">
          <cell r="K44">
            <v>51.035318738738752</v>
          </cell>
        </row>
      </sheetData>
      <sheetData sheetId="24">
        <row r="18">
          <cell r="I18">
            <v>31.40248823198198</v>
          </cell>
        </row>
        <row r="67">
          <cell r="E67">
            <v>0.28100000000000003</v>
          </cell>
        </row>
      </sheetData>
      <sheetData sheetId="25">
        <row r="27">
          <cell r="A27">
            <v>0.67656277507237972</v>
          </cell>
        </row>
      </sheetData>
      <sheetData sheetId="26"/>
      <sheetData sheetId="27"/>
      <sheetData sheetId="28"/>
      <sheetData sheetId="29"/>
      <sheetData sheetId="30"/>
      <sheetData sheetId="31"/>
      <sheetData sheetId="32">
        <row r="56">
          <cell r="K56">
            <v>11.164</v>
          </cell>
        </row>
      </sheetData>
      <sheetData sheetId="33">
        <row r="35">
          <cell r="AJ35">
            <v>1135525.3265150001</v>
          </cell>
        </row>
      </sheetData>
      <sheetData sheetId="34">
        <row r="17">
          <cell r="U17">
            <v>52.11036922000001</v>
          </cell>
        </row>
      </sheetData>
      <sheetData sheetId="35">
        <row r="93">
          <cell r="F93">
            <v>13783</v>
          </cell>
        </row>
      </sheetData>
      <sheetData sheetId="36">
        <row r="384">
          <cell r="A384">
            <v>375</v>
          </cell>
        </row>
      </sheetData>
      <sheetData sheetId="37">
        <row r="1017">
          <cell r="A1017">
            <v>1012</v>
          </cell>
        </row>
      </sheetData>
      <sheetData sheetId="38"/>
      <sheetData sheetId="39">
        <row r="398">
          <cell r="A398">
            <v>393</v>
          </cell>
        </row>
      </sheetData>
      <sheetData sheetId="40">
        <row r="30">
          <cell r="D30">
            <v>15</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6">
          <cell r="W6">
            <v>1572.2210660000001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49">
          <cell r="C49">
            <v>22.57</v>
          </cell>
        </row>
      </sheetData>
      <sheetData sheetId="74"/>
      <sheetData sheetId="75"/>
      <sheetData sheetId="76"/>
      <sheetData sheetId="77"/>
      <sheetData sheetId="78"/>
      <sheetData sheetId="79"/>
      <sheetData sheetId="80"/>
      <sheetData sheetId="81"/>
      <sheetData sheetId="8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Д"/>
      <sheetName val="ОП 1"/>
      <sheetName val="ОП"/>
      <sheetName val="Ремонти"/>
      <sheetName val="площі"/>
      <sheetName val="Аморт"/>
      <sheetName val="ПММ"/>
      <sheetName val="ВНС"/>
      <sheetName val="КНС"/>
      <sheetName val="АВР"/>
      <sheetName val="загальновиробничі"/>
      <sheetName val="Адм.,збут"/>
      <sheetName val="обм. ф"/>
      <sheetName val="Збут"/>
      <sheetName val="Адм"/>
      <sheetName val="пов"/>
      <sheetName val="норми"/>
      <sheetName val="АП внутр"/>
      <sheetName val="Заміна"/>
      <sheetName val="обсл"/>
      <sheetName val="АП заг"/>
      <sheetName val="ВОП"/>
      <sheetName val=" 'К' розподілу ЦВ та ХВ "/>
      <sheetName val="Зам норми"/>
      <sheetName val="обсл норми"/>
      <sheetName val="норми колодязь"/>
      <sheetName val="мат кол"/>
      <sheetName val="ВОВ15"/>
      <sheetName val="ВОВ25-80"/>
      <sheetName val="обсл розр"/>
      <sheetName val="Зам розр"/>
      <sheetName val="БКБ"/>
      <sheetName val="МІЗ"/>
      <sheetName val="СК"/>
      <sheetName val="Лист10"/>
      <sheetName val="ЮР"/>
      <sheetName val="чисел. контр."/>
      <sheetName val="нат пок"/>
      <sheetName val="Річний план"/>
      <sheetName val="прямі витрати ЦВ та ЦВВ"/>
      <sheetName val="прямі витрати ЦхВ та ЦВВ"/>
      <sheetName val="Лист5"/>
      <sheetName val="Річний план ХВ"/>
      <sheetName val="реєстр"/>
      <sheetName val="вимоги Ц"/>
      <sheetName val="м3"/>
      <sheetName val="28"/>
      <sheetName val="16"/>
      <sheetName val="17"/>
      <sheetName val="18"/>
      <sheetName val="19"/>
      <sheetName val="20"/>
      <sheetName val="21"/>
      <sheetName val="22"/>
      <sheetName val="23"/>
      <sheetName val="24"/>
      <sheetName val="25"/>
      <sheetName val="26"/>
      <sheetName val="27"/>
      <sheetName val="29"/>
      <sheetName val="30"/>
      <sheetName val="3 П"/>
      <sheetName val="4 П"/>
      <sheetName val="5П"/>
      <sheetName val="вимоги"/>
      <sheetName val="Стр ЦВВ 1"/>
      <sheetName val="Стр ЦХВВ 1"/>
      <sheetName val="Стр порівн ЦВВ"/>
      <sheetName val="Лист8"/>
      <sheetName val="Лист9"/>
      <sheetName val="Лист7"/>
      <sheetName val="Лист4"/>
      <sheetName val="Лист1"/>
      <sheetName val="Лист6"/>
      <sheetName val="Лист3"/>
      <sheetName val="Лист2"/>
    </sheetNames>
    <sheetDataSet>
      <sheetData sheetId="0"/>
      <sheetData sheetId="1"/>
      <sheetData sheetId="2"/>
      <sheetData sheetId="3"/>
      <sheetData sheetId="4"/>
      <sheetData sheetId="5"/>
      <sheetData sheetId="6">
        <row r="15">
          <cell r="J15">
            <v>25.824999999999999</v>
          </cell>
        </row>
      </sheetData>
      <sheetData sheetId="7">
        <row r="151">
          <cell r="J151">
            <v>65.469073694439587</v>
          </cell>
        </row>
      </sheetData>
      <sheetData sheetId="8">
        <row r="103">
          <cell r="I103">
            <v>116.3763878458283</v>
          </cell>
        </row>
      </sheetData>
      <sheetData sheetId="9">
        <row r="135">
          <cell r="H135">
            <v>229.16612124849851</v>
          </cell>
        </row>
      </sheetData>
      <sheetData sheetId="10"/>
      <sheetData sheetId="11"/>
      <sheetData sheetId="12"/>
      <sheetData sheetId="13">
        <row r="29">
          <cell r="K29">
            <v>43.030968453453461</v>
          </cell>
        </row>
      </sheetData>
      <sheetData sheetId="14">
        <row r="37">
          <cell r="I37">
            <v>26.02246261261261</v>
          </cell>
        </row>
      </sheetData>
      <sheetData sheetId="15">
        <row r="4">
          <cell r="N4">
            <v>50.882325957240575</v>
          </cell>
        </row>
        <row r="100">
          <cell r="C100">
            <v>383.75</v>
          </cell>
          <cell r="D100">
            <v>2</v>
          </cell>
          <cell r="E100">
            <v>8</v>
          </cell>
          <cell r="F100">
            <v>13.75</v>
          </cell>
          <cell r="G100">
            <v>2.75</v>
          </cell>
          <cell r="H100">
            <v>2</v>
          </cell>
        </row>
        <row r="102">
          <cell r="C102">
            <v>1397.150208</v>
          </cell>
          <cell r="D102">
            <v>39.892360000000004</v>
          </cell>
          <cell r="E102">
            <v>203.05264000000003</v>
          </cell>
          <cell r="F102">
            <v>448.29932000000002</v>
          </cell>
          <cell r="G102">
            <v>109.48793999999997</v>
          </cell>
          <cell r="H102">
            <v>88.818759999999983</v>
          </cell>
        </row>
      </sheetData>
      <sheetData sheetId="16"/>
      <sheetData sheetId="17"/>
      <sheetData sheetId="18"/>
      <sheetData sheetId="19"/>
      <sheetData sheetId="20">
        <row r="55">
          <cell r="K55">
            <v>30.3</v>
          </cell>
        </row>
      </sheetData>
      <sheetData sheetId="21">
        <row r="89">
          <cell r="D89">
            <v>100</v>
          </cell>
        </row>
      </sheetData>
      <sheetData sheetId="22"/>
      <sheetData sheetId="23"/>
      <sheetData sheetId="24"/>
      <sheetData sheetId="25"/>
      <sheetData sheetId="26"/>
      <sheetData sheetId="27"/>
      <sheetData sheetId="28"/>
      <sheetData sheetId="29">
        <row r="45">
          <cell r="P45">
            <v>44.075914874999995</v>
          </cell>
        </row>
      </sheetData>
      <sheetData sheetId="30">
        <row r="113">
          <cell r="J113">
            <v>0</v>
          </cell>
        </row>
        <row r="120">
          <cell r="I120"/>
          <cell r="L120">
            <v>562.5</v>
          </cell>
        </row>
      </sheetData>
      <sheetData sheetId="31"/>
      <sheetData sheetId="32"/>
      <sheetData sheetId="33"/>
      <sheetData sheetId="34"/>
      <sheetData sheetId="35"/>
      <sheetData sheetId="36"/>
      <sheetData sheetId="37">
        <row r="31">
          <cell r="P31">
            <v>15883</v>
          </cell>
        </row>
        <row r="35">
          <cell r="J35">
            <v>15013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Розр. чис"/>
      <sheetName val="Наказ"/>
      <sheetName val="Лист5"/>
      <sheetName val="роботи"/>
      <sheetName val="перелік поміс"/>
      <sheetName val="графік "/>
      <sheetName val="час роботи на послуг"/>
      <sheetName val="Лист6"/>
      <sheetName val="грунт"/>
      <sheetName val="ПММ, Вода"/>
      <sheetName val="Якість"/>
      <sheetName val="Лист13"/>
      <sheetName val="зміни 01"/>
      <sheetName val="Е.П"/>
      <sheetName val="Шт. розп"/>
      <sheetName val="Фонд"/>
      <sheetName val="Лист3"/>
      <sheetName val="ОП1"/>
      <sheetName val="матеріали"/>
      <sheetName val="матеріали 1"/>
      <sheetName val="Лист12"/>
      <sheetName val="зм ПММ"/>
      <sheetName val="Ком пр"/>
      <sheetName val="витр 2"/>
      <sheetName val="Лист7"/>
      <sheetName val="доходи"/>
      <sheetName val="Лист8"/>
      <sheetName val="Лім 2025"/>
      <sheetName val="Лист9"/>
      <sheetName val="Ліміти 1"/>
      <sheetName val="Лім 2"/>
      <sheetName val="зміни вода"/>
      <sheetName val="зміни вода 01"/>
      <sheetName val="ліміт ген"/>
      <sheetName val="лім 04 засувки"/>
      <sheetName val="генератор"/>
      <sheetName val="Лист15"/>
      <sheetName val="Лім 03 "/>
      <sheetName val="Лім 1"/>
      <sheetName val="Лім"/>
      <sheetName val="пот рем табл."/>
      <sheetName val="Лист16"/>
      <sheetName val="Засувки"/>
      <sheetName val="Засувки+Ген+насос"/>
      <sheetName val="засувки фінанс"/>
      <sheetName val="Лист2"/>
      <sheetName val="Лист4"/>
      <sheetName val="План вик. БК"/>
      <sheetName val="ціна 1м"/>
      <sheetName val="Лист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B10" t="str">
            <v xml:space="preserve">_______________ Андрій ШЕСТОВ </v>
          </cell>
          <cell r="E10" t="str">
            <v>_________ Віталій РОЗМЕРІЦА</v>
          </cell>
        </row>
      </sheetData>
      <sheetData sheetId="8" refreshError="1"/>
      <sheetData sheetId="9" refreshError="1"/>
      <sheetData sheetId="10">
        <row r="8">
          <cell r="O8">
            <v>3009.3881039999997</v>
          </cell>
          <cell r="P8">
            <v>3567.2263439999997</v>
          </cell>
          <cell r="Q8">
            <v>3382.4816879999994</v>
          </cell>
          <cell r="R8">
            <v>3387.760824</v>
          </cell>
          <cell r="S8">
            <v>3155.4580559999995</v>
          </cell>
          <cell r="T8">
            <v>3343.7610959999997</v>
          </cell>
          <cell r="U8">
            <v>3327.9236879999994</v>
          </cell>
          <cell r="V8">
            <v>0</v>
          </cell>
          <cell r="W8">
            <v>0</v>
          </cell>
        </row>
        <row r="13">
          <cell r="B13">
            <v>2230</v>
          </cell>
          <cell r="D13">
            <v>10.391999999999999</v>
          </cell>
        </row>
        <row r="23">
          <cell r="O23">
            <v>13050.23</v>
          </cell>
          <cell r="P23">
            <v>15464.810000000001</v>
          </cell>
          <cell r="Q23">
            <v>14717.44</v>
          </cell>
          <cell r="R23">
            <v>14717.44</v>
          </cell>
          <cell r="S23">
            <v>13682.62</v>
          </cell>
          <cell r="T23">
            <v>14544.970000000001</v>
          </cell>
          <cell r="U23">
            <v>14487.480000000001</v>
          </cell>
          <cell r="V23">
            <v>0</v>
          </cell>
          <cell r="W23">
            <v>0</v>
          </cell>
        </row>
        <row r="33">
          <cell r="O33">
            <v>3657.38</v>
          </cell>
          <cell r="P33">
            <v>3657.38</v>
          </cell>
          <cell r="Q33">
            <v>3480.4100000000003</v>
          </cell>
          <cell r="R33">
            <v>3834.35</v>
          </cell>
          <cell r="S33">
            <v>3480.4100000000003</v>
          </cell>
          <cell r="T33">
            <v>3657.38</v>
          </cell>
          <cell r="U33">
            <v>3834.35</v>
          </cell>
          <cell r="V33">
            <v>0</v>
          </cell>
          <cell r="W33">
            <v>0</v>
          </cell>
        </row>
        <row r="68">
          <cell r="O68">
            <v>9255.89</v>
          </cell>
          <cell r="P68">
            <v>12935.25</v>
          </cell>
          <cell r="Q68">
            <v>5059.12</v>
          </cell>
          <cell r="R68">
            <v>9140.91</v>
          </cell>
          <cell r="S68">
            <v>11727.960000000001</v>
          </cell>
          <cell r="T68">
            <v>6208.92</v>
          </cell>
          <cell r="U68">
            <v>9485.85</v>
          </cell>
          <cell r="V68">
            <v>0</v>
          </cell>
        </row>
        <row r="69">
          <cell r="A69">
            <v>1110</v>
          </cell>
        </row>
        <row r="73">
          <cell r="W73">
            <v>0</v>
          </cell>
        </row>
        <row r="74">
          <cell r="C74">
            <v>111</v>
          </cell>
          <cell r="E74">
            <v>179.87</v>
          </cell>
        </row>
        <row r="78">
          <cell r="C78">
            <v>2</v>
          </cell>
          <cell r="E78">
            <v>3970.1</v>
          </cell>
          <cell r="P78">
            <v>0</v>
          </cell>
          <cell r="Q78">
            <v>0</v>
          </cell>
          <cell r="R78">
            <v>3970.1</v>
          </cell>
          <cell r="S78">
            <v>0</v>
          </cell>
          <cell r="T78">
            <v>0</v>
          </cell>
          <cell r="U78">
            <v>3970.1</v>
          </cell>
          <cell r="V78">
            <v>0</v>
          </cell>
        </row>
        <row r="80">
          <cell r="O80">
            <v>0</v>
          </cell>
          <cell r="P80">
            <v>0</v>
          </cell>
          <cell r="Q80">
            <v>0</v>
          </cell>
          <cell r="R80">
            <v>18152.584800000001</v>
          </cell>
          <cell r="S80">
            <v>0</v>
          </cell>
          <cell r="T80">
            <v>0</v>
          </cell>
          <cell r="U80">
            <v>18152.584800000001</v>
          </cell>
          <cell r="V80">
            <v>0</v>
          </cell>
        </row>
        <row r="81">
          <cell r="C81">
            <v>10.64</v>
          </cell>
          <cell r="E81">
            <v>3412.14</v>
          </cell>
        </row>
      </sheetData>
      <sheetData sheetId="11">
        <row r="13">
          <cell r="D13">
            <v>12</v>
          </cell>
          <cell r="E13">
            <v>6768</v>
          </cell>
        </row>
        <row r="14">
          <cell r="E14">
            <v>1123.19</v>
          </cell>
        </row>
        <row r="15">
          <cell r="F15">
            <v>85709</v>
          </cell>
          <cell r="N15">
            <v>7895</v>
          </cell>
          <cell r="O15">
            <v>6770</v>
          </cell>
          <cell r="P15">
            <v>6770</v>
          </cell>
          <cell r="Q15">
            <v>7895</v>
          </cell>
          <cell r="R15">
            <v>6770</v>
          </cell>
          <cell r="S15">
            <v>6770</v>
          </cell>
          <cell r="T15">
            <v>7895</v>
          </cell>
          <cell r="U15">
            <v>6770</v>
          </cell>
          <cell r="V15">
            <v>6770</v>
          </cell>
          <cell r="W15">
            <v>7888</v>
          </cell>
          <cell r="X15">
            <v>6770</v>
          </cell>
          <cell r="Y15">
            <v>6746</v>
          </cell>
        </row>
      </sheetData>
      <sheetData sheetId="12" refreshError="1"/>
      <sheetData sheetId="13" refreshError="1"/>
      <sheetData sheetId="14">
        <row r="13">
          <cell r="D13" t="str">
            <v>4</v>
          </cell>
          <cell r="E13">
            <v>94607.14</v>
          </cell>
        </row>
      </sheetData>
      <sheetData sheetId="15" refreshError="1"/>
      <sheetData sheetId="16">
        <row r="31">
          <cell r="O31">
            <v>22964</v>
          </cell>
        </row>
        <row r="32">
          <cell r="O32">
            <v>93279</v>
          </cell>
        </row>
        <row r="48">
          <cell r="O48">
            <v>45929</v>
          </cell>
        </row>
        <row r="49">
          <cell r="O49">
            <v>186559</v>
          </cell>
        </row>
        <row r="65">
          <cell r="O65">
            <v>91857</v>
          </cell>
        </row>
        <row r="66">
          <cell r="O66">
            <v>373117</v>
          </cell>
        </row>
        <row r="82">
          <cell r="O82">
            <v>160750</v>
          </cell>
        </row>
        <row r="83">
          <cell r="O83">
            <v>652955</v>
          </cell>
        </row>
        <row r="86">
          <cell r="O86">
            <v>813705</v>
          </cell>
        </row>
      </sheetData>
      <sheetData sheetId="17" refreshError="1"/>
      <sheetData sheetId="18">
        <row r="7">
          <cell r="A7" t="str">
            <v xml:space="preserve">Костюм </v>
          </cell>
          <cell r="B7" t="str">
            <v>шт.</v>
          </cell>
          <cell r="H7">
            <v>3</v>
          </cell>
          <cell r="J7">
            <v>1300</v>
          </cell>
        </row>
        <row r="8">
          <cell r="A8" t="str">
            <v>Напівчоботи</v>
          </cell>
          <cell r="B8" t="str">
            <v>п.</v>
          </cell>
          <cell r="H8">
            <v>3</v>
          </cell>
          <cell r="J8">
            <v>940</v>
          </cell>
        </row>
        <row r="9">
          <cell r="A9" t="str">
            <v>Чоботи</v>
          </cell>
          <cell r="B9" t="str">
            <v>п.</v>
          </cell>
          <cell r="H9">
            <v>3</v>
          </cell>
          <cell r="J9">
            <v>1800</v>
          </cell>
        </row>
        <row r="10">
          <cell r="A10" t="str">
            <v>Черевики</v>
          </cell>
          <cell r="B10" t="str">
            <v>п.</v>
          </cell>
          <cell r="H10">
            <v>0</v>
          </cell>
          <cell r="J10">
            <v>1020</v>
          </cell>
        </row>
        <row r="11">
          <cell r="A11" t="str">
            <v>Рукавиці Мп</v>
          </cell>
          <cell r="B11" t="str">
            <v>п.</v>
          </cell>
          <cell r="H11">
            <v>1</v>
          </cell>
          <cell r="J11">
            <v>65</v>
          </cell>
        </row>
        <row r="12">
          <cell r="A12" t="str">
            <v xml:space="preserve">Рукавички Ми </v>
          </cell>
          <cell r="B12" t="str">
            <v>п.</v>
          </cell>
          <cell r="H12">
            <v>18</v>
          </cell>
          <cell r="J12">
            <v>62</v>
          </cell>
        </row>
        <row r="13">
          <cell r="A13" t="str">
            <v>Рукавиці МпВн</v>
          </cell>
          <cell r="B13" t="str">
            <v>п.</v>
          </cell>
          <cell r="H13">
            <v>1</v>
          </cell>
          <cell r="J13">
            <v>85</v>
          </cell>
        </row>
        <row r="14">
          <cell r="A14" t="str">
            <v>Плащ з капюшоном</v>
          </cell>
          <cell r="B14" t="str">
            <v>шт.</v>
          </cell>
          <cell r="H14">
            <v>1</v>
          </cell>
          <cell r="J14">
            <v>510</v>
          </cell>
        </row>
        <row r="15">
          <cell r="A15" t="str">
            <v>Жилет сигнальний</v>
          </cell>
          <cell r="B15" t="str">
            <v>шт.</v>
          </cell>
          <cell r="H15">
            <v>3</v>
          </cell>
          <cell r="J15">
            <v>155</v>
          </cell>
        </row>
        <row r="16">
          <cell r="A16" t="str">
            <v>Каска захисна</v>
          </cell>
          <cell r="B16" t="str">
            <v>шт.</v>
          </cell>
          <cell r="H16">
            <v>1</v>
          </cell>
          <cell r="J16">
            <v>185</v>
          </cell>
        </row>
        <row r="17">
          <cell r="A17" t="str">
            <v xml:space="preserve">Підшоломник </v>
          </cell>
          <cell r="B17" t="str">
            <v>шт.</v>
          </cell>
          <cell r="H17">
            <v>1</v>
          </cell>
          <cell r="J17">
            <v>145</v>
          </cell>
        </row>
        <row r="18">
          <cell r="A18" t="str">
            <v>Кепка</v>
          </cell>
          <cell r="B18" t="str">
            <v>шт.</v>
          </cell>
          <cell r="H18">
            <v>1</v>
          </cell>
          <cell r="J18">
            <v>155</v>
          </cell>
        </row>
        <row r="19">
          <cell r="A19" t="str">
            <v>Футболка бавовняна</v>
          </cell>
          <cell r="B19" t="str">
            <v>шт.</v>
          </cell>
          <cell r="H19">
            <v>3</v>
          </cell>
          <cell r="J19">
            <v>320</v>
          </cell>
        </row>
        <row r="20">
          <cell r="A20" t="str">
            <v>Берет</v>
          </cell>
          <cell r="B20" t="str">
            <v>шт.</v>
          </cell>
          <cell r="H20">
            <v>0</v>
          </cell>
          <cell r="J20">
            <v>105</v>
          </cell>
        </row>
        <row r="21">
          <cell r="A21" t="str">
            <v>Гідрокостюм</v>
          </cell>
          <cell r="B21" t="str">
            <v>шт.</v>
          </cell>
          <cell r="H21">
            <v>1</v>
          </cell>
          <cell r="J21">
            <v>15250</v>
          </cell>
        </row>
        <row r="22">
          <cell r="A22" t="str">
            <v>Пояс запобіжний</v>
          </cell>
          <cell r="B22" t="str">
            <v>шт.</v>
          </cell>
          <cell r="H22">
            <v>1</v>
          </cell>
          <cell r="J22">
            <v>850</v>
          </cell>
        </row>
        <row r="23">
          <cell r="A23" t="str">
            <v xml:space="preserve">Протигаз шланговий </v>
          </cell>
          <cell r="B23" t="str">
            <v>шт.</v>
          </cell>
          <cell r="H23">
            <v>1</v>
          </cell>
          <cell r="J23">
            <v>5200</v>
          </cell>
        </row>
        <row r="30">
          <cell r="J30">
            <v>0</v>
          </cell>
        </row>
        <row r="33">
          <cell r="J33">
            <v>75</v>
          </cell>
        </row>
        <row r="37">
          <cell r="H37">
            <v>6</v>
          </cell>
          <cell r="J37">
            <v>963.14</v>
          </cell>
        </row>
        <row r="38">
          <cell r="H38">
            <v>0</v>
          </cell>
          <cell r="J38">
            <v>160.74</v>
          </cell>
        </row>
        <row r="41">
          <cell r="J41">
            <v>910</v>
          </cell>
        </row>
        <row r="48">
          <cell r="G48">
            <v>7</v>
          </cell>
        </row>
      </sheetData>
      <sheetData sheetId="19">
        <row r="20">
          <cell r="C20" t="str">
            <v xml:space="preserve">Люк зелений </v>
          </cell>
          <cell r="D20" t="str">
            <v>шт</v>
          </cell>
          <cell r="G20">
            <v>10</v>
          </cell>
          <cell r="J20">
            <v>1650</v>
          </cell>
          <cell r="K20">
            <v>16500</v>
          </cell>
        </row>
        <row r="21">
          <cell r="C21" t="str">
            <v>Люк чорний</v>
          </cell>
          <cell r="D21" t="str">
            <v>шт</v>
          </cell>
          <cell r="G21">
            <v>0</v>
          </cell>
          <cell r="J21">
            <v>2850</v>
          </cell>
          <cell r="K21">
            <v>0</v>
          </cell>
        </row>
        <row r="22">
          <cell r="C22" t="str">
            <v>Дюбель пластмасовий14*80 (4 шт. на люк)</v>
          </cell>
          <cell r="D22" t="str">
            <v>шт</v>
          </cell>
          <cell r="G22">
            <v>40</v>
          </cell>
          <cell r="J22">
            <v>4.0999999999999996</v>
          </cell>
          <cell r="K22">
            <v>164</v>
          </cell>
        </row>
        <row r="23">
          <cell r="C23" t="str">
            <v>Саморізи під ключ 8*90 (4 шт. на люк)</v>
          </cell>
          <cell r="D23" t="str">
            <v>шт</v>
          </cell>
          <cell r="G23">
            <v>40</v>
          </cell>
          <cell r="J23">
            <v>8.1999999999999993</v>
          </cell>
          <cell r="K23">
            <v>328</v>
          </cell>
        </row>
        <row r="24">
          <cell r="C24" t="str">
            <v>Шайба 8*24 (4 шт. на люк)</v>
          </cell>
          <cell r="D24" t="str">
            <v>шт</v>
          </cell>
          <cell r="G24">
            <v>40</v>
          </cell>
          <cell r="J24">
            <v>2</v>
          </cell>
          <cell r="K24">
            <v>80</v>
          </cell>
        </row>
        <row r="25">
          <cell r="C25" t="str">
            <v>Цемент (міш. 25 кг) (0,04м3*0,418т)</v>
          </cell>
          <cell r="D25" t="str">
            <v xml:space="preserve">міш </v>
          </cell>
          <cell r="G25">
            <v>7</v>
          </cell>
          <cell r="J25">
            <v>210</v>
          </cell>
          <cell r="K25">
            <v>1470</v>
          </cell>
        </row>
        <row r="26">
          <cell r="C26" t="str">
            <v>Пісок, кг (0,04м3*1,11т*1,5)</v>
          </cell>
          <cell r="D26" t="str">
            <v>кг</v>
          </cell>
          <cell r="G26">
            <v>666</v>
          </cell>
          <cell r="J26">
            <v>3</v>
          </cell>
          <cell r="K26">
            <v>1998</v>
          </cell>
        </row>
        <row r="27">
          <cell r="C27" t="str">
            <v xml:space="preserve">Решітка дощоприймальна (дорожна) в комплекті </v>
          </cell>
          <cell r="D27" t="str">
            <v>шт</v>
          </cell>
          <cell r="G27">
            <v>0</v>
          </cell>
          <cell r="J27">
            <v>7250</v>
          </cell>
          <cell r="K27">
            <v>0</v>
          </cell>
        </row>
        <row r="28">
          <cell r="C28" t="str">
            <v>Цемент (міш. 25 кг) (0,055м3*0,382т)</v>
          </cell>
          <cell r="D28" t="str">
            <v xml:space="preserve">міш </v>
          </cell>
          <cell r="G28">
            <v>8</v>
          </cell>
          <cell r="J28">
            <v>210</v>
          </cell>
          <cell r="K28">
            <v>1680</v>
          </cell>
        </row>
        <row r="29">
          <cell r="C29" t="str">
            <v>Пісок, кг (0,055м3*0,43т*1,5)</v>
          </cell>
          <cell r="D29" t="str">
            <v>кг</v>
          </cell>
          <cell r="G29">
            <v>319</v>
          </cell>
          <cell r="J29">
            <v>3</v>
          </cell>
          <cell r="K29">
            <v>957</v>
          </cell>
        </row>
        <row r="30">
          <cell r="C30" t="str">
            <v>Щебінь (0,055м3*0,76т*1,35)</v>
          </cell>
          <cell r="D30" t="str">
            <v>кг</v>
          </cell>
          <cell r="G30">
            <v>505.81650000000002</v>
          </cell>
          <cell r="J30">
            <v>3</v>
          </cell>
          <cell r="K30">
            <v>1517.4495000000002</v>
          </cell>
        </row>
        <row r="31">
          <cell r="C31" t="str">
            <v>Рідке скло,  кг (люки 0,81, решітки 0,91)</v>
          </cell>
          <cell r="D31" t="str">
            <v>кг</v>
          </cell>
          <cell r="G31">
            <v>12</v>
          </cell>
          <cell r="J31">
            <v>85</v>
          </cell>
          <cell r="K31">
            <v>1020</v>
          </cell>
        </row>
        <row r="32">
          <cell r="C32" t="str">
            <v>Вода (люки 0,04 х 0,32, решітки 0,055х0,21 )</v>
          </cell>
          <cell r="D32" t="str">
            <v>м3</v>
          </cell>
          <cell r="G32">
            <v>0</v>
          </cell>
          <cell r="J32">
            <v>0</v>
          </cell>
          <cell r="K32">
            <v>0</v>
          </cell>
        </row>
        <row r="33">
          <cell r="C33" t="str">
            <v xml:space="preserve">Цемент (міш. 25 кг) </v>
          </cell>
          <cell r="D33" t="str">
            <v xml:space="preserve">міш </v>
          </cell>
          <cell r="G33">
            <v>38</v>
          </cell>
          <cell r="J33">
            <v>210</v>
          </cell>
          <cell r="K33">
            <v>7980</v>
          </cell>
        </row>
        <row r="34">
          <cell r="C34" t="str">
            <v>Пісок, кг</v>
          </cell>
          <cell r="D34" t="str">
            <v>кг</v>
          </cell>
          <cell r="G34">
            <v>2221</v>
          </cell>
          <cell r="J34">
            <v>3</v>
          </cell>
          <cell r="K34">
            <v>6663</v>
          </cell>
        </row>
        <row r="35">
          <cell r="C35" t="str">
            <v>Лопати штикові , шт (1 шт на 1 особу)</v>
          </cell>
          <cell r="D35" t="str">
            <v>шт</v>
          </cell>
          <cell r="G35">
            <v>5</v>
          </cell>
          <cell r="J35">
            <v>350</v>
          </cell>
          <cell r="K35">
            <v>1750</v>
          </cell>
        </row>
        <row r="36">
          <cell r="C36" t="str">
            <v>Лопати совкові, шт (1 шт на 1 особу)</v>
          </cell>
          <cell r="D36" t="str">
            <v>шт</v>
          </cell>
          <cell r="G36">
            <v>5</v>
          </cell>
          <cell r="J36">
            <v>310</v>
          </cell>
          <cell r="K36">
            <v>1550</v>
          </cell>
        </row>
        <row r="37">
          <cell r="C37" t="str">
            <v>Держак для лопати , шт (1 шт на 1 лопату)</v>
          </cell>
          <cell r="D37" t="str">
            <v>шт</v>
          </cell>
          <cell r="G37">
            <v>10</v>
          </cell>
          <cell r="J37">
            <v>65</v>
          </cell>
          <cell r="K37">
            <v>650</v>
          </cell>
        </row>
        <row r="38">
          <cell r="C38" t="str">
            <v>Лопати мала саперна складна під кутом 900, шт (1 шт на 0,5 ос.)</v>
          </cell>
          <cell r="D38" t="str">
            <v>шт</v>
          </cell>
          <cell r="G38">
            <v>3</v>
          </cell>
          <cell r="J38">
            <v>520</v>
          </cell>
          <cell r="K38">
            <v>1560</v>
          </cell>
        </row>
        <row r="39">
          <cell r="C39" t="str">
            <v>Кельма, шт (1 шт на 1 особу)</v>
          </cell>
          <cell r="D39" t="str">
            <v>шт</v>
          </cell>
          <cell r="G39">
            <v>5</v>
          </cell>
          <cell r="J39">
            <v>120</v>
          </cell>
          <cell r="K39">
            <v>600</v>
          </cell>
        </row>
        <row r="40">
          <cell r="C40" t="str">
            <v>Черпак штукатурний малий, шт (1 шт на 0,5 ос.)</v>
          </cell>
          <cell r="D40" t="str">
            <v>шт</v>
          </cell>
          <cell r="G40">
            <v>3</v>
          </cell>
          <cell r="J40">
            <v>120</v>
          </cell>
          <cell r="K40">
            <v>360</v>
          </cell>
        </row>
        <row r="41">
          <cell r="C41" t="str">
            <v>Шпатель штукатурний, шт (1 шт на 0,5 ос.)</v>
          </cell>
          <cell r="D41" t="str">
            <v>шт</v>
          </cell>
          <cell r="G41">
            <v>3</v>
          </cell>
          <cell r="J41">
            <v>120</v>
          </cell>
          <cell r="K41">
            <v>360</v>
          </cell>
        </row>
        <row r="42">
          <cell r="C42" t="str">
            <v>Відро пластик 10л, шт (1 шт на 1 особу)</v>
          </cell>
          <cell r="D42" t="str">
            <v>шт</v>
          </cell>
          <cell r="G42">
            <v>5</v>
          </cell>
          <cell r="J42">
            <v>100</v>
          </cell>
          <cell r="K42">
            <v>500</v>
          </cell>
        </row>
        <row r="43">
          <cell r="C43" t="str">
            <v>Відро оцинковане 12л, шт (1 шт на 1 особу)</v>
          </cell>
          <cell r="D43" t="str">
            <v>шт</v>
          </cell>
          <cell r="G43">
            <v>5</v>
          </cell>
          <cell r="J43">
            <v>250</v>
          </cell>
          <cell r="K43">
            <v>1250</v>
          </cell>
        </row>
        <row r="44">
          <cell r="C44" t="str">
            <v>Кисть малярська середня, шт (1 шт на 0,5 ос.)</v>
          </cell>
          <cell r="D44" t="str">
            <v>шт</v>
          </cell>
          <cell r="G44">
            <v>3</v>
          </cell>
          <cell r="J44">
            <v>68</v>
          </cell>
          <cell r="K44">
            <v>204</v>
          </cell>
        </row>
        <row r="45">
          <cell r="C45" t="str">
            <v>Лом малий 0,5 м, шт (1 шт на 1 бригаду)</v>
          </cell>
          <cell r="D45" t="str">
            <v>шт</v>
          </cell>
          <cell r="G45">
            <v>1</v>
          </cell>
          <cell r="J45">
            <v>250</v>
          </cell>
          <cell r="K45">
            <v>250</v>
          </cell>
        </row>
        <row r="46">
          <cell r="C46" t="str">
            <v>Молоток каменяра, шт (1 шт на 1 бригаду)</v>
          </cell>
          <cell r="D46" t="str">
            <v>шт</v>
          </cell>
          <cell r="G46">
            <v>1</v>
          </cell>
          <cell r="J46">
            <v>580</v>
          </cell>
          <cell r="K46">
            <v>580</v>
          </cell>
        </row>
        <row r="47">
          <cell r="C47" t="str">
            <v>Ліхтар акумуляторний , шт (0,33 шт на 1 особу)</v>
          </cell>
          <cell r="D47" t="str">
            <v>шт</v>
          </cell>
          <cell r="G47">
            <v>2</v>
          </cell>
          <cell r="J47">
            <v>820</v>
          </cell>
          <cell r="K47">
            <v>1640</v>
          </cell>
        </row>
        <row r="48">
          <cell r="C48" t="str">
            <v>Кувалда 2 кг. , шт (1 шт на 1 бригаду)</v>
          </cell>
          <cell r="D48" t="str">
            <v>шт</v>
          </cell>
          <cell r="G48">
            <v>1</v>
          </cell>
          <cell r="J48">
            <v>450</v>
          </cell>
          <cell r="K48">
            <v>450</v>
          </cell>
        </row>
        <row r="49">
          <cell r="C49" t="str">
            <v>Окуляри захисні</v>
          </cell>
          <cell r="D49" t="str">
            <v>шт</v>
          </cell>
          <cell r="G49">
            <v>1</v>
          </cell>
          <cell r="J49">
            <v>100</v>
          </cell>
          <cell r="K49">
            <v>100</v>
          </cell>
        </row>
        <row r="50">
          <cell r="C50" t="str">
            <v>Диски шліфувальні 125мл</v>
          </cell>
          <cell r="D50" t="str">
            <v>шт</v>
          </cell>
          <cell r="G50">
            <v>10</v>
          </cell>
          <cell r="J50">
            <v>35</v>
          </cell>
          <cell r="K50">
            <v>350</v>
          </cell>
        </row>
        <row r="51">
          <cell r="C51" t="str">
            <v>Полотно ножовочне</v>
          </cell>
          <cell r="D51" t="str">
            <v>шт</v>
          </cell>
          <cell r="G51">
            <v>10</v>
          </cell>
          <cell r="J51">
            <v>130</v>
          </cell>
          <cell r="K51">
            <v>1300</v>
          </cell>
        </row>
        <row r="52">
          <cell r="C52" t="str">
            <v>Ящик для інструменту</v>
          </cell>
          <cell r="D52" t="str">
            <v>шт</v>
          </cell>
          <cell r="G52">
            <v>1</v>
          </cell>
          <cell r="J52">
            <v>1100</v>
          </cell>
          <cell r="K52">
            <v>1100</v>
          </cell>
        </row>
        <row r="53">
          <cell r="C53" t="str">
            <v>Масло універсальне «SHEL» 15W-40 4л.</v>
          </cell>
          <cell r="D53" t="str">
            <v>кан</v>
          </cell>
          <cell r="G53">
            <v>2</v>
          </cell>
          <cell r="J53">
            <v>1100</v>
          </cell>
          <cell r="K53">
            <v>2200</v>
          </cell>
        </row>
        <row r="54">
          <cell r="C54" t="str">
            <v>Фільтр паливний WK 712/2 на двигун HATZ-Дизель 00952900</v>
          </cell>
          <cell r="D54" t="str">
            <v>шт</v>
          </cell>
          <cell r="G54">
            <v>1</v>
          </cell>
          <cell r="J54">
            <v>600</v>
          </cell>
          <cell r="K54">
            <v>600</v>
          </cell>
        </row>
        <row r="55">
          <cell r="C55" t="str">
            <v>Фільтр масляний WI 7114 на двигун HATZ-Дизель 00952900</v>
          </cell>
          <cell r="D55" t="str">
            <v>шт</v>
          </cell>
          <cell r="G55">
            <v>1</v>
          </cell>
          <cell r="J55">
            <v>620</v>
          </cell>
          <cell r="K55">
            <v>620</v>
          </cell>
        </row>
        <row r="56">
          <cell r="C56" t="str">
            <v>Фільтр повітряний P 781746 на двигун HATZ-Дизель 00952900</v>
          </cell>
          <cell r="D56" t="str">
            <v>шт</v>
          </cell>
          <cell r="G56">
            <v>1</v>
          </cell>
          <cell r="J56">
            <v>580</v>
          </cell>
          <cell r="K56">
            <v>580</v>
          </cell>
        </row>
        <row r="57">
          <cell r="C57" t="str">
            <v>Тосол 4л</v>
          </cell>
          <cell r="D57" t="str">
            <v>кан</v>
          </cell>
          <cell r="G57">
            <v>1</v>
          </cell>
          <cell r="J57">
            <v>550</v>
          </cell>
          <cell r="K57">
            <v>550</v>
          </cell>
        </row>
        <row r="58">
          <cell r="C58" t="str">
            <v>Канат, м (на колодязь 5 м. глубини *2)</v>
          </cell>
          <cell r="D58" t="str">
            <v>м</v>
          </cell>
          <cell r="G58">
            <v>10</v>
          </cell>
          <cell r="J58">
            <v>52</v>
          </cell>
          <cell r="K58">
            <v>520</v>
          </cell>
        </row>
        <row r="59">
          <cell r="C59" t="str">
            <v>Стрічка огророджувальна, рул. (20м. на роботу) (100м /рул)</v>
          </cell>
          <cell r="D59" t="str">
            <v>шт</v>
          </cell>
          <cell r="G59">
            <v>10</v>
          </cell>
          <cell r="J59">
            <v>250</v>
          </cell>
          <cell r="K59">
            <v>2500</v>
          </cell>
        </row>
        <row r="60">
          <cell r="D60" t="str">
            <v>шт</v>
          </cell>
          <cell r="G60">
            <v>0</v>
          </cell>
          <cell r="K60">
            <v>0</v>
          </cell>
        </row>
        <row r="61">
          <cell r="D61" t="str">
            <v>шт</v>
          </cell>
          <cell r="G61">
            <v>0</v>
          </cell>
          <cell r="K61">
            <v>0</v>
          </cell>
        </row>
        <row r="62">
          <cell r="D62" t="str">
            <v>шт</v>
          </cell>
          <cell r="G62">
            <v>0</v>
          </cell>
          <cell r="K62">
            <v>0</v>
          </cell>
        </row>
        <row r="64">
          <cell r="G64">
            <v>1751</v>
          </cell>
          <cell r="J64">
            <v>57.49</v>
          </cell>
        </row>
        <row r="65">
          <cell r="G65">
            <v>434</v>
          </cell>
          <cell r="J65">
            <v>58.99</v>
          </cell>
        </row>
        <row r="66">
          <cell r="C66" t="str">
            <v>Паливо на роботу екскаватора</v>
          </cell>
          <cell r="E66">
            <v>1110</v>
          </cell>
          <cell r="J66">
            <v>57.49</v>
          </cell>
        </row>
        <row r="68">
          <cell r="G68">
            <v>112</v>
          </cell>
          <cell r="J68">
            <v>35</v>
          </cell>
        </row>
        <row r="69">
          <cell r="G69">
            <v>0</v>
          </cell>
          <cell r="J69">
            <v>35</v>
          </cell>
        </row>
        <row r="70">
          <cell r="G70">
            <v>72</v>
          </cell>
          <cell r="J70">
            <v>75</v>
          </cell>
        </row>
        <row r="73">
          <cell r="G73">
            <v>3</v>
          </cell>
          <cell r="J73">
            <v>1300</v>
          </cell>
        </row>
        <row r="74">
          <cell r="G74">
            <v>3</v>
          </cell>
          <cell r="J74">
            <v>940</v>
          </cell>
        </row>
        <row r="75">
          <cell r="G75">
            <v>3</v>
          </cell>
          <cell r="J75">
            <v>1800</v>
          </cell>
        </row>
        <row r="76">
          <cell r="G76">
            <v>0</v>
          </cell>
          <cell r="J76">
            <v>1020</v>
          </cell>
        </row>
        <row r="77">
          <cell r="G77">
            <v>1</v>
          </cell>
          <cell r="J77">
            <v>65</v>
          </cell>
        </row>
        <row r="78">
          <cell r="G78">
            <v>18</v>
          </cell>
          <cell r="J78">
            <v>62</v>
          </cell>
        </row>
        <row r="79">
          <cell r="G79">
            <v>1</v>
          </cell>
          <cell r="J79">
            <v>85</v>
          </cell>
        </row>
        <row r="80">
          <cell r="G80">
            <v>1</v>
          </cell>
          <cell r="J80">
            <v>510</v>
          </cell>
        </row>
        <row r="81">
          <cell r="G81">
            <v>3</v>
          </cell>
          <cell r="J81">
            <v>155</v>
          </cell>
        </row>
        <row r="82">
          <cell r="G82">
            <v>1</v>
          </cell>
          <cell r="J82">
            <v>185</v>
          </cell>
        </row>
        <row r="83">
          <cell r="G83">
            <v>1</v>
          </cell>
          <cell r="J83">
            <v>145</v>
          </cell>
        </row>
        <row r="84">
          <cell r="G84">
            <v>1</v>
          </cell>
          <cell r="J84">
            <v>155</v>
          </cell>
        </row>
        <row r="85">
          <cell r="G85">
            <v>3</v>
          </cell>
          <cell r="J85">
            <v>320</v>
          </cell>
        </row>
        <row r="86">
          <cell r="G86">
            <v>0</v>
          </cell>
          <cell r="J86">
            <v>105</v>
          </cell>
        </row>
        <row r="87">
          <cell r="G87">
            <v>1</v>
          </cell>
          <cell r="J87">
            <v>15250</v>
          </cell>
        </row>
        <row r="88">
          <cell r="G88">
            <v>1</v>
          </cell>
          <cell r="J88">
            <v>850</v>
          </cell>
        </row>
        <row r="89">
          <cell r="G89">
            <v>1</v>
          </cell>
          <cell r="J89">
            <v>5200</v>
          </cell>
        </row>
        <row r="92">
          <cell r="J92">
            <v>57.49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5">
          <cell r="B15" t="str">
            <v>1</v>
          </cell>
          <cell r="C15" t="str">
            <v>«Поточний ремонт ділянки мереж  внутрішньоквартальної зливової каналізації  від колодязя  Кл 466 до колодязя Кл 468 на території ДНЗ №2 “Лелеченя”  м. Южного Одеського району Одеської області».</v>
          </cell>
          <cell r="D15" t="str">
            <v xml:space="preserve">од. </v>
          </cell>
          <cell r="E15" t="str">
            <v>1</v>
          </cell>
          <cell r="F15">
            <v>450000</v>
          </cell>
          <cell r="G15">
            <v>450000</v>
          </cell>
        </row>
        <row r="16">
          <cell r="B16" t="str">
            <v>2</v>
          </cell>
          <cell r="C16" t="str">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ell>
          <cell r="D16" t="str">
            <v xml:space="preserve">од. </v>
          </cell>
          <cell r="E16" t="str">
            <v>1</v>
          </cell>
          <cell r="F16">
            <v>295900</v>
          </cell>
          <cell r="G16">
            <v>295900</v>
          </cell>
        </row>
        <row r="17">
          <cell r="B17" t="str">
            <v>3</v>
          </cell>
          <cell r="C17" t="str">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ell>
          <cell r="D17" t="str">
            <v xml:space="preserve">од. </v>
          </cell>
          <cell r="E17" t="str">
            <v>1</v>
          </cell>
          <cell r="F17">
            <v>298500</v>
          </cell>
          <cell r="G17">
            <v>298500</v>
          </cell>
        </row>
        <row r="18">
          <cell r="B18" t="str">
            <v>4</v>
          </cell>
          <cell r="C18" t="str">
            <v>Проведення технічної інвентаризації  та виготовлення технічного паспорту мереж зливової каналізації м. Южного Одеського району Одеської області</v>
          </cell>
          <cell r="D18" t="str">
            <v xml:space="preserve">од. </v>
          </cell>
          <cell r="E18" t="str">
            <v>1</v>
          </cell>
          <cell r="F18">
            <v>385280</v>
          </cell>
          <cell r="G18">
            <v>385280</v>
          </cell>
        </row>
        <row r="19">
          <cell r="B19" t="str">
            <v>5</v>
          </cell>
          <cell r="C19" t="str">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ell>
          <cell r="D19" t="str">
            <v xml:space="preserve">од. </v>
          </cell>
          <cell r="E19" t="str">
            <v>1</v>
          </cell>
          <cell r="F19">
            <v>125951</v>
          </cell>
          <cell r="G19">
            <v>125951</v>
          </cell>
        </row>
        <row r="20">
          <cell r="B20" t="str">
            <v>6</v>
          </cell>
          <cell r="C20" t="str">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ell>
          <cell r="D20" t="str">
            <v xml:space="preserve">од. </v>
          </cell>
          <cell r="E20" t="str">
            <v>1</v>
          </cell>
          <cell r="F20">
            <v>26750</v>
          </cell>
          <cell r="G20">
            <v>26750</v>
          </cell>
        </row>
        <row r="21">
          <cell r="B21" t="str">
            <v>7</v>
          </cell>
          <cell r="C21" t="str">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ell>
          <cell r="D21" t="str">
            <v xml:space="preserve">од. </v>
          </cell>
          <cell r="E21" t="str">
            <v>1</v>
          </cell>
          <cell r="F21">
            <v>185184</v>
          </cell>
          <cell r="G21">
            <v>185184</v>
          </cell>
        </row>
        <row r="22">
          <cell r="B22" t="str">
            <v>8</v>
          </cell>
          <cell r="C22" t="str">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ell>
          <cell r="D22" t="str">
            <v xml:space="preserve">од. </v>
          </cell>
          <cell r="E22" t="str">
            <v>1</v>
          </cell>
          <cell r="F22">
            <v>27876</v>
          </cell>
          <cell r="G22">
            <v>27876</v>
          </cell>
        </row>
        <row r="23">
          <cell r="D23" t="str">
            <v xml:space="preserve">од. </v>
          </cell>
          <cell r="G23">
            <v>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Розр. чис"/>
      <sheetName val="Наказ"/>
      <sheetName val="Лист5"/>
      <sheetName val="роботи"/>
      <sheetName val="перелік поміс"/>
      <sheetName val="графік "/>
      <sheetName val="час роботи на послуг"/>
      <sheetName val="Лист6"/>
      <sheetName val="грунт"/>
      <sheetName val="ПММ, Вода"/>
      <sheetName val="Якість"/>
      <sheetName val="Лист13"/>
      <sheetName val="зміни 01"/>
      <sheetName val="Е.П"/>
      <sheetName val="Шт. розп"/>
      <sheetName val="Фонд"/>
      <sheetName val="Лист3"/>
      <sheetName val="ОП1"/>
      <sheetName val="матеріали"/>
      <sheetName val="матеріали 1"/>
      <sheetName val="Лист12"/>
      <sheetName val="зм ПММ"/>
      <sheetName val="Ком пр"/>
      <sheetName val="витр 2"/>
      <sheetName val="Лист7"/>
      <sheetName val="доходи"/>
      <sheetName val="Лист8"/>
      <sheetName val="Лім 2025"/>
      <sheetName val="Лист9"/>
      <sheetName val="Ліміти 1"/>
      <sheetName val="Лім 2"/>
      <sheetName val="зміни вода"/>
      <sheetName val="зміни вода 01"/>
      <sheetName val="ліміт ген"/>
      <sheetName val="лім 04 засувки"/>
      <sheetName val="генератор"/>
      <sheetName val="Лист15"/>
      <sheetName val="Лім 03 "/>
      <sheetName val="Лім 1"/>
      <sheetName val="Лім"/>
      <sheetName val="пот рем табл."/>
      <sheetName val="Лист16"/>
      <sheetName val="Засувки"/>
      <sheetName val="Засувки+Ген+насос"/>
      <sheetName val="засувки фінанс"/>
      <sheetName val="Лист2"/>
      <sheetName val="Лист4"/>
      <sheetName val="План вик. БК"/>
      <sheetName val="ціна 1м"/>
      <sheetName val="Лист11"/>
    </sheetNames>
    <sheetDataSet>
      <sheetData sheetId="0"/>
      <sheetData sheetId="1"/>
      <sheetData sheetId="2"/>
      <sheetData sheetId="3"/>
      <sheetData sheetId="4"/>
      <sheetData sheetId="5"/>
      <sheetData sheetId="6"/>
      <sheetData sheetId="7">
        <row r="10">
          <cell r="B10" t="str">
            <v xml:space="preserve">_______________ Андрій ШЕСТОВ </v>
          </cell>
        </row>
      </sheetData>
      <sheetData sheetId="8"/>
      <sheetData sheetId="9"/>
      <sheetData sheetId="10">
        <row r="8">
          <cell r="O8">
            <v>3009.3881039999997</v>
          </cell>
        </row>
      </sheetData>
      <sheetData sheetId="11">
        <row r="13">
          <cell r="D13">
            <v>12</v>
          </cell>
        </row>
      </sheetData>
      <sheetData sheetId="12"/>
      <sheetData sheetId="13"/>
      <sheetData sheetId="14">
        <row r="13">
          <cell r="D13" t="str">
            <v>4</v>
          </cell>
        </row>
      </sheetData>
      <sheetData sheetId="15"/>
      <sheetData sheetId="16">
        <row r="31">
          <cell r="O31">
            <v>22964</v>
          </cell>
        </row>
      </sheetData>
      <sheetData sheetId="17"/>
      <sheetData sheetId="18">
        <row r="7">
          <cell r="A7" t="str">
            <v xml:space="preserve">Костюм </v>
          </cell>
        </row>
      </sheetData>
      <sheetData sheetId="19">
        <row r="19">
          <cell r="K19">
            <v>62481.453999999998</v>
          </cell>
        </row>
      </sheetData>
      <sheetData sheetId="20"/>
      <sheetData sheetId="21"/>
      <sheetData sheetId="22"/>
      <sheetData sheetId="23"/>
      <sheetData sheetId="24">
        <row r="106">
          <cell r="G106">
            <v>1371276.0035999999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
          <cell r="B15" t="str">
            <v>1</v>
          </cell>
        </row>
      </sheetData>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9"/>
  <sheetViews>
    <sheetView tabSelected="1" view="pageBreakPreview" zoomScaleNormal="100" zoomScaleSheetLayoutView="100" workbookViewId="0">
      <selection activeCell="F1" sqref="F1:X1"/>
    </sheetView>
  </sheetViews>
  <sheetFormatPr defaultColWidth="9.140625" defaultRowHeight="12.75" x14ac:dyDescent="0.2"/>
  <cols>
    <col min="1" max="1" width="52.7109375" style="1" customWidth="1"/>
    <col min="2" max="2" width="9.42578125" style="2" hidden="1" customWidth="1"/>
    <col min="3" max="3" width="6.85546875" style="1" customWidth="1"/>
    <col min="4" max="4" width="9.7109375" style="1" customWidth="1"/>
    <col min="5" max="5" width="9" style="1" customWidth="1"/>
    <col min="6" max="6" width="11.28515625" style="1" customWidth="1"/>
    <col min="7" max="7" width="8.42578125" style="3" hidden="1" customWidth="1"/>
    <col min="8" max="8" width="8.5703125" style="3" hidden="1" customWidth="1"/>
    <col min="9" max="9" width="10.28515625" style="3" hidden="1" customWidth="1"/>
    <col min="10" max="10" width="9.28515625" style="1" customWidth="1"/>
    <col min="11" max="13" width="8.28515625" style="3" hidden="1" customWidth="1"/>
    <col min="14" max="14" width="8.5703125" style="1" customWidth="1"/>
    <col min="15" max="15" width="9.28515625" style="1" hidden="1" customWidth="1"/>
    <col min="16" max="18" width="9" style="3" hidden="1" customWidth="1"/>
    <col min="19" max="19" width="8.42578125" style="1" customWidth="1"/>
    <col min="20" max="20" width="9.28515625" style="1" hidden="1" customWidth="1"/>
    <col min="21" max="22" width="8.28515625" style="3" hidden="1" customWidth="1"/>
    <col min="23" max="23" width="8.140625" style="3" hidden="1" customWidth="1"/>
    <col min="24" max="24" width="8.5703125" style="1" customWidth="1"/>
    <col min="25" max="25" width="9.7109375" style="1" hidden="1" customWidth="1"/>
    <col min="26" max="26" width="2.7109375" style="1" hidden="1" customWidth="1"/>
    <col min="27" max="27" width="9.42578125" style="4" hidden="1" customWidth="1"/>
    <col min="28" max="30" width="9.140625" style="1" hidden="1" customWidth="1"/>
    <col min="31" max="32" width="9.140625" style="1" customWidth="1"/>
    <col min="33" max="33" width="9.140625" style="1" hidden="1" customWidth="1"/>
    <col min="34" max="16384" width="9.140625" style="1"/>
  </cols>
  <sheetData>
    <row r="1" spans="1:30" ht="66" customHeight="1" x14ac:dyDescent="0.2">
      <c r="F1" s="1935" t="s">
        <v>1539</v>
      </c>
      <c r="G1" s="1935"/>
      <c r="H1" s="1935"/>
      <c r="I1" s="1935"/>
      <c r="J1" s="1935"/>
      <c r="K1" s="1935"/>
      <c r="L1" s="1935"/>
      <c r="M1" s="1935"/>
      <c r="N1" s="1935"/>
      <c r="O1" s="1935"/>
      <c r="P1" s="1935"/>
      <c r="Q1" s="1935"/>
      <c r="R1" s="1935"/>
      <c r="S1" s="1935"/>
      <c r="T1" s="1935"/>
      <c r="U1" s="1935"/>
      <c r="V1" s="1935"/>
      <c r="W1" s="1935"/>
      <c r="X1" s="1935"/>
    </row>
    <row r="2" spans="1:30" ht="11.25" customHeight="1" x14ac:dyDescent="0.2">
      <c r="F2" s="1936"/>
      <c r="G2" s="1936"/>
      <c r="H2" s="1936"/>
      <c r="I2" s="1936"/>
      <c r="J2" s="1936"/>
      <c r="K2" s="1936"/>
      <c r="L2" s="1936"/>
      <c r="M2" s="1936"/>
      <c r="N2" s="1936"/>
      <c r="O2" s="1936"/>
      <c r="P2" s="1936"/>
      <c r="Q2" s="1936"/>
      <c r="R2" s="1936"/>
      <c r="S2" s="1936"/>
      <c r="T2" s="1936"/>
      <c r="U2" s="1936"/>
      <c r="V2" s="1936"/>
      <c r="W2" s="1936"/>
      <c r="X2" s="1936"/>
    </row>
    <row r="3" spans="1:30" ht="15" customHeight="1" x14ac:dyDescent="0.2">
      <c r="F3" s="1936"/>
      <c r="G3" s="1936"/>
      <c r="H3" s="1936"/>
      <c r="I3" s="1936"/>
      <c r="J3" s="1936"/>
      <c r="K3" s="1936"/>
      <c r="L3" s="1936"/>
      <c r="M3" s="1936"/>
      <c r="N3" s="1936"/>
      <c r="O3" s="1936"/>
      <c r="P3" s="1936"/>
      <c r="Q3" s="1936"/>
      <c r="R3" s="1936"/>
      <c r="S3" s="1936"/>
      <c r="T3" s="1936"/>
      <c r="U3" s="1936"/>
      <c r="V3" s="1936"/>
      <c r="W3" s="1936"/>
      <c r="X3" s="1936"/>
    </row>
    <row r="4" spans="1:30" ht="15.75" x14ac:dyDescent="0.25">
      <c r="A4" s="5"/>
      <c r="B4" s="6"/>
      <c r="C4" s="7"/>
      <c r="D4" s="8"/>
      <c r="E4" s="8"/>
      <c r="F4" s="9"/>
      <c r="G4" s="8"/>
      <c r="H4" s="8"/>
      <c r="I4" s="8"/>
      <c r="J4" s="8"/>
      <c r="K4" s="10"/>
      <c r="L4" s="8"/>
      <c r="M4" s="8"/>
      <c r="N4" s="11"/>
      <c r="O4" s="12"/>
      <c r="P4" s="4"/>
      <c r="Q4" s="4"/>
      <c r="R4" s="4"/>
      <c r="S4" s="1952" t="s">
        <v>0</v>
      </c>
      <c r="T4" s="1952"/>
      <c r="U4" s="1952"/>
      <c r="V4" s="1952"/>
      <c r="W4" s="1952"/>
      <c r="X4" s="1952" t="s">
        <v>0</v>
      </c>
      <c r="AA4" s="1"/>
    </row>
    <row r="5" spans="1:30" ht="16.5" customHeight="1" x14ac:dyDescent="0.25">
      <c r="A5" s="5" t="s">
        <v>1</v>
      </c>
      <c r="B5" s="6"/>
      <c r="C5" s="13" t="s">
        <v>2</v>
      </c>
      <c r="D5" s="14"/>
      <c r="E5" s="14"/>
      <c r="F5" s="14"/>
      <c r="G5" s="14"/>
      <c r="H5" s="14"/>
      <c r="I5" s="14"/>
      <c r="J5" s="14"/>
      <c r="K5" s="15"/>
      <c r="L5" s="14"/>
      <c r="M5" s="14"/>
      <c r="N5" s="14"/>
      <c r="O5" s="12"/>
      <c r="P5" s="16"/>
      <c r="Q5" s="16"/>
      <c r="R5" s="16"/>
      <c r="S5" s="1942">
        <v>31783053</v>
      </c>
      <c r="T5" s="1942"/>
      <c r="U5" s="1942"/>
      <c r="V5" s="1942"/>
      <c r="W5" s="1942"/>
      <c r="X5" s="1942"/>
      <c r="AA5" s="1"/>
    </row>
    <row r="6" spans="1:30" ht="16.5" customHeight="1" x14ac:dyDescent="0.25">
      <c r="A6" s="17" t="s">
        <v>3</v>
      </c>
      <c r="B6" s="18"/>
      <c r="C6" s="13" t="s">
        <v>4</v>
      </c>
      <c r="D6" s="14"/>
      <c r="E6" s="14"/>
      <c r="F6" s="14"/>
      <c r="G6" s="14"/>
      <c r="H6" s="14"/>
      <c r="I6" s="14"/>
      <c r="J6" s="14"/>
      <c r="K6" s="15"/>
      <c r="L6" s="14"/>
      <c r="M6" s="14"/>
      <c r="N6" s="14"/>
      <c r="O6" s="12"/>
      <c r="P6" s="16"/>
      <c r="Q6" s="16"/>
      <c r="R6" s="16"/>
      <c r="S6" s="1942">
        <v>150</v>
      </c>
      <c r="T6" s="1942"/>
      <c r="U6" s="1942"/>
      <c r="V6" s="1942"/>
      <c r="W6" s="1942"/>
      <c r="X6" s="1942"/>
      <c r="AA6" s="1"/>
    </row>
    <row r="7" spans="1:30" ht="16.5" customHeight="1" x14ac:dyDescent="0.25">
      <c r="A7" s="17" t="s">
        <v>5</v>
      </c>
      <c r="B7" s="18"/>
      <c r="C7" s="13" t="s">
        <v>6</v>
      </c>
      <c r="D7" s="14"/>
      <c r="E7" s="14"/>
      <c r="F7" s="14"/>
      <c r="G7" s="14"/>
      <c r="H7" s="14"/>
      <c r="I7" s="14"/>
      <c r="J7" s="14"/>
      <c r="K7" s="15"/>
      <c r="L7" s="14"/>
      <c r="M7" s="14"/>
      <c r="N7" s="14"/>
      <c r="O7" s="12"/>
      <c r="P7" s="16"/>
      <c r="Q7" s="16"/>
      <c r="R7" s="16"/>
      <c r="S7" s="1942">
        <v>5111700000</v>
      </c>
      <c r="T7" s="1942"/>
      <c r="U7" s="1942"/>
      <c r="V7" s="1942"/>
      <c r="W7" s="1942"/>
      <c r="X7" s="1942"/>
      <c r="AA7" s="1"/>
    </row>
    <row r="8" spans="1:30" ht="16.5" customHeight="1" x14ac:dyDescent="0.25">
      <c r="A8" s="5" t="s">
        <v>7</v>
      </c>
      <c r="B8" s="6"/>
      <c r="C8" s="13" t="s">
        <v>8</v>
      </c>
      <c r="D8" s="14"/>
      <c r="E8" s="14"/>
      <c r="F8" s="14"/>
      <c r="G8" s="14"/>
      <c r="H8" s="14"/>
      <c r="I8" s="14"/>
      <c r="J8" s="14"/>
      <c r="K8" s="15"/>
      <c r="L8" s="14"/>
      <c r="M8" s="14"/>
      <c r="N8" s="14"/>
      <c r="O8" s="12"/>
      <c r="P8" s="16"/>
      <c r="Q8" s="16"/>
      <c r="R8" s="16"/>
      <c r="S8" s="1942"/>
      <c r="T8" s="1942"/>
      <c r="U8" s="1942"/>
      <c r="V8" s="1942"/>
      <c r="W8" s="1942"/>
      <c r="X8" s="1942"/>
      <c r="AA8" s="1"/>
    </row>
    <row r="9" spans="1:30" ht="16.5" customHeight="1" x14ac:dyDescent="0.25">
      <c r="A9" s="5" t="s">
        <v>9</v>
      </c>
      <c r="B9" s="6"/>
      <c r="C9" s="13" t="s">
        <v>10</v>
      </c>
      <c r="D9" s="14"/>
      <c r="E9" s="14"/>
      <c r="F9" s="14"/>
      <c r="G9" s="14"/>
      <c r="H9" s="14"/>
      <c r="I9" s="14"/>
      <c r="J9" s="14"/>
      <c r="K9" s="15"/>
      <c r="L9" s="14"/>
      <c r="M9" s="14"/>
      <c r="N9" s="14"/>
      <c r="O9" s="12"/>
      <c r="P9" s="16"/>
      <c r="Q9" s="16"/>
      <c r="R9" s="16"/>
      <c r="S9" s="1942">
        <v>90000</v>
      </c>
      <c r="T9" s="1942"/>
      <c r="U9" s="1942"/>
      <c r="V9" s="1942"/>
      <c r="W9" s="1942"/>
      <c r="X9" s="1942"/>
      <c r="AA9" s="1"/>
    </row>
    <row r="10" spans="1:30" ht="16.5" customHeight="1" x14ac:dyDescent="0.25">
      <c r="A10" s="5" t="s">
        <v>11</v>
      </c>
      <c r="B10" s="6"/>
      <c r="C10" s="13" t="s">
        <v>12</v>
      </c>
      <c r="D10" s="14"/>
      <c r="E10" s="14"/>
      <c r="F10" s="14"/>
      <c r="G10" s="14"/>
      <c r="H10" s="14"/>
      <c r="I10" s="14"/>
      <c r="J10" s="14"/>
      <c r="K10" s="15"/>
      <c r="L10" s="14"/>
      <c r="M10" s="14"/>
      <c r="N10" s="14"/>
      <c r="O10" s="12"/>
      <c r="P10" s="16"/>
      <c r="Q10" s="16"/>
      <c r="R10" s="16"/>
      <c r="S10" s="1942" t="s">
        <v>13</v>
      </c>
      <c r="T10" s="1942"/>
      <c r="U10" s="1942"/>
      <c r="V10" s="1942"/>
      <c r="W10" s="1942"/>
      <c r="X10" s="1942"/>
      <c r="AA10" s="1"/>
    </row>
    <row r="11" spans="1:30" ht="16.5" customHeight="1" x14ac:dyDescent="0.25">
      <c r="A11" s="5" t="s">
        <v>14</v>
      </c>
      <c r="B11" s="6"/>
      <c r="C11" s="13" t="s">
        <v>15</v>
      </c>
      <c r="D11" s="14"/>
      <c r="E11" s="14"/>
      <c r="F11" s="14"/>
      <c r="G11" s="14"/>
      <c r="H11" s="14"/>
      <c r="I11" s="14"/>
      <c r="J11" s="14"/>
      <c r="K11" s="15"/>
      <c r="L11" s="14"/>
      <c r="M11" s="14"/>
      <c r="N11" s="14"/>
      <c r="O11" s="12"/>
      <c r="P11" s="16"/>
      <c r="Q11" s="16"/>
      <c r="R11" s="16"/>
      <c r="S11" s="1942"/>
      <c r="T11" s="1942"/>
      <c r="U11" s="1942"/>
      <c r="V11" s="1942"/>
      <c r="W11" s="1942"/>
      <c r="X11" s="1942"/>
      <c r="AA11" s="1"/>
    </row>
    <row r="12" spans="1:30" ht="16.5" customHeight="1" x14ac:dyDescent="0.25">
      <c r="A12" s="5" t="s">
        <v>16</v>
      </c>
      <c r="B12" s="6"/>
      <c r="C12" s="13" t="s">
        <v>17</v>
      </c>
      <c r="D12" s="14"/>
      <c r="E12" s="14"/>
      <c r="F12" s="14"/>
      <c r="G12" s="14"/>
      <c r="H12" s="14"/>
      <c r="I12" s="14"/>
      <c r="J12" s="14"/>
      <c r="K12" s="15"/>
      <c r="L12" s="14"/>
      <c r="M12" s="14"/>
      <c r="N12" s="14"/>
      <c r="O12" s="12"/>
      <c r="P12" s="16"/>
      <c r="Q12" s="16"/>
      <c r="R12" s="16"/>
      <c r="S12" s="1942"/>
      <c r="T12" s="1942"/>
      <c r="U12" s="1942"/>
      <c r="V12" s="1942"/>
      <c r="W12" s="1942"/>
      <c r="X12" s="1942"/>
      <c r="AA12" s="1"/>
    </row>
    <row r="13" spans="1:30" ht="16.5" customHeight="1" x14ac:dyDescent="0.25">
      <c r="A13" s="5" t="s">
        <v>18</v>
      </c>
      <c r="B13" s="6"/>
      <c r="C13" s="19">
        <v>68</v>
      </c>
      <c r="D13" s="14"/>
      <c r="E13" s="14"/>
      <c r="F13" s="14"/>
      <c r="G13" s="14"/>
      <c r="H13" s="14"/>
      <c r="I13" s="14"/>
      <c r="J13" s="14"/>
      <c r="K13" s="15"/>
      <c r="L13" s="14"/>
      <c r="M13" s="14"/>
      <c r="N13" s="14"/>
      <c r="O13" s="12"/>
      <c r="P13" s="16"/>
      <c r="Q13" s="16"/>
      <c r="R13" s="16"/>
      <c r="S13" s="1942"/>
      <c r="T13" s="1942"/>
      <c r="U13" s="1942"/>
      <c r="V13" s="1942"/>
      <c r="W13" s="1942"/>
      <c r="X13" s="1942"/>
      <c r="AA13" s="1"/>
    </row>
    <row r="14" spans="1:30" ht="16.5" customHeight="1" x14ac:dyDescent="0.25">
      <c r="A14" s="17" t="s">
        <v>19</v>
      </c>
      <c r="B14" s="18"/>
      <c r="C14" s="13" t="s">
        <v>20</v>
      </c>
      <c r="D14" s="14"/>
      <c r="E14" s="14"/>
      <c r="F14" s="14"/>
      <c r="G14" s="14"/>
      <c r="H14" s="14"/>
      <c r="I14" s="14"/>
      <c r="J14" s="14"/>
      <c r="K14" s="15"/>
      <c r="L14" s="14"/>
      <c r="M14" s="14"/>
      <c r="N14" s="14"/>
      <c r="O14" s="20"/>
      <c r="P14" s="21"/>
      <c r="Q14" s="16"/>
      <c r="R14" s="16"/>
      <c r="S14" s="1942"/>
      <c r="T14" s="1942"/>
      <c r="U14" s="1942"/>
      <c r="V14" s="1942"/>
      <c r="W14" s="1942"/>
      <c r="X14" s="1942"/>
      <c r="AA14" s="1"/>
    </row>
    <row r="15" spans="1:30" ht="16.5" customHeight="1" x14ac:dyDescent="0.25">
      <c r="A15" s="5" t="s">
        <v>21</v>
      </c>
      <c r="B15" s="6"/>
      <c r="C15" s="13" t="s">
        <v>22</v>
      </c>
      <c r="D15" s="14"/>
      <c r="E15" s="14"/>
      <c r="F15" s="14"/>
      <c r="G15" s="14"/>
      <c r="H15" s="14"/>
      <c r="I15" s="14"/>
      <c r="J15" s="14"/>
      <c r="K15" s="15"/>
      <c r="L15" s="14"/>
      <c r="M15" s="14"/>
      <c r="N15" s="14"/>
      <c r="O15" s="12"/>
      <c r="P15" s="16"/>
      <c r="Q15" s="16"/>
      <c r="R15" s="16"/>
      <c r="S15" s="1942"/>
      <c r="T15" s="1942"/>
      <c r="U15" s="1942"/>
      <c r="V15" s="1942"/>
      <c r="W15" s="1942"/>
      <c r="X15" s="1942"/>
      <c r="AA15" s="1"/>
      <c r="AD15" s="22"/>
    </row>
    <row r="16" spans="1:30" ht="16.5" customHeight="1" x14ac:dyDescent="0.25">
      <c r="A16" s="17" t="s">
        <v>23</v>
      </c>
      <c r="B16" s="18"/>
      <c r="C16" s="13" t="s">
        <v>24</v>
      </c>
      <c r="D16" s="14"/>
      <c r="E16" s="14"/>
      <c r="F16" s="14"/>
      <c r="G16" s="14"/>
      <c r="H16" s="14"/>
      <c r="I16" s="14"/>
      <c r="J16" s="14"/>
      <c r="K16" s="15"/>
      <c r="L16" s="14"/>
      <c r="M16" s="14"/>
      <c r="N16" s="14"/>
      <c r="O16" s="12"/>
      <c r="P16" s="16"/>
      <c r="Q16" s="16"/>
      <c r="R16" s="16"/>
      <c r="S16" s="1942"/>
      <c r="T16" s="1942"/>
      <c r="U16" s="1942"/>
      <c r="V16" s="1942"/>
      <c r="W16" s="1942"/>
      <c r="X16" s="1942"/>
      <c r="AA16" s="1"/>
      <c r="AD16" s="23"/>
    </row>
    <row r="17" spans="1:30" s="22" customFormat="1" ht="15.6" customHeight="1" x14ac:dyDescent="0.25">
      <c r="B17" s="24"/>
      <c r="C17" s="12"/>
      <c r="D17" s="25"/>
      <c r="E17" s="25"/>
      <c r="F17" s="12"/>
      <c r="G17" s="12"/>
      <c r="H17" s="26"/>
      <c r="I17" s="12"/>
      <c r="J17" s="12"/>
      <c r="K17" s="12"/>
      <c r="L17" s="12"/>
      <c r="M17" s="12"/>
      <c r="N17" s="26"/>
      <c r="O17" s="27"/>
      <c r="P17" s="16"/>
      <c r="Q17" s="16"/>
      <c r="R17" s="16"/>
      <c r="S17" s="25"/>
      <c r="T17" s="26"/>
      <c r="U17" s="28"/>
      <c r="V17" s="25"/>
      <c r="W17" s="25"/>
      <c r="X17" s="25"/>
      <c r="AB17" s="23"/>
      <c r="AC17" s="23"/>
      <c r="AD17" s="23"/>
    </row>
    <row r="18" spans="1:30" s="23" customFormat="1" ht="20.25" customHeight="1" x14ac:dyDescent="0.35">
      <c r="A18" s="1943" t="s">
        <v>25</v>
      </c>
      <c r="B18" s="1943"/>
      <c r="C18" s="1943"/>
      <c r="D18" s="1943"/>
      <c r="E18" s="1943"/>
      <c r="F18" s="1943"/>
      <c r="G18" s="1943"/>
      <c r="H18" s="1943"/>
      <c r="I18" s="1943"/>
      <c r="J18" s="1943"/>
      <c r="K18" s="1943"/>
      <c r="L18" s="1943"/>
      <c r="M18" s="1943"/>
      <c r="N18" s="1943"/>
      <c r="O18" s="1943"/>
      <c r="P18" s="1943"/>
      <c r="Q18" s="1943"/>
      <c r="R18" s="1943"/>
      <c r="S18" s="1943"/>
      <c r="T18" s="1943"/>
      <c r="U18" s="1943"/>
      <c r="V18" s="1943"/>
      <c r="W18" s="1943"/>
      <c r="X18" s="1943"/>
    </row>
    <row r="19" spans="1:30" s="23" customFormat="1" ht="16.149999999999999" customHeight="1" x14ac:dyDescent="0.25">
      <c r="A19" s="1944" t="s">
        <v>26</v>
      </c>
      <c r="B19" s="1944"/>
      <c r="C19" s="1944"/>
      <c r="D19" s="1944"/>
      <c r="E19" s="1944"/>
      <c r="F19" s="1944"/>
      <c r="G19" s="1944"/>
      <c r="H19" s="1944"/>
      <c r="I19" s="1944"/>
      <c r="J19" s="1944"/>
      <c r="K19" s="1944"/>
      <c r="L19" s="1944"/>
      <c r="M19" s="1944"/>
      <c r="N19" s="1944"/>
      <c r="O19" s="1944"/>
      <c r="P19" s="1944"/>
      <c r="Q19" s="1944"/>
      <c r="R19" s="1944"/>
      <c r="S19" s="1944"/>
      <c r="T19" s="1944"/>
      <c r="U19" s="1944"/>
      <c r="V19" s="1944"/>
      <c r="W19" s="1944"/>
      <c r="X19" s="1944"/>
    </row>
    <row r="20" spans="1:30" s="23" customFormat="1" x14ac:dyDescent="0.2">
      <c r="B20" s="2"/>
      <c r="E20" s="29"/>
      <c r="G20" s="30"/>
      <c r="H20" s="30"/>
      <c r="I20" s="30"/>
      <c r="K20" s="30"/>
      <c r="L20" s="30"/>
      <c r="M20" s="30"/>
      <c r="O20" s="1"/>
      <c r="P20" s="30"/>
      <c r="Q20" s="30"/>
      <c r="R20" s="30"/>
      <c r="T20" s="1"/>
      <c r="U20" s="30"/>
      <c r="V20" s="30"/>
      <c r="W20" s="30"/>
      <c r="AA20" s="4"/>
    </row>
    <row r="21" spans="1:30" s="23" customFormat="1" ht="13.15" customHeight="1" x14ac:dyDescent="0.25">
      <c r="A21" s="31"/>
      <c r="B21" s="32"/>
      <c r="C21" s="33"/>
      <c r="D21" s="34" t="s">
        <v>27</v>
      </c>
      <c r="E21" s="35"/>
      <c r="F21" s="36"/>
      <c r="G21" s="37"/>
      <c r="H21" s="37"/>
      <c r="I21" s="37"/>
      <c r="J21" s="36"/>
      <c r="K21" s="37"/>
      <c r="L21" s="37"/>
      <c r="M21" s="37"/>
      <c r="N21" s="36"/>
      <c r="O21" s="9"/>
      <c r="P21" s="37"/>
      <c r="Q21" s="37"/>
      <c r="R21" s="37"/>
      <c r="S21" s="36"/>
      <c r="T21" s="9"/>
      <c r="U21" s="37"/>
      <c r="V21" s="37"/>
      <c r="W21" s="37"/>
      <c r="X21" s="38"/>
      <c r="AA21" s="4"/>
    </row>
    <row r="22" spans="1:30" s="23" customFormat="1" ht="13.15" customHeight="1" x14ac:dyDescent="0.25">
      <c r="A22" s="39"/>
      <c r="B22" s="40"/>
      <c r="C22" s="41"/>
      <c r="D22" s="42" t="s">
        <v>28</v>
      </c>
      <c r="E22" s="43"/>
      <c r="F22" s="44"/>
      <c r="G22" s="45"/>
      <c r="H22" s="45"/>
      <c r="I22" s="45"/>
      <c r="J22" s="46"/>
      <c r="K22" s="45"/>
      <c r="L22" s="45"/>
      <c r="M22" s="45"/>
      <c r="N22" s="43"/>
      <c r="O22" s="47"/>
      <c r="P22" s="45"/>
      <c r="Q22" s="45"/>
      <c r="R22" s="45"/>
      <c r="S22" s="43"/>
      <c r="T22" s="47"/>
      <c r="U22" s="45"/>
      <c r="V22" s="45"/>
      <c r="W22" s="45"/>
      <c r="X22" s="48"/>
      <c r="AA22" s="4"/>
    </row>
    <row r="23" spans="1:30" s="23" customFormat="1" ht="21.75" customHeight="1" x14ac:dyDescent="0.25">
      <c r="A23" s="1945" t="s">
        <v>29</v>
      </c>
      <c r="B23" s="49"/>
      <c r="C23" s="1947" t="s">
        <v>30</v>
      </c>
      <c r="D23" s="1937" t="s">
        <v>31</v>
      </c>
      <c r="E23" s="1937" t="s">
        <v>32</v>
      </c>
      <c r="F23" s="1937" t="s">
        <v>33</v>
      </c>
      <c r="G23" s="50"/>
      <c r="H23" s="50"/>
      <c r="I23" s="50"/>
      <c r="J23" s="1949" t="s">
        <v>34</v>
      </c>
      <c r="K23" s="1950"/>
      <c r="L23" s="1950"/>
      <c r="M23" s="1950"/>
      <c r="N23" s="1950"/>
      <c r="O23" s="1950"/>
      <c r="P23" s="1950"/>
      <c r="Q23" s="1950"/>
      <c r="R23" s="1950"/>
      <c r="S23" s="1950"/>
      <c r="T23" s="1950"/>
      <c r="U23" s="1950"/>
      <c r="V23" s="1950"/>
      <c r="W23" s="1950"/>
      <c r="X23" s="1951"/>
      <c r="Y23" s="1937" t="s">
        <v>35</v>
      </c>
      <c r="Z23" s="51"/>
      <c r="AA23" s="4"/>
    </row>
    <row r="24" spans="1:30" s="23" customFormat="1" ht="59.25" customHeight="1" x14ac:dyDescent="0.25">
      <c r="A24" s="1946"/>
      <c r="B24" s="52"/>
      <c r="C24" s="1948"/>
      <c r="D24" s="1938"/>
      <c r="E24" s="1938"/>
      <c r="F24" s="1938"/>
      <c r="G24" s="53">
        <v>1</v>
      </c>
      <c r="H24" s="53">
        <v>2</v>
      </c>
      <c r="I24" s="53">
        <v>3</v>
      </c>
      <c r="J24" s="54" t="s">
        <v>36</v>
      </c>
      <c r="K24" s="53">
        <v>4</v>
      </c>
      <c r="L24" s="53">
        <v>5</v>
      </c>
      <c r="M24" s="53">
        <v>6</v>
      </c>
      <c r="N24" s="54" t="s">
        <v>37</v>
      </c>
      <c r="O24" s="55" t="s">
        <v>38</v>
      </c>
      <c r="P24" s="53">
        <v>7</v>
      </c>
      <c r="Q24" s="53">
        <v>8</v>
      </c>
      <c r="R24" s="53">
        <v>9</v>
      </c>
      <c r="S24" s="54" t="s">
        <v>39</v>
      </c>
      <c r="T24" s="55" t="s">
        <v>40</v>
      </c>
      <c r="U24" s="53">
        <v>10</v>
      </c>
      <c r="V24" s="53">
        <v>11</v>
      </c>
      <c r="W24" s="53">
        <v>12</v>
      </c>
      <c r="X24" s="54" t="s">
        <v>41</v>
      </c>
      <c r="Y24" s="1938"/>
      <c r="Z24" s="51"/>
      <c r="AA24" s="4"/>
      <c r="AB24" s="56"/>
      <c r="AC24" s="56"/>
      <c r="AD24" s="56"/>
    </row>
    <row r="25" spans="1:30" s="23" customFormat="1" ht="22.5" customHeight="1" x14ac:dyDescent="0.25">
      <c r="A25" s="57" t="s">
        <v>42</v>
      </c>
      <c r="B25" s="58"/>
      <c r="C25" s="59"/>
      <c r="D25" s="59"/>
      <c r="E25" s="59"/>
      <c r="F25" s="60"/>
      <c r="G25" s="53"/>
      <c r="H25" s="53"/>
      <c r="I25" s="53"/>
      <c r="J25" s="54"/>
      <c r="K25" s="53"/>
      <c r="L25" s="53"/>
      <c r="M25" s="53"/>
      <c r="N25" s="54"/>
      <c r="O25" s="55"/>
      <c r="P25" s="53"/>
      <c r="Q25" s="53"/>
      <c r="R25" s="53"/>
      <c r="S25" s="54"/>
      <c r="T25" s="55"/>
      <c r="U25" s="53"/>
      <c r="V25" s="53"/>
      <c r="W25" s="53"/>
      <c r="X25" s="54"/>
      <c r="Y25" s="61"/>
      <c r="Z25" s="51"/>
      <c r="AA25" s="4"/>
    </row>
    <row r="26" spans="1:30" s="56" customFormat="1" ht="14.25" hidden="1" customHeight="1" x14ac:dyDescent="0.25">
      <c r="A26" s="62" t="s">
        <v>43</v>
      </c>
      <c r="B26" s="63"/>
      <c r="C26" s="64" t="s">
        <v>44</v>
      </c>
      <c r="D26" s="65">
        <v>1991.6577990000001</v>
      </c>
      <c r="E26" s="65">
        <v>1991.6577990000001</v>
      </c>
      <c r="F26" s="65">
        <v>1991.6577990000001</v>
      </c>
      <c r="G26" s="66">
        <v>130492.93</v>
      </c>
      <c r="H26" s="66">
        <v>134640.742</v>
      </c>
      <c r="I26" s="66">
        <v>152215.12</v>
      </c>
      <c r="J26" s="67">
        <v>417.348792</v>
      </c>
      <c r="K26" s="66">
        <v>142089.94</v>
      </c>
      <c r="L26" s="66">
        <v>168655.55200000003</v>
      </c>
      <c r="M26" s="66">
        <v>175641.90400000004</v>
      </c>
      <c r="N26" s="67">
        <v>486.38739600000008</v>
      </c>
      <c r="O26" s="68">
        <v>903.73618800000008</v>
      </c>
      <c r="P26" s="66">
        <v>188325.05099999998</v>
      </c>
      <c r="Q26" s="66">
        <v>192266.788</v>
      </c>
      <c r="R26" s="66">
        <v>197836.16800000001</v>
      </c>
      <c r="S26" s="67">
        <v>578.42800699999998</v>
      </c>
      <c r="T26" s="68">
        <v>1482.1641950000001</v>
      </c>
      <c r="U26" s="66">
        <v>185312.35200000001</v>
      </c>
      <c r="V26" s="66">
        <v>169940.75100000002</v>
      </c>
      <c r="W26" s="66">
        <v>154240.50099999999</v>
      </c>
      <c r="X26" s="67">
        <v>509.493604</v>
      </c>
      <c r="Y26" s="69">
        <v>0</v>
      </c>
      <c r="Z26" s="70"/>
      <c r="AA26" s="71"/>
      <c r="AB26" s="23"/>
      <c r="AC26" s="23"/>
      <c r="AD26" s="23"/>
    </row>
    <row r="27" spans="1:30" s="23" customFormat="1" ht="27.75" customHeight="1" x14ac:dyDescent="0.2">
      <c r="A27" s="72" t="s">
        <v>45</v>
      </c>
      <c r="B27" s="73"/>
      <c r="C27" s="74" t="s">
        <v>44</v>
      </c>
      <c r="D27" s="75">
        <v>50957.425480000005</v>
      </c>
      <c r="E27" s="75">
        <v>80941.020294215967</v>
      </c>
      <c r="F27" s="75">
        <v>90859.213142693246</v>
      </c>
      <c r="G27" s="75">
        <v>6366893.0372567587</v>
      </c>
      <c r="H27" s="75">
        <v>6499099.7082694806</v>
      </c>
      <c r="I27" s="75">
        <v>7067511.9361724686</v>
      </c>
      <c r="J27" s="75">
        <v>19933.504681698705</v>
      </c>
      <c r="K27" s="76">
        <v>6747208.2689576764</v>
      </c>
      <c r="L27" s="76">
        <v>7732239.7521747705</v>
      </c>
      <c r="M27" s="76">
        <v>7921103.1841009278</v>
      </c>
      <c r="N27" s="75">
        <v>22400.551205233376</v>
      </c>
      <c r="O27" s="77">
        <v>42334.055886932081</v>
      </c>
      <c r="P27" s="76">
        <v>8303087.913641979</v>
      </c>
      <c r="Q27" s="76">
        <v>8425213.8458279595</v>
      </c>
      <c r="R27" s="76">
        <v>8638146.8602350298</v>
      </c>
      <c r="S27" s="75">
        <v>25366.44861970497</v>
      </c>
      <c r="T27" s="77">
        <v>67700.504506637051</v>
      </c>
      <c r="U27" s="76">
        <v>8196495.2254310055</v>
      </c>
      <c r="V27" s="76">
        <v>7730355.3010457372</v>
      </c>
      <c r="W27" s="76">
        <v>7231858.10957947</v>
      </c>
      <c r="X27" s="75">
        <v>23158.70863605621</v>
      </c>
      <c r="Y27" s="69">
        <v>9918.1928484772798</v>
      </c>
      <c r="Z27" s="78"/>
      <c r="AA27" s="79">
        <v>5334.2764839989995</v>
      </c>
      <c r="AB27" s="23">
        <v>30177.796919549997</v>
      </c>
    </row>
    <row r="28" spans="1:30" s="89" customFormat="1" ht="15" customHeight="1" x14ac:dyDescent="0.2">
      <c r="A28" s="80" t="s">
        <v>46</v>
      </c>
      <c r="B28" s="81"/>
      <c r="C28" s="82" t="s">
        <v>47</v>
      </c>
      <c r="D28" s="83">
        <v>42025.336620000002</v>
      </c>
      <c r="E28" s="83">
        <v>63763.579088400002</v>
      </c>
      <c r="F28" s="83">
        <v>64011.317807987994</v>
      </c>
      <c r="G28" s="84">
        <v>4217815.1414399995</v>
      </c>
      <c r="H28" s="84">
        <v>4348140.3456359999</v>
      </c>
      <c r="I28" s="84">
        <v>4915140.9541799994</v>
      </c>
      <c r="J28" s="83">
        <v>13481.096441255997</v>
      </c>
      <c r="K28" s="84">
        <v>4588092.9056400005</v>
      </c>
      <c r="L28" s="84">
        <v>5422361.7235560007</v>
      </c>
      <c r="M28" s="84">
        <v>5635541.807124</v>
      </c>
      <c r="N28" s="83">
        <v>15645.996436320002</v>
      </c>
      <c r="O28" s="85">
        <v>29127.092877575997</v>
      </c>
      <c r="P28" s="84">
        <v>6016458.3218280002</v>
      </c>
      <c r="Q28" s="84">
        <v>6137303.7863400001</v>
      </c>
      <c r="R28" s="84">
        <v>6322452.0833400004</v>
      </c>
      <c r="S28" s="83">
        <v>18476.214191508003</v>
      </c>
      <c r="T28" s="85">
        <v>47603.307069083996</v>
      </c>
      <c r="U28" s="84">
        <v>5945026.4656199999</v>
      </c>
      <c r="V28" s="84">
        <v>5478911.352</v>
      </c>
      <c r="W28" s="84">
        <v>4984072.9212839995</v>
      </c>
      <c r="X28" s="83">
        <v>16408.010738903999</v>
      </c>
      <c r="Y28" s="86">
        <v>247.73871958799282</v>
      </c>
      <c r="Z28" s="87"/>
      <c r="AA28" s="88"/>
      <c r="AB28" s="89">
        <v>23164.967920439998</v>
      </c>
    </row>
    <row r="29" spans="1:30" s="89" customFormat="1" ht="15" customHeight="1" x14ac:dyDescent="0.2">
      <c r="A29" s="80" t="s">
        <v>48</v>
      </c>
      <c r="B29" s="81"/>
      <c r="C29" s="82" t="s">
        <v>49</v>
      </c>
      <c r="D29" s="83">
        <v>30365.233489999999</v>
      </c>
      <c r="E29" s="83">
        <v>35089.742874000003</v>
      </c>
      <c r="F29" s="83">
        <v>36213.356303459994</v>
      </c>
      <c r="G29" s="84">
        <v>2171921.9003999997</v>
      </c>
      <c r="H29" s="84">
        <v>2272504.2072600001</v>
      </c>
      <c r="I29" s="84">
        <v>2573794.0178999999</v>
      </c>
      <c r="J29" s="83">
        <v>7018.2201255599985</v>
      </c>
      <c r="K29" s="84">
        <v>2403417.4710000004</v>
      </c>
      <c r="L29" s="84">
        <v>3051235.7076600003</v>
      </c>
      <c r="M29" s="84">
        <v>3274050.6351000001</v>
      </c>
      <c r="N29" s="83">
        <v>8728.7038137600011</v>
      </c>
      <c r="O29" s="85">
        <v>15746.92393932</v>
      </c>
      <c r="P29" s="84">
        <v>3729942.6985800001</v>
      </c>
      <c r="Q29" s="84">
        <v>3850865.4319800003</v>
      </c>
      <c r="R29" s="84">
        <v>3900271.8757800004</v>
      </c>
      <c r="S29" s="83">
        <v>11481.08000634</v>
      </c>
      <c r="T29" s="85">
        <v>27228.003945659999</v>
      </c>
      <c r="U29" s="84">
        <v>3461021.2018200001</v>
      </c>
      <c r="V29" s="84">
        <v>2946063.7827600003</v>
      </c>
      <c r="W29" s="84">
        <v>2578267.3732199995</v>
      </c>
      <c r="X29" s="83">
        <v>8985.3523577999986</v>
      </c>
      <c r="Y29" s="86">
        <v>1123.6134294599906</v>
      </c>
      <c r="Z29" s="87"/>
      <c r="AA29" s="88"/>
    </row>
    <row r="30" spans="1:30" s="89" customFormat="1" ht="15" customHeight="1" x14ac:dyDescent="0.2">
      <c r="A30" s="80" t="s">
        <v>50</v>
      </c>
      <c r="B30" s="81"/>
      <c r="C30" s="82" t="s">
        <v>51</v>
      </c>
      <c r="D30" s="83">
        <v>11660.103130000001</v>
      </c>
      <c r="E30" s="83">
        <v>28673.836214399998</v>
      </c>
      <c r="F30" s="83">
        <v>27797.961504527997</v>
      </c>
      <c r="G30" s="84">
        <v>2045893.2410399998</v>
      </c>
      <c r="H30" s="84">
        <v>2075636.1383759999</v>
      </c>
      <c r="I30" s="84">
        <v>2341346.9362799996</v>
      </c>
      <c r="J30" s="83">
        <v>6462.8763156959994</v>
      </c>
      <c r="K30" s="84">
        <v>2184675.4346399996</v>
      </c>
      <c r="L30" s="84">
        <v>2371126.015896</v>
      </c>
      <c r="M30" s="84">
        <v>2361491.172024</v>
      </c>
      <c r="N30" s="83">
        <v>6917.2926225600004</v>
      </c>
      <c r="O30" s="85">
        <v>13380.168938256</v>
      </c>
      <c r="P30" s="84">
        <v>2286515.6232479997</v>
      </c>
      <c r="Q30" s="84">
        <v>2286438.3543599998</v>
      </c>
      <c r="R30" s="84">
        <v>2422180.20756</v>
      </c>
      <c r="S30" s="83">
        <v>6995.134185167999</v>
      </c>
      <c r="T30" s="85">
        <v>20375.303123423997</v>
      </c>
      <c r="U30" s="84">
        <v>2484005.2637999998</v>
      </c>
      <c r="V30" s="84">
        <v>2532847.5692399996</v>
      </c>
      <c r="W30" s="84">
        <v>2405805.548064</v>
      </c>
      <c r="X30" s="83">
        <v>7422.6583811039991</v>
      </c>
      <c r="Y30" s="86">
        <v>-875.8747098720014</v>
      </c>
      <c r="Z30" s="87"/>
      <c r="AA30" s="90">
        <v>-729.89559156000121</v>
      </c>
    </row>
    <row r="31" spans="1:30" s="89" customFormat="1" ht="15" customHeight="1" x14ac:dyDescent="0.2">
      <c r="A31" s="80" t="s">
        <v>52</v>
      </c>
      <c r="B31" s="81"/>
      <c r="C31" s="82" t="s">
        <v>53</v>
      </c>
      <c r="D31" s="83">
        <v>8932.0888599999998</v>
      </c>
      <c r="E31" s="83">
        <v>17177.441205815969</v>
      </c>
      <c r="F31" s="83">
        <v>26847.895334705259</v>
      </c>
      <c r="G31" s="84">
        <v>2149077.8958167587</v>
      </c>
      <c r="H31" s="84">
        <v>2150959.3626334802</v>
      </c>
      <c r="I31" s="84">
        <v>2152370.9819924696</v>
      </c>
      <c r="J31" s="83">
        <v>6452.4082404427081</v>
      </c>
      <c r="K31" s="84">
        <v>2159115.3633176754</v>
      </c>
      <c r="L31" s="84">
        <v>2309878.0286187702</v>
      </c>
      <c r="M31" s="84">
        <v>2285561.3769769273</v>
      </c>
      <c r="N31" s="83">
        <v>6754.5547689133737</v>
      </c>
      <c r="O31" s="85">
        <v>13206.963009356081</v>
      </c>
      <c r="P31" s="84">
        <v>2286629.5918139787</v>
      </c>
      <c r="Q31" s="84">
        <v>2287910.0594879589</v>
      </c>
      <c r="R31" s="84">
        <v>2315694.7768950295</v>
      </c>
      <c r="S31" s="83">
        <v>6890.2344281969663</v>
      </c>
      <c r="T31" s="85">
        <v>20097.197437553048</v>
      </c>
      <c r="U31" s="84">
        <v>2251468.7598110056</v>
      </c>
      <c r="V31" s="84">
        <v>2251443.9490457373</v>
      </c>
      <c r="W31" s="84">
        <v>2247785.1882954701</v>
      </c>
      <c r="X31" s="83">
        <v>6750.697897152213</v>
      </c>
      <c r="Y31" s="86">
        <v>9670.4541288892906</v>
      </c>
      <c r="Z31" s="87"/>
      <c r="AA31" s="90">
        <v>8058.7117740744088</v>
      </c>
    </row>
    <row r="32" spans="1:30" s="23" customFormat="1" ht="13.9" hidden="1" customHeight="1" x14ac:dyDescent="0.2">
      <c r="A32" s="91" t="s">
        <v>54</v>
      </c>
      <c r="B32" s="92"/>
      <c r="C32" s="93"/>
      <c r="D32" s="83">
        <v>8493.2042466666662</v>
      </c>
      <c r="E32" s="83"/>
      <c r="F32" s="94">
        <v>26847.895334705259</v>
      </c>
      <c r="G32" s="95">
        <v>2149077.8958167587</v>
      </c>
      <c r="H32" s="95">
        <v>2150959.3626334802</v>
      </c>
      <c r="I32" s="95">
        <v>2152370.9819924696</v>
      </c>
      <c r="J32" s="94">
        <v>6452.4082404427081</v>
      </c>
      <c r="K32" s="95">
        <v>2159115.3633176754</v>
      </c>
      <c r="L32" s="95">
        <v>2309878.0286187702</v>
      </c>
      <c r="M32" s="95">
        <v>2285561.3769769273</v>
      </c>
      <c r="N32" s="94">
        <v>6754.5547689133737</v>
      </c>
      <c r="O32" s="77">
        <v>13206.963009356081</v>
      </c>
      <c r="P32" s="95">
        <v>2286629.5918139787</v>
      </c>
      <c r="Q32" s="95">
        <v>2287910.0594879589</v>
      </c>
      <c r="R32" s="95">
        <v>2315694.7768950295</v>
      </c>
      <c r="S32" s="94">
        <v>6890.2344281969663</v>
      </c>
      <c r="T32" s="77">
        <v>20097.197437553048</v>
      </c>
      <c r="U32" s="95">
        <v>2251468.7598110056</v>
      </c>
      <c r="V32" s="95">
        <v>2251443.9490457373</v>
      </c>
      <c r="W32" s="95">
        <v>2247785.1882954701</v>
      </c>
      <c r="X32" s="94">
        <v>6750.697897152213</v>
      </c>
      <c r="Y32" s="69">
        <v>26847.895334705259</v>
      </c>
      <c r="Z32" s="96"/>
      <c r="AA32" s="97">
        <v>26847895.334705263</v>
      </c>
    </row>
    <row r="33" spans="1:30" s="23" customFormat="1" ht="16.5" customHeight="1" x14ac:dyDescent="0.2">
      <c r="A33" s="98" t="s">
        <v>55</v>
      </c>
      <c r="B33" s="99"/>
      <c r="C33" s="93" t="s">
        <v>56</v>
      </c>
      <c r="D33" s="83">
        <v>8493.2042466666662</v>
      </c>
      <c r="E33" s="94">
        <v>13490.170049035993</v>
      </c>
      <c r="F33" s="94">
        <v>15143.202190448877</v>
      </c>
      <c r="G33" s="95">
        <v>1061148.8395427931</v>
      </c>
      <c r="H33" s="95">
        <v>1083183.28471158</v>
      </c>
      <c r="I33" s="95">
        <v>1177918.6560287448</v>
      </c>
      <c r="J33" s="94">
        <v>3322.2507802831178</v>
      </c>
      <c r="K33" s="95">
        <v>1124534.7114929461</v>
      </c>
      <c r="L33" s="95">
        <v>1288706.6253624617</v>
      </c>
      <c r="M33" s="95">
        <v>1320183.8640168214</v>
      </c>
      <c r="N33" s="94">
        <v>3733.4252008722292</v>
      </c>
      <c r="O33" s="77">
        <v>7055.6759811553475</v>
      </c>
      <c r="P33" s="95">
        <v>1383847.9856069966</v>
      </c>
      <c r="Q33" s="95">
        <v>1404202.3076379932</v>
      </c>
      <c r="R33" s="95">
        <v>1439691.143372505</v>
      </c>
      <c r="S33" s="94">
        <v>4227.7414366174944</v>
      </c>
      <c r="T33" s="77">
        <v>11283.417417772842</v>
      </c>
      <c r="U33" s="95">
        <v>1366082.5375718342</v>
      </c>
      <c r="V33" s="95">
        <v>1288392.5501742896</v>
      </c>
      <c r="W33" s="95">
        <v>1205309.6849299117</v>
      </c>
      <c r="X33" s="94">
        <v>3859.7847726760356</v>
      </c>
      <c r="Y33" s="69">
        <v>1653.0321414128848</v>
      </c>
      <c r="Z33" s="96"/>
      <c r="AA33" s="4"/>
    </row>
    <row r="34" spans="1:30" s="23" customFormat="1" ht="16.5" customHeight="1" x14ac:dyDescent="0.2">
      <c r="A34" s="98" t="s">
        <v>57</v>
      </c>
      <c r="B34" s="99"/>
      <c r="C34" s="93" t="s">
        <v>58</v>
      </c>
      <c r="D34" s="94">
        <v>0</v>
      </c>
      <c r="E34" s="94">
        <v>0</v>
      </c>
      <c r="F34" s="94"/>
      <c r="G34" s="95"/>
      <c r="H34" s="95"/>
      <c r="I34" s="95"/>
      <c r="J34" s="94"/>
      <c r="K34" s="95"/>
      <c r="L34" s="95"/>
      <c r="M34" s="95"/>
      <c r="N34" s="94"/>
      <c r="O34" s="100"/>
      <c r="P34" s="95"/>
      <c r="Q34" s="95"/>
      <c r="R34" s="95"/>
      <c r="S34" s="94"/>
      <c r="T34" s="100"/>
      <c r="U34" s="95"/>
      <c r="V34" s="95"/>
      <c r="W34" s="95"/>
      <c r="X34" s="94"/>
      <c r="Y34" s="69">
        <v>0</v>
      </c>
      <c r="Z34" s="96"/>
      <c r="AA34" s="4"/>
      <c r="AB34" s="101"/>
      <c r="AC34" s="101"/>
      <c r="AD34" s="101"/>
    </row>
    <row r="35" spans="1:30" s="23" customFormat="1" ht="16.5" customHeight="1" x14ac:dyDescent="0.2">
      <c r="A35" s="98" t="s">
        <v>59</v>
      </c>
      <c r="B35" s="99"/>
      <c r="C35" s="93" t="s">
        <v>60</v>
      </c>
      <c r="D35" s="94">
        <v>0</v>
      </c>
      <c r="E35" s="94">
        <v>0</v>
      </c>
      <c r="F35" s="94"/>
      <c r="G35" s="95"/>
      <c r="H35" s="95"/>
      <c r="I35" s="95"/>
      <c r="J35" s="94"/>
      <c r="K35" s="95"/>
      <c r="L35" s="95"/>
      <c r="M35" s="95"/>
      <c r="N35" s="94"/>
      <c r="O35" s="100"/>
      <c r="P35" s="95"/>
      <c r="Q35" s="95"/>
      <c r="R35" s="95"/>
      <c r="S35" s="94"/>
      <c r="T35" s="100"/>
      <c r="U35" s="95"/>
      <c r="V35" s="95"/>
      <c r="W35" s="95"/>
      <c r="X35" s="94"/>
      <c r="Y35" s="69">
        <v>0</v>
      </c>
      <c r="Z35" s="96"/>
      <c r="AA35" s="102">
        <v>104.26878843999896</v>
      </c>
    </row>
    <row r="36" spans="1:30" s="101" customFormat="1" ht="19.5" customHeight="1" x14ac:dyDescent="0.2">
      <c r="A36" s="103" t="s">
        <v>61</v>
      </c>
      <c r="B36" s="104"/>
      <c r="C36" s="105" t="s">
        <v>62</v>
      </c>
      <c r="D36" s="106">
        <v>42464.221233333337</v>
      </c>
      <c r="E36" s="106">
        <v>67450.850245179972</v>
      </c>
      <c r="F36" s="106">
        <v>75716.010952244382</v>
      </c>
      <c r="G36" s="107">
        <v>5305744.1977139656</v>
      </c>
      <c r="H36" s="107">
        <v>5415916.4235579008</v>
      </c>
      <c r="I36" s="107">
        <v>5889593.2801437238</v>
      </c>
      <c r="J36" s="106">
        <v>16611.253901415588</v>
      </c>
      <c r="K36" s="107">
        <v>5622673.55746473</v>
      </c>
      <c r="L36" s="107">
        <v>6443533.126812309</v>
      </c>
      <c r="M36" s="107">
        <v>6600919.3200841062</v>
      </c>
      <c r="N36" s="106">
        <v>18667.126004361147</v>
      </c>
      <c r="O36" s="108">
        <v>35278.379905776732</v>
      </c>
      <c r="P36" s="107">
        <v>6919239.9280349826</v>
      </c>
      <c r="Q36" s="107">
        <v>7021011.5381899662</v>
      </c>
      <c r="R36" s="107">
        <v>7198455.7168625249</v>
      </c>
      <c r="S36" s="106">
        <v>21138.707183087477</v>
      </c>
      <c r="T36" s="108">
        <v>56417.087088864209</v>
      </c>
      <c r="U36" s="107">
        <v>6830412.6878591711</v>
      </c>
      <c r="V36" s="107">
        <v>6441962.7508714478</v>
      </c>
      <c r="W36" s="107">
        <v>6026548.424649558</v>
      </c>
      <c r="X36" s="106">
        <v>19298.923863380172</v>
      </c>
      <c r="Y36" s="69">
        <v>8265.1607070644095</v>
      </c>
      <c r="Z36" s="109"/>
      <c r="AA36" s="110">
        <v>378.5800547612219</v>
      </c>
      <c r="AB36" s="23"/>
      <c r="AC36" s="23"/>
      <c r="AD36" s="23"/>
    </row>
    <row r="37" spans="1:30" s="23" customFormat="1" ht="17.25" customHeight="1" x14ac:dyDescent="0.2">
      <c r="A37" s="72" t="s">
        <v>63</v>
      </c>
      <c r="B37" s="92"/>
      <c r="C37" s="93" t="s">
        <v>64</v>
      </c>
      <c r="D37" s="94">
        <v>0</v>
      </c>
      <c r="E37" s="94">
        <v>0</v>
      </c>
      <c r="F37" s="111">
        <v>0</v>
      </c>
      <c r="G37" s="98"/>
      <c r="H37" s="98"/>
      <c r="I37" s="98"/>
      <c r="J37" s="111">
        <v>0</v>
      </c>
      <c r="K37" s="112"/>
      <c r="L37" s="112"/>
      <c r="M37" s="112"/>
      <c r="N37" s="111">
        <v>0</v>
      </c>
      <c r="O37" s="113"/>
      <c r="P37" s="112"/>
      <c r="Q37" s="112"/>
      <c r="R37" s="112"/>
      <c r="S37" s="111">
        <v>0</v>
      </c>
      <c r="T37" s="113"/>
      <c r="U37" s="112"/>
      <c r="V37" s="112"/>
      <c r="W37" s="112"/>
      <c r="X37" s="111">
        <v>0</v>
      </c>
      <c r="Y37" s="69">
        <v>0</v>
      </c>
      <c r="Z37" s="114"/>
      <c r="AA37" s="4"/>
      <c r="AB37" s="89"/>
      <c r="AC37" s="89"/>
      <c r="AD37" s="89"/>
    </row>
    <row r="38" spans="1:30" s="23" customFormat="1" ht="20.25" customHeight="1" x14ac:dyDescent="0.2">
      <c r="A38" s="72" t="s">
        <v>65</v>
      </c>
      <c r="B38" s="92"/>
      <c r="C38" s="93" t="s">
        <v>66</v>
      </c>
      <c r="D38" s="94">
        <v>2597.7956900000008</v>
      </c>
      <c r="E38" s="94">
        <v>3504.5273999999999</v>
      </c>
      <c r="F38" s="94">
        <v>5887.0358388999994</v>
      </c>
      <c r="G38" s="107">
        <v>195910.06999999998</v>
      </c>
      <c r="H38" s="107">
        <v>289396.20999999996</v>
      </c>
      <c r="I38" s="107">
        <v>194785.06999999998</v>
      </c>
      <c r="J38" s="94">
        <v>680.09134999999981</v>
      </c>
      <c r="K38" s="107">
        <v>497012.92760399997</v>
      </c>
      <c r="L38" s="107">
        <v>457583.98634399998</v>
      </c>
      <c r="M38" s="107">
        <v>363243.52168799995</v>
      </c>
      <c r="N38" s="94">
        <v>1317.8404356359997</v>
      </c>
      <c r="O38" s="77">
        <v>1997.9317856359994</v>
      </c>
      <c r="P38" s="107">
        <v>840930.46562399995</v>
      </c>
      <c r="Q38" s="107">
        <v>1510200.908056</v>
      </c>
      <c r="R38" s="107">
        <v>662857.35109599994</v>
      </c>
      <c r="S38" s="94">
        <v>3013.9887247760003</v>
      </c>
      <c r="T38" s="77">
        <v>5011.9205104119992</v>
      </c>
      <c r="U38" s="107">
        <v>390973.608488</v>
      </c>
      <c r="V38" s="107">
        <v>289380.64999999997</v>
      </c>
      <c r="W38" s="107">
        <v>194761.06999999998</v>
      </c>
      <c r="X38" s="94">
        <v>875.11532848799982</v>
      </c>
      <c r="Y38" s="69">
        <v>2382.5084388999994</v>
      </c>
      <c r="Z38" s="96"/>
      <c r="AA38" s="97">
        <v>2256.1808399999991</v>
      </c>
      <c r="AB38" s="101"/>
      <c r="AC38" s="101"/>
      <c r="AD38" s="101"/>
    </row>
    <row r="39" spans="1:30" s="89" customFormat="1" ht="130.5" customHeight="1" x14ac:dyDescent="0.2">
      <c r="A39" s="115" t="s">
        <v>1535</v>
      </c>
      <c r="B39" s="81"/>
      <c r="C39" s="116" t="s">
        <v>67</v>
      </c>
      <c r="D39" s="94">
        <v>240.75729000000001</v>
      </c>
      <c r="E39" s="94">
        <v>1231.6410000000001</v>
      </c>
      <c r="F39" s="83">
        <v>3630</v>
      </c>
      <c r="G39" s="117">
        <v>7895</v>
      </c>
      <c r="H39" s="117">
        <v>101381.14</v>
      </c>
      <c r="I39" s="117">
        <v>6770</v>
      </c>
      <c r="J39" s="83">
        <v>116.04613999999999</v>
      </c>
      <c r="K39" s="117">
        <v>308997.85760400002</v>
      </c>
      <c r="L39" s="117">
        <v>269568.91634399997</v>
      </c>
      <c r="M39" s="117">
        <v>175228.451688</v>
      </c>
      <c r="N39" s="83">
        <v>753.79522563600005</v>
      </c>
      <c r="O39" s="85">
        <v>869.84136563600009</v>
      </c>
      <c r="P39" s="117">
        <v>652915.395624</v>
      </c>
      <c r="Q39" s="117">
        <v>1322185.8380559999</v>
      </c>
      <c r="R39" s="117">
        <v>474842.28109599999</v>
      </c>
      <c r="S39" s="83">
        <v>2449.943514776</v>
      </c>
      <c r="T39" s="85">
        <v>3319.7848804120003</v>
      </c>
      <c r="U39" s="117">
        <v>202958.53848799999</v>
      </c>
      <c r="V39" s="117">
        <v>101365.57999999997</v>
      </c>
      <c r="W39" s="117">
        <v>6746</v>
      </c>
      <c r="X39" s="83">
        <v>310.07011848799999</v>
      </c>
      <c r="Y39" s="86">
        <v>2399.2139989000002</v>
      </c>
      <c r="Z39" s="87"/>
      <c r="AA39" s="88"/>
      <c r="AB39" s="101"/>
      <c r="AC39" s="101"/>
      <c r="AD39" s="101"/>
    </row>
    <row r="40" spans="1:30" s="89" customFormat="1" ht="86.25" customHeight="1" x14ac:dyDescent="0.2">
      <c r="A40" s="115" t="s">
        <v>68</v>
      </c>
      <c r="B40" s="81"/>
      <c r="C40" s="116"/>
      <c r="D40" s="94">
        <v>0</v>
      </c>
      <c r="E40" s="94">
        <v>8285.3692999999985</v>
      </c>
      <c r="F40" s="83">
        <v>9284.3340000000007</v>
      </c>
      <c r="G40" s="117">
        <v>895811</v>
      </c>
      <c r="H40" s="117">
        <v>762142</v>
      </c>
      <c r="I40" s="117">
        <v>677468</v>
      </c>
      <c r="J40" s="83">
        <v>2335.4209999999998</v>
      </c>
      <c r="K40" s="117">
        <v>748384</v>
      </c>
      <c r="L40" s="117">
        <v>788529</v>
      </c>
      <c r="M40" s="117">
        <v>701339</v>
      </c>
      <c r="N40" s="83">
        <v>2238.252</v>
      </c>
      <c r="O40" s="85">
        <v>4573.6729999999998</v>
      </c>
      <c r="P40" s="117">
        <v>750724</v>
      </c>
      <c r="Q40" s="117">
        <v>747354</v>
      </c>
      <c r="R40" s="117">
        <v>805697</v>
      </c>
      <c r="S40" s="83">
        <v>2303.7750000000001</v>
      </c>
      <c r="T40" s="85">
        <v>6877.4480000000003</v>
      </c>
      <c r="U40" s="117">
        <v>815746</v>
      </c>
      <c r="V40" s="117">
        <v>827958</v>
      </c>
      <c r="W40" s="117">
        <v>763182</v>
      </c>
      <c r="X40" s="83">
        <v>2406.886</v>
      </c>
      <c r="Y40" s="86">
        <v>998.96470000000227</v>
      </c>
      <c r="Z40" s="87"/>
      <c r="AA40" s="88"/>
      <c r="AB40" s="101"/>
      <c r="AC40" s="101"/>
      <c r="AD40" s="101"/>
    </row>
    <row r="41" spans="1:30" s="89" customFormat="1" ht="51.75" customHeight="1" x14ac:dyDescent="0.2">
      <c r="A41" s="115" t="s">
        <v>69</v>
      </c>
      <c r="B41" s="81"/>
      <c r="C41" s="116"/>
      <c r="D41" s="94">
        <v>0</v>
      </c>
      <c r="E41" s="94">
        <v>303.15999999999997</v>
      </c>
      <c r="F41" s="83">
        <v>187.93599999999998</v>
      </c>
      <c r="G41" s="117">
        <v>11437</v>
      </c>
      <c r="H41" s="117">
        <v>12316</v>
      </c>
      <c r="I41" s="117">
        <v>10604</v>
      </c>
      <c r="J41" s="83">
        <v>34.356999999999999</v>
      </c>
      <c r="K41" s="117">
        <v>12484</v>
      </c>
      <c r="L41" s="117">
        <v>14111</v>
      </c>
      <c r="M41" s="117">
        <v>20575</v>
      </c>
      <c r="N41" s="83">
        <v>47.17</v>
      </c>
      <c r="O41" s="85">
        <v>81.527000000000001</v>
      </c>
      <c r="P41" s="117">
        <v>18771</v>
      </c>
      <c r="Q41" s="117">
        <v>22912</v>
      </c>
      <c r="R41" s="117">
        <v>21063</v>
      </c>
      <c r="S41" s="83">
        <v>62.746000000000002</v>
      </c>
      <c r="T41" s="85">
        <v>144.273</v>
      </c>
      <c r="U41" s="117">
        <v>17832</v>
      </c>
      <c r="V41" s="117">
        <v>14455</v>
      </c>
      <c r="W41" s="117">
        <v>11376</v>
      </c>
      <c r="X41" s="83">
        <v>43.662999999999997</v>
      </c>
      <c r="Y41" s="86">
        <v>-115.22399999999999</v>
      </c>
      <c r="Z41" s="87"/>
      <c r="AA41" s="88"/>
      <c r="AB41" s="101"/>
      <c r="AC41" s="101"/>
      <c r="AD41" s="101"/>
    </row>
    <row r="42" spans="1:30" s="89" customFormat="1" ht="50.25" customHeight="1" x14ac:dyDescent="0.2">
      <c r="A42" s="115" t="s">
        <v>70</v>
      </c>
      <c r="B42" s="81"/>
      <c r="C42" s="116"/>
      <c r="D42" s="94">
        <v>0</v>
      </c>
      <c r="E42" s="94">
        <v>7982.2093000000004</v>
      </c>
      <c r="F42" s="83">
        <v>9096.3979999999992</v>
      </c>
      <c r="G42" s="117">
        <v>884374</v>
      </c>
      <c r="H42" s="117">
        <v>749826</v>
      </c>
      <c r="I42" s="117">
        <v>666864</v>
      </c>
      <c r="J42" s="83">
        <v>2301.0639999999999</v>
      </c>
      <c r="K42" s="117">
        <v>735900</v>
      </c>
      <c r="L42" s="117">
        <v>774418</v>
      </c>
      <c r="M42" s="117">
        <v>680764</v>
      </c>
      <c r="N42" s="83">
        <v>2191.0819999999999</v>
      </c>
      <c r="O42" s="85">
        <v>4492.1459999999997</v>
      </c>
      <c r="P42" s="117">
        <v>731953</v>
      </c>
      <c r="Q42" s="117">
        <v>724442</v>
      </c>
      <c r="R42" s="117">
        <v>784634</v>
      </c>
      <c r="S42" s="83">
        <v>2241.029</v>
      </c>
      <c r="T42" s="85">
        <v>6733.1749999999993</v>
      </c>
      <c r="U42" s="117">
        <v>797914</v>
      </c>
      <c r="V42" s="117">
        <v>813503</v>
      </c>
      <c r="W42" s="117">
        <v>751806</v>
      </c>
      <c r="X42" s="83">
        <v>2363.223</v>
      </c>
      <c r="Y42" s="86">
        <v>1114.1886999999988</v>
      </c>
      <c r="Z42" s="87"/>
      <c r="AA42" s="88"/>
      <c r="AB42" s="101"/>
      <c r="AC42" s="101"/>
      <c r="AD42" s="101"/>
    </row>
    <row r="43" spans="1:30" s="23" customFormat="1" ht="24" hidden="1" customHeight="1" x14ac:dyDescent="0.2">
      <c r="A43" s="72" t="s">
        <v>71</v>
      </c>
      <c r="B43" s="92"/>
      <c r="C43" s="93" t="s">
        <v>72</v>
      </c>
      <c r="D43" s="94">
        <v>0</v>
      </c>
      <c r="E43" s="94">
        <v>0</v>
      </c>
      <c r="F43" s="94">
        <v>0</v>
      </c>
      <c r="G43" s="107"/>
      <c r="H43" s="107"/>
      <c r="I43" s="107"/>
      <c r="J43" s="94">
        <v>0</v>
      </c>
      <c r="K43" s="107"/>
      <c r="L43" s="107"/>
      <c r="M43" s="107"/>
      <c r="N43" s="94">
        <v>0</v>
      </c>
      <c r="O43" s="77">
        <v>0</v>
      </c>
      <c r="P43" s="107"/>
      <c r="Q43" s="107"/>
      <c r="R43" s="107"/>
      <c r="S43" s="94">
        <v>0</v>
      </c>
      <c r="T43" s="77">
        <v>0</v>
      </c>
      <c r="U43" s="107"/>
      <c r="V43" s="107"/>
      <c r="W43" s="107"/>
      <c r="X43" s="94">
        <v>0</v>
      </c>
      <c r="Y43" s="69">
        <v>0</v>
      </c>
      <c r="Z43" s="96"/>
      <c r="AA43" s="97">
        <v>-81603.046791144385</v>
      </c>
      <c r="AB43" s="101"/>
      <c r="AC43" s="101"/>
      <c r="AD43" s="101"/>
    </row>
    <row r="44" spans="1:30" s="101" customFormat="1" ht="24.75" customHeight="1" x14ac:dyDescent="0.25">
      <c r="A44" s="118" t="s">
        <v>73</v>
      </c>
      <c r="B44" s="119"/>
      <c r="C44" s="105" t="s">
        <v>74</v>
      </c>
      <c r="D44" s="106">
        <v>45062.016923333336</v>
      </c>
      <c r="E44" s="106">
        <v>70955.377645179964</v>
      </c>
      <c r="F44" s="106">
        <v>81603.046791144385</v>
      </c>
      <c r="G44" s="107">
        <v>5501654.2677139658</v>
      </c>
      <c r="H44" s="107">
        <v>5705312.6335579008</v>
      </c>
      <c r="I44" s="107">
        <v>6084378.3501437241</v>
      </c>
      <c r="J44" s="106">
        <v>17291.345251415587</v>
      </c>
      <c r="K44" s="106">
        <v>6119686.4850687301</v>
      </c>
      <c r="L44" s="106">
        <v>6901117.1131563094</v>
      </c>
      <c r="M44" s="106">
        <v>6964162.8417721065</v>
      </c>
      <c r="N44" s="106">
        <v>19984.966439997148</v>
      </c>
      <c r="O44" s="106">
        <v>38146.15305704873</v>
      </c>
      <c r="P44" s="107">
        <v>8413085.7892829832</v>
      </c>
      <c r="Q44" s="107">
        <v>8531212.4462459665</v>
      </c>
      <c r="R44" s="107">
        <v>7861313.0679585245</v>
      </c>
      <c r="S44" s="106">
        <v>24152.695907863479</v>
      </c>
      <c r="T44" s="106">
        <v>61429.007599276207</v>
      </c>
      <c r="U44" s="107">
        <v>7221386.2963471711</v>
      </c>
      <c r="V44" s="107">
        <v>6731343.4008714482</v>
      </c>
      <c r="W44" s="107">
        <v>6221309.4946495583</v>
      </c>
      <c r="X44" s="106">
        <v>20174.039191868171</v>
      </c>
      <c r="Y44" s="69">
        <v>10647.669145964421</v>
      </c>
      <c r="Z44" s="109"/>
      <c r="AA44" s="120">
        <v>97923.656149373259</v>
      </c>
    </row>
    <row r="45" spans="1:30" s="101" customFormat="1" ht="13.5" customHeight="1" x14ac:dyDescent="0.3">
      <c r="A45" s="118" t="s">
        <v>75</v>
      </c>
      <c r="B45" s="119"/>
      <c r="C45" s="121"/>
      <c r="D45" s="122"/>
      <c r="E45" s="123">
        <v>0</v>
      </c>
      <c r="F45" s="124">
        <v>81603.046791144385</v>
      </c>
      <c r="G45" s="125"/>
      <c r="H45" s="107"/>
      <c r="I45" s="107"/>
      <c r="J45" s="106"/>
      <c r="K45" s="107"/>
      <c r="L45" s="107"/>
      <c r="M45" s="107"/>
      <c r="N45" s="106"/>
      <c r="O45" s="108"/>
      <c r="P45" s="107"/>
      <c r="Q45" s="107"/>
      <c r="R45" s="107"/>
      <c r="S45" s="106"/>
      <c r="T45" s="108"/>
      <c r="U45" s="107"/>
      <c r="V45" s="107"/>
      <c r="W45" s="107"/>
      <c r="X45" s="106"/>
      <c r="Y45" s="126">
        <v>81603.046791144385</v>
      </c>
      <c r="Z45" s="109"/>
      <c r="AA45" s="110"/>
    </row>
    <row r="46" spans="1:30" s="101" customFormat="1" ht="25.5" x14ac:dyDescent="0.2">
      <c r="A46" s="103" t="s">
        <v>76</v>
      </c>
      <c r="B46" s="104"/>
      <c r="C46" s="105" t="s">
        <v>77</v>
      </c>
      <c r="D46" s="106">
        <v>29340.585101000001</v>
      </c>
      <c r="E46" s="106">
        <v>52990.989712590243</v>
      </c>
      <c r="F46" s="106">
        <v>59016.600957897608</v>
      </c>
      <c r="G46" s="107">
        <v>4531672.8770060148</v>
      </c>
      <c r="H46" s="107">
        <v>4338325.2250314131</v>
      </c>
      <c r="I46" s="107">
        <v>4585886.0049140109</v>
      </c>
      <c r="J46" s="106">
        <v>13455.884106951438</v>
      </c>
      <c r="K46" s="107">
        <v>4807755.6478586644</v>
      </c>
      <c r="L46" s="107">
        <v>4943475.4295293279</v>
      </c>
      <c r="M46" s="107">
        <v>5043204.553298641</v>
      </c>
      <c r="N46" s="106">
        <v>14794.435630686634</v>
      </c>
      <c r="O46" s="127">
        <v>28250.31973763807</v>
      </c>
      <c r="P46" s="107">
        <v>5379167.544148434</v>
      </c>
      <c r="Q46" s="107">
        <v>5196326.2217126917</v>
      </c>
      <c r="R46" s="107">
        <v>5274483.8509042673</v>
      </c>
      <c r="S46" s="106">
        <v>15849.977616765393</v>
      </c>
      <c r="T46" s="127">
        <v>44100.297354403461</v>
      </c>
      <c r="U46" s="107">
        <v>5369386.5325523615</v>
      </c>
      <c r="V46" s="107">
        <v>4872461.3091604402</v>
      </c>
      <c r="W46" s="107">
        <v>4674455.7617813442</v>
      </c>
      <c r="X46" s="106">
        <v>14916.303603494147</v>
      </c>
      <c r="Y46" s="69">
        <v>6025.6112453073656</v>
      </c>
      <c r="Z46" s="109"/>
      <c r="AA46" s="128">
        <v>3002.3974472336413</v>
      </c>
    </row>
    <row r="47" spans="1:30" s="56" customFormat="1" ht="15" customHeight="1" x14ac:dyDescent="0.25">
      <c r="A47" s="129" t="s">
        <v>78</v>
      </c>
      <c r="B47" s="130"/>
      <c r="C47" s="131"/>
      <c r="D47" s="83">
        <v>11715.189359999997</v>
      </c>
      <c r="E47" s="83">
        <v>24871.398874803417</v>
      </c>
      <c r="F47" s="83">
        <v>27873.796322037058</v>
      </c>
      <c r="G47" s="83">
        <v>2181103.8463684008</v>
      </c>
      <c r="H47" s="83">
        <v>2181103.8463684008</v>
      </c>
      <c r="I47" s="83">
        <v>2181103.8463684008</v>
      </c>
      <c r="J47" s="83">
        <v>6543.3115391052033</v>
      </c>
      <c r="K47" s="83">
        <v>2384389.902245509</v>
      </c>
      <c r="L47" s="83">
        <v>2471413.4924247158</v>
      </c>
      <c r="M47" s="83">
        <v>2471413.4924247158</v>
      </c>
      <c r="N47" s="83">
        <v>7327.2168870949408</v>
      </c>
      <c r="O47" s="85">
        <v>13870.528426200144</v>
      </c>
      <c r="P47" s="83">
        <v>2397820.961832792</v>
      </c>
      <c r="Q47" s="83">
        <v>2397820.961832792</v>
      </c>
      <c r="R47" s="83">
        <v>2397820.961832792</v>
      </c>
      <c r="S47" s="83">
        <v>7193.4628854983766</v>
      </c>
      <c r="T47" s="85">
        <v>21063.991311698519</v>
      </c>
      <c r="U47" s="94">
        <v>2397820.961832792</v>
      </c>
      <c r="V47" s="94">
        <v>2186857.13</v>
      </c>
      <c r="W47" s="94">
        <v>2225126.9185057469</v>
      </c>
      <c r="X47" s="83">
        <v>6809.8050103385394</v>
      </c>
      <c r="Y47" s="86">
        <v>3002.3974472336413</v>
      </c>
      <c r="Z47" s="87"/>
      <c r="AA47" s="132">
        <v>0.1207168709064971</v>
      </c>
    </row>
    <row r="48" spans="1:30" s="56" customFormat="1" ht="13.15" customHeight="1" x14ac:dyDescent="0.25">
      <c r="A48" s="129" t="s">
        <v>79</v>
      </c>
      <c r="B48" s="130"/>
      <c r="C48" s="133"/>
      <c r="D48" s="83">
        <v>5873.9793200000004</v>
      </c>
      <c r="E48" s="83">
        <v>10256.74065</v>
      </c>
      <c r="F48" s="83">
        <v>11392.98935</v>
      </c>
      <c r="G48" s="83">
        <v>911763.96666666667</v>
      </c>
      <c r="H48" s="83">
        <v>911763.96666666667</v>
      </c>
      <c r="I48" s="83">
        <v>911763.96666666667</v>
      </c>
      <c r="J48" s="83">
        <v>2735.2918999999997</v>
      </c>
      <c r="K48" s="83">
        <v>941904.55</v>
      </c>
      <c r="L48" s="83">
        <v>968696.04999999993</v>
      </c>
      <c r="M48" s="83">
        <v>968696.04999999993</v>
      </c>
      <c r="N48" s="83">
        <v>2879.2966499999998</v>
      </c>
      <c r="O48" s="85">
        <v>5614.5885499999995</v>
      </c>
      <c r="P48" s="83">
        <v>996133.79999999993</v>
      </c>
      <c r="Q48" s="83">
        <v>996133.79999999993</v>
      </c>
      <c r="R48" s="83">
        <v>996133.79999999993</v>
      </c>
      <c r="S48" s="83">
        <v>2988.4013999999997</v>
      </c>
      <c r="T48" s="85">
        <v>8602.9899499999992</v>
      </c>
      <c r="U48" s="94">
        <v>996133.79999999993</v>
      </c>
      <c r="V48" s="94">
        <v>895497.3</v>
      </c>
      <c r="W48" s="94">
        <v>898368.3</v>
      </c>
      <c r="X48" s="83">
        <v>2789.9994000000002</v>
      </c>
      <c r="Y48" s="86">
        <v>1136.2487000000001</v>
      </c>
      <c r="Z48" s="87"/>
      <c r="AA48" s="132">
        <v>0.11078067963042432</v>
      </c>
    </row>
    <row r="49" spans="1:32" s="56" customFormat="1" ht="18" customHeight="1" x14ac:dyDescent="0.25">
      <c r="A49" s="129" t="s">
        <v>80</v>
      </c>
      <c r="B49" s="130"/>
      <c r="C49" s="133"/>
      <c r="D49" s="83">
        <v>5841.2100399999963</v>
      </c>
      <c r="E49" s="83">
        <v>14614.658224803417</v>
      </c>
      <c r="F49" s="83">
        <v>16480.806972037059</v>
      </c>
      <c r="G49" s="83">
        <v>1269339.8797017341</v>
      </c>
      <c r="H49" s="83">
        <v>1269339.8797017341</v>
      </c>
      <c r="I49" s="83">
        <v>1269339.8797017341</v>
      </c>
      <c r="J49" s="83">
        <v>3808.0196391052023</v>
      </c>
      <c r="K49" s="83">
        <v>1442485.3522455089</v>
      </c>
      <c r="L49" s="83">
        <v>1502717.442424716</v>
      </c>
      <c r="M49" s="83">
        <v>1502717.442424716</v>
      </c>
      <c r="N49" s="83">
        <v>4447.9202370949406</v>
      </c>
      <c r="O49" s="85">
        <v>8255.9398762001438</v>
      </c>
      <c r="P49" s="83">
        <v>1401687.1618327922</v>
      </c>
      <c r="Q49" s="83">
        <v>1401687.1618327922</v>
      </c>
      <c r="R49" s="83">
        <v>1401687.1618327922</v>
      </c>
      <c r="S49" s="83">
        <v>4205.061485498376</v>
      </c>
      <c r="T49" s="85">
        <v>12461.00136169852</v>
      </c>
      <c r="U49" s="94">
        <v>1401687.1618327922</v>
      </c>
      <c r="V49" s="94">
        <v>1291359.8299999998</v>
      </c>
      <c r="W49" s="94">
        <v>1326758.6185057468</v>
      </c>
      <c r="X49" s="83">
        <v>4019.8056103385388</v>
      </c>
      <c r="Y49" s="86">
        <v>1866.1487472336412</v>
      </c>
      <c r="Z49" s="87"/>
      <c r="AA49" s="132">
        <v>0.12769020790828264</v>
      </c>
      <c r="AB49" s="132"/>
      <c r="AC49" s="132"/>
      <c r="AD49" s="132"/>
    </row>
    <row r="50" spans="1:32" s="101" customFormat="1" hidden="1" x14ac:dyDescent="0.2">
      <c r="A50" s="129"/>
      <c r="B50" s="130"/>
      <c r="C50" s="121"/>
      <c r="D50" s="134">
        <v>0</v>
      </c>
      <c r="E50" s="134">
        <v>24596.188875782718</v>
      </c>
      <c r="F50" s="134">
        <v>38501.648075419769</v>
      </c>
      <c r="G50" s="135">
        <v>-13905.459199637051</v>
      </c>
      <c r="H50" s="94"/>
      <c r="I50" s="94"/>
      <c r="J50" s="94"/>
      <c r="K50" s="94"/>
      <c r="L50" s="94"/>
      <c r="M50" s="94"/>
      <c r="N50" s="94"/>
      <c r="O50" s="77"/>
      <c r="P50" s="94"/>
      <c r="Q50" s="94"/>
      <c r="R50" s="94"/>
      <c r="S50" s="94"/>
      <c r="T50" s="77"/>
      <c r="U50" s="94"/>
      <c r="V50" s="94"/>
      <c r="W50" s="94"/>
      <c r="X50" s="94"/>
      <c r="Y50" s="69"/>
      <c r="Z50" s="96"/>
      <c r="AA50" s="1"/>
      <c r="AB50" s="132"/>
      <c r="AC50" s="132"/>
      <c r="AD50" s="132"/>
    </row>
    <row r="51" spans="1:32" ht="15.6" customHeight="1" x14ac:dyDescent="0.2">
      <c r="A51" s="136" t="s">
        <v>81</v>
      </c>
      <c r="B51" s="137"/>
      <c r="C51" s="93" t="s">
        <v>82</v>
      </c>
      <c r="D51" s="94">
        <v>29340.585101000001</v>
      </c>
      <c r="E51" s="94">
        <v>52990.989712590243</v>
      </c>
      <c r="F51" s="94">
        <v>59016.600957897608</v>
      </c>
      <c r="G51" s="95">
        <v>4531672.8770060148</v>
      </c>
      <c r="H51" s="95">
        <v>4338325.2250314131</v>
      </c>
      <c r="I51" s="95">
        <v>4585886.0049140109</v>
      </c>
      <c r="J51" s="94">
        <v>13455.884106951436</v>
      </c>
      <c r="K51" s="95">
        <v>4807755.6478586644</v>
      </c>
      <c r="L51" s="95">
        <v>4943475.4295293279</v>
      </c>
      <c r="M51" s="95">
        <v>5043204.553298641</v>
      </c>
      <c r="N51" s="94">
        <v>14794.435630686634</v>
      </c>
      <c r="O51" s="77">
        <v>28250.31973763807</v>
      </c>
      <c r="P51" s="95">
        <v>5379167.544148434</v>
      </c>
      <c r="Q51" s="95">
        <v>5196326.2217126917</v>
      </c>
      <c r="R51" s="95">
        <v>5274483.8509042673</v>
      </c>
      <c r="S51" s="94">
        <v>15849.977616765391</v>
      </c>
      <c r="T51" s="77">
        <v>44100.297354403461</v>
      </c>
      <c r="U51" s="95">
        <v>5369386.5325523615</v>
      </c>
      <c r="V51" s="95">
        <v>4872461.3091604402</v>
      </c>
      <c r="W51" s="95">
        <v>4674455.7617813442</v>
      </c>
      <c r="X51" s="94">
        <v>14916.303603494147</v>
      </c>
      <c r="Y51" s="69">
        <v>6025.6112453073656</v>
      </c>
      <c r="Z51" s="96"/>
      <c r="AA51" s="1">
        <v>0.11371010954859988</v>
      </c>
      <c r="AC51" s="138">
        <v>55982.305012583427</v>
      </c>
      <c r="AD51" s="139">
        <v>55997.245619592009</v>
      </c>
    </row>
    <row r="52" spans="1:32" s="132" customFormat="1" ht="15.6" hidden="1" customHeight="1" x14ac:dyDescent="0.2">
      <c r="A52" s="140" t="s">
        <v>83</v>
      </c>
      <c r="B52" s="130"/>
      <c r="C52" s="93" t="s">
        <v>84</v>
      </c>
      <c r="D52" s="141">
        <v>12993.674761335897</v>
      </c>
      <c r="E52" s="142">
        <v>52990.989712590243</v>
      </c>
      <c r="F52" s="141">
        <v>38501.648075419769</v>
      </c>
      <c r="G52" s="141">
        <v>2668552.843269716</v>
      </c>
      <c r="H52" s="141">
        <v>2725177.5748690167</v>
      </c>
      <c r="I52" s="141">
        <v>2972738.3547516144</v>
      </c>
      <c r="J52" s="141">
        <v>8366.4687728903482</v>
      </c>
      <c r="K52" s="141">
        <v>2909154.310835191</v>
      </c>
      <c r="L52" s="141">
        <v>3281251.8199431174</v>
      </c>
      <c r="M52" s="141">
        <v>3380980.9437124301</v>
      </c>
      <c r="N52" s="141">
        <v>9571.3870744907399</v>
      </c>
      <c r="O52" s="77">
        <v>17937.855847381088</v>
      </c>
      <c r="P52" s="141">
        <v>3533286.1436252026</v>
      </c>
      <c r="Q52" s="141">
        <v>3600417.2047633617</v>
      </c>
      <c r="R52" s="141">
        <v>3678574.8339549373</v>
      </c>
      <c r="S52" s="141">
        <v>10812.278182343502</v>
      </c>
      <c r="T52" s="77">
        <v>28750.134029724592</v>
      </c>
      <c r="U52" s="141">
        <v>3499809.0198844029</v>
      </c>
      <c r="V52" s="141">
        <v>3231222.0914799953</v>
      </c>
      <c r="W52" s="141">
        <v>3020482.9343307843</v>
      </c>
      <c r="X52" s="141">
        <v>9751.5140456951813</v>
      </c>
      <c r="Y52" s="86"/>
      <c r="Z52" s="87"/>
      <c r="AB52" s="1"/>
      <c r="AC52" s="1"/>
      <c r="AD52" s="1"/>
    </row>
    <row r="53" spans="1:32" x14ac:dyDescent="0.2">
      <c r="A53" s="136" t="s">
        <v>85</v>
      </c>
      <c r="B53" s="137"/>
      <c r="C53" s="93" t="s">
        <v>86</v>
      </c>
      <c r="D53" s="94">
        <v>14071.305869942629</v>
      </c>
      <c r="E53" s="142">
        <v>17142.019430603894</v>
      </c>
      <c r="F53" s="94">
        <v>21312.393694148661</v>
      </c>
      <c r="G53" s="95">
        <v>1338456.8541287999</v>
      </c>
      <c r="H53" s="95">
        <v>1386409.1757281004</v>
      </c>
      <c r="I53" s="95">
        <v>1556494.2156106983</v>
      </c>
      <c r="J53" s="94">
        <v>4281.3602454675984</v>
      </c>
      <c r="K53" s="95">
        <v>1478557.2357727722</v>
      </c>
      <c r="L53" s="95">
        <v>1799477.9560188113</v>
      </c>
      <c r="M53" s="95">
        <v>1902016.3997881236</v>
      </c>
      <c r="N53" s="94">
        <v>5180.0515915797077</v>
      </c>
      <c r="O53" s="77">
        <v>9461.4118370473061</v>
      </c>
      <c r="P53" s="95">
        <v>2114294.0094857798</v>
      </c>
      <c r="Q53" s="95">
        <v>2181447.6006239387</v>
      </c>
      <c r="R53" s="95">
        <v>2220025.7298155148</v>
      </c>
      <c r="S53" s="94">
        <v>6515.7673399252335</v>
      </c>
      <c r="T53" s="77">
        <v>15977.179176972539</v>
      </c>
      <c r="U53" s="95">
        <v>2023233.0157449804</v>
      </c>
      <c r="V53" s="95">
        <v>1746975.5803936243</v>
      </c>
      <c r="W53" s="95">
        <v>1565005.9210375168</v>
      </c>
      <c r="X53" s="94">
        <v>5335.2145171761213</v>
      </c>
      <c r="Y53" s="69">
        <v>4170.374263544767</v>
      </c>
      <c r="Z53" s="96"/>
      <c r="AA53" s="1">
        <v>0.24328372047574148</v>
      </c>
    </row>
    <row r="54" spans="1:32" x14ac:dyDescent="0.2">
      <c r="A54" s="136" t="s">
        <v>87</v>
      </c>
      <c r="B54" s="137"/>
      <c r="C54" s="93" t="s">
        <v>88</v>
      </c>
      <c r="D54" s="94">
        <v>2578.1828750000004</v>
      </c>
      <c r="E54" s="142">
        <v>5024.4486033321518</v>
      </c>
      <c r="F54" s="142">
        <v>5584.8806323234912</v>
      </c>
      <c r="G54" s="95">
        <v>446194.00545454537</v>
      </c>
      <c r="H54" s="95">
        <v>446194.00545454537</v>
      </c>
      <c r="I54" s="95">
        <v>446194.00545454537</v>
      </c>
      <c r="J54" s="94">
        <v>1338.5820163636361</v>
      </c>
      <c r="K54" s="95">
        <v>495403.09227544907</v>
      </c>
      <c r="L54" s="95">
        <v>492789.71429338999</v>
      </c>
      <c r="M54" s="95">
        <v>492789.71429338999</v>
      </c>
      <c r="N54" s="94">
        <v>1480.9825208622292</v>
      </c>
      <c r="O54" s="77">
        <v>2819.564537225865</v>
      </c>
      <c r="P54" s="95">
        <v>461551.10791233764</v>
      </c>
      <c r="Q54" s="95">
        <v>461551.10791233764</v>
      </c>
      <c r="R54" s="95">
        <v>461551.10791233764</v>
      </c>
      <c r="S54" s="94">
        <v>1384.6533237370129</v>
      </c>
      <c r="T54" s="77">
        <v>4204.2178609628781</v>
      </c>
      <c r="U54" s="95">
        <v>461551.10791233764</v>
      </c>
      <c r="V54" s="95">
        <v>456165.13</v>
      </c>
      <c r="W54" s="95">
        <v>462946.53344827588</v>
      </c>
      <c r="X54" s="94">
        <v>1380.6627713606133</v>
      </c>
      <c r="Y54" s="69">
        <v>560.43202899133939</v>
      </c>
      <c r="Z54" s="96"/>
      <c r="AA54" s="1">
        <v>0.11154100145828297</v>
      </c>
    </row>
    <row r="55" spans="1:32" x14ac:dyDescent="0.2">
      <c r="A55" s="136" t="s">
        <v>89</v>
      </c>
      <c r="B55" s="137"/>
      <c r="C55" s="93" t="s">
        <v>90</v>
      </c>
      <c r="D55" s="94">
        <v>576.78456500000004</v>
      </c>
      <c r="E55" s="142">
        <v>1105.3786927330734</v>
      </c>
      <c r="F55" s="94">
        <v>1228.6737391111681</v>
      </c>
      <c r="G55" s="95">
        <v>98162.681199999977</v>
      </c>
      <c r="H55" s="95">
        <v>98162.681199999977</v>
      </c>
      <c r="I55" s="95">
        <v>98162.681199999977</v>
      </c>
      <c r="J55" s="94">
        <v>294.48804359999991</v>
      </c>
      <c r="K55" s="95">
        <v>108988.6803005988</v>
      </c>
      <c r="L55" s="95">
        <v>108413.7371445458</v>
      </c>
      <c r="M55" s="95">
        <v>108413.7371445458</v>
      </c>
      <c r="N55" s="94">
        <v>325.81615458969037</v>
      </c>
      <c r="O55" s="77">
        <v>620.30419818969028</v>
      </c>
      <c r="P55" s="95">
        <v>101541.24374071429</v>
      </c>
      <c r="Q55" s="95">
        <v>101541.24374071429</v>
      </c>
      <c r="R55" s="95">
        <v>101541.24374071429</v>
      </c>
      <c r="S55" s="94">
        <v>304.62373122214285</v>
      </c>
      <c r="T55" s="77">
        <v>924.92792941183313</v>
      </c>
      <c r="U55" s="95">
        <v>101541.24374071429</v>
      </c>
      <c r="V55" s="95">
        <v>100356.32860000001</v>
      </c>
      <c r="W55" s="95">
        <v>101848.2373586207</v>
      </c>
      <c r="X55" s="94">
        <v>303.74580969933498</v>
      </c>
      <c r="Y55" s="69">
        <v>123.29504637809464</v>
      </c>
      <c r="Z55" s="96"/>
      <c r="AA55" s="1">
        <v>0.11154100145828294</v>
      </c>
    </row>
    <row r="56" spans="1:32" x14ac:dyDescent="0.2">
      <c r="A56" s="136" t="s">
        <v>91</v>
      </c>
      <c r="B56" s="137"/>
      <c r="C56" s="93" t="s">
        <v>92</v>
      </c>
      <c r="D56" s="94">
        <v>1930.1851600000002</v>
      </c>
      <c r="E56" s="142">
        <v>2098.6950000000002</v>
      </c>
      <c r="F56" s="94">
        <v>1997.3192400000009</v>
      </c>
      <c r="G56" s="95">
        <v>166443.27000000008</v>
      </c>
      <c r="H56" s="95">
        <v>166443.27000000008</v>
      </c>
      <c r="I56" s="95">
        <v>166443.27000000008</v>
      </c>
      <c r="J56" s="94">
        <v>499.32981000000024</v>
      </c>
      <c r="K56" s="95">
        <v>166443.27000000008</v>
      </c>
      <c r="L56" s="95">
        <v>166443.27000000008</v>
      </c>
      <c r="M56" s="95">
        <v>166443.27000000008</v>
      </c>
      <c r="N56" s="94">
        <v>499.32981000000024</v>
      </c>
      <c r="O56" s="77">
        <v>998.65962000000047</v>
      </c>
      <c r="P56" s="95">
        <v>166443.27000000008</v>
      </c>
      <c r="Q56" s="95">
        <v>166443.27000000008</v>
      </c>
      <c r="R56" s="95">
        <v>166443.27000000008</v>
      </c>
      <c r="S56" s="94">
        <v>499.32981000000024</v>
      </c>
      <c r="T56" s="77">
        <v>1497.9894300000008</v>
      </c>
      <c r="U56" s="95">
        <v>166443.27000000008</v>
      </c>
      <c r="V56" s="95">
        <v>166443.27000000008</v>
      </c>
      <c r="W56" s="95">
        <v>166443.27000000008</v>
      </c>
      <c r="X56" s="94">
        <v>499.32981000000024</v>
      </c>
      <c r="Y56" s="69">
        <v>-101.37575999999922</v>
      </c>
      <c r="Z56" s="96"/>
      <c r="AA56" s="1">
        <v>-4.8304189031755075E-2</v>
      </c>
    </row>
    <row r="57" spans="1:32" x14ac:dyDescent="0.2">
      <c r="A57" s="136" t="s">
        <v>93</v>
      </c>
      <c r="B57" s="137"/>
      <c r="C57" s="93"/>
      <c r="D57" s="94">
        <v>780.83264999999994</v>
      </c>
      <c r="E57" s="142">
        <v>8939.47156</v>
      </c>
      <c r="F57" s="94">
        <v>8105.3071799999998</v>
      </c>
      <c r="G57" s="95">
        <v>596539.9</v>
      </c>
      <c r="H57" s="95">
        <v>605212.30999999994</v>
      </c>
      <c r="I57" s="95">
        <v>682688.04999999993</v>
      </c>
      <c r="J57" s="94">
        <v>1884.4402599999999</v>
      </c>
      <c r="K57" s="95">
        <v>637005.9</v>
      </c>
      <c r="L57" s="95">
        <v>691371.01</v>
      </c>
      <c r="M57" s="95">
        <v>688561.69000000006</v>
      </c>
      <c r="N57" s="94">
        <v>2016.9386000000002</v>
      </c>
      <c r="O57" s="77">
        <v>3901.3788599999998</v>
      </c>
      <c r="P57" s="95">
        <v>666700.38</v>
      </c>
      <c r="Q57" s="95">
        <v>666677.85000000009</v>
      </c>
      <c r="R57" s="95">
        <v>706257.35000000009</v>
      </c>
      <c r="S57" s="94">
        <v>2039.6355800000001</v>
      </c>
      <c r="T57" s="77">
        <v>5941.0144399999999</v>
      </c>
      <c r="U57" s="95">
        <v>724284.25</v>
      </c>
      <c r="V57" s="95">
        <v>738525.65</v>
      </c>
      <c r="W57" s="95">
        <v>701482.84</v>
      </c>
      <c r="X57" s="94">
        <v>2164.2927399999999</v>
      </c>
      <c r="Y57" s="69">
        <v>-834.16438000000016</v>
      </c>
      <c r="Z57" s="96"/>
      <c r="AA57" s="1">
        <v>-9.3312493294626042E-2</v>
      </c>
      <c r="AB57" s="23"/>
      <c r="AC57" s="23"/>
      <c r="AD57" s="23"/>
    </row>
    <row r="58" spans="1:32" x14ac:dyDescent="0.2">
      <c r="A58" s="136" t="s">
        <v>94</v>
      </c>
      <c r="B58" s="137"/>
      <c r="C58" s="93"/>
      <c r="D58" s="94">
        <v>167.74114</v>
      </c>
      <c r="E58" s="142">
        <v>258.60994911360001</v>
      </c>
      <c r="F58" s="142">
        <v>273.07358983645003</v>
      </c>
      <c r="G58" s="95">
        <v>22756.132486370832</v>
      </c>
      <c r="H58" s="95">
        <v>22756.132486370832</v>
      </c>
      <c r="I58" s="95">
        <v>22756.132486370832</v>
      </c>
      <c r="J58" s="94">
        <v>68.268397459112506</v>
      </c>
      <c r="K58" s="95">
        <v>22756.132486370832</v>
      </c>
      <c r="L58" s="95">
        <v>22756.132486370832</v>
      </c>
      <c r="M58" s="95">
        <v>22756.132486370832</v>
      </c>
      <c r="N58" s="94">
        <v>68.268397459112506</v>
      </c>
      <c r="O58" s="77">
        <v>136.53679491822501</v>
      </c>
      <c r="P58" s="95">
        <v>22756.132486370832</v>
      </c>
      <c r="Q58" s="95">
        <v>22756.132486370832</v>
      </c>
      <c r="R58" s="95">
        <v>22756.132486370832</v>
      </c>
      <c r="S58" s="94">
        <v>68.268397459112506</v>
      </c>
      <c r="T58" s="77">
        <v>204.80519237733751</v>
      </c>
      <c r="U58" s="95">
        <v>22756.132486370832</v>
      </c>
      <c r="V58" s="95">
        <v>22756.132486370832</v>
      </c>
      <c r="W58" s="95">
        <v>22756.132486370832</v>
      </c>
      <c r="X58" s="94">
        <v>68.268397459112506</v>
      </c>
      <c r="Y58" s="69">
        <v>14.463640722850016</v>
      </c>
      <c r="Z58" s="96"/>
      <c r="AA58" s="1">
        <v>5.5928400173407673E-2</v>
      </c>
      <c r="AB58" s="23"/>
      <c r="AC58" s="143"/>
      <c r="AD58" s="23"/>
    </row>
    <row r="59" spans="1:32" s="23" customFormat="1" x14ac:dyDescent="0.2">
      <c r="A59" s="136" t="s">
        <v>95</v>
      </c>
      <c r="B59" s="144">
        <v>0</v>
      </c>
      <c r="C59" s="93"/>
      <c r="D59" s="94">
        <v>8264.8405310573708</v>
      </c>
      <c r="E59" s="142">
        <v>15049.547261210966</v>
      </c>
      <c r="F59" s="142">
        <v>17480.656937163661</v>
      </c>
      <c r="G59" s="95">
        <v>1610454.7639809498</v>
      </c>
      <c r="H59" s="95">
        <v>1360482.3804070482</v>
      </c>
      <c r="I59" s="95">
        <v>1360482.3804070482</v>
      </c>
      <c r="J59" s="94">
        <v>4331.4195247950465</v>
      </c>
      <c r="K59" s="95">
        <v>1651158.5975181246</v>
      </c>
      <c r="L59" s="95">
        <v>1414780.8700808627</v>
      </c>
      <c r="M59" s="95">
        <v>1414780.8700808624</v>
      </c>
      <c r="N59" s="94">
        <v>4480.7203376798498</v>
      </c>
      <c r="O59" s="77">
        <v>8812.1398624748963</v>
      </c>
      <c r="P59" s="95">
        <v>1592894.3710178826</v>
      </c>
      <c r="Q59" s="95">
        <v>1342921.9874439812</v>
      </c>
      <c r="R59" s="95">
        <v>1342921.9874439812</v>
      </c>
      <c r="S59" s="94">
        <v>4278.7383459058447</v>
      </c>
      <c r="T59" s="77">
        <v>13090.878208380742</v>
      </c>
      <c r="U59" s="95">
        <v>1616590.4831626106</v>
      </c>
      <c r="V59" s="95">
        <v>1388573.9479250964</v>
      </c>
      <c r="W59" s="95">
        <v>1384614.2976952111</v>
      </c>
      <c r="X59" s="94">
        <v>4389.7787287829187</v>
      </c>
      <c r="Y59" s="69">
        <v>2431.1096759526954</v>
      </c>
      <c r="Z59" s="96"/>
      <c r="AA59" s="1">
        <v>0.16154038614960139</v>
      </c>
      <c r="AB59" s="1"/>
      <c r="AC59" s="139"/>
      <c r="AD59" s="1"/>
    </row>
    <row r="60" spans="1:32" s="23" customFormat="1" x14ac:dyDescent="0.2">
      <c r="A60" s="136" t="s">
        <v>96</v>
      </c>
      <c r="B60" s="137"/>
      <c r="C60" s="93" t="s">
        <v>82</v>
      </c>
      <c r="D60" s="94">
        <v>970.71230999999989</v>
      </c>
      <c r="E60" s="142">
        <v>3372.8192155965567</v>
      </c>
      <c r="F60" s="142">
        <v>3034.2959453141798</v>
      </c>
      <c r="G60" s="145">
        <v>252665.26975534827</v>
      </c>
      <c r="H60" s="145">
        <v>252665.26975534827</v>
      </c>
      <c r="I60" s="145">
        <v>252665.26975534827</v>
      </c>
      <c r="J60" s="94">
        <v>757.99580926604472</v>
      </c>
      <c r="K60" s="145">
        <v>247442.73950534826</v>
      </c>
      <c r="L60" s="145">
        <v>247442.73950534826</v>
      </c>
      <c r="M60" s="145">
        <v>247442.73950534826</v>
      </c>
      <c r="N60" s="94">
        <v>742.32821851604479</v>
      </c>
      <c r="O60" s="77">
        <v>1500.3240277820896</v>
      </c>
      <c r="P60" s="145">
        <v>252987.0295053483</v>
      </c>
      <c r="Q60" s="145">
        <v>252987.0295053483</v>
      </c>
      <c r="R60" s="145">
        <v>252987.0295053483</v>
      </c>
      <c r="S60" s="94">
        <v>758.96108851604492</v>
      </c>
      <c r="T60" s="77">
        <v>2259.2851162981347</v>
      </c>
      <c r="U60" s="145">
        <v>252987.0295053483</v>
      </c>
      <c r="V60" s="145">
        <v>252665.26975534827</v>
      </c>
      <c r="W60" s="145">
        <v>269358.52975534834</v>
      </c>
      <c r="X60" s="94">
        <v>775.01082901604502</v>
      </c>
      <c r="Y60" s="69">
        <v>-338.52327028237687</v>
      </c>
      <c r="Z60" s="96"/>
      <c r="AA60" s="1">
        <v>-0.10036804484420066</v>
      </c>
      <c r="AB60" s="1"/>
      <c r="AC60" s="139"/>
      <c r="AD60" s="146"/>
    </row>
    <row r="61" spans="1:32" x14ac:dyDescent="0.2">
      <c r="A61" s="98" t="s">
        <v>97</v>
      </c>
      <c r="B61" s="147">
        <v>0</v>
      </c>
      <c r="C61" s="93" t="s">
        <v>98</v>
      </c>
      <c r="D61" s="94">
        <v>5932</v>
      </c>
      <c r="E61" s="142">
        <v>8674.0261079529118</v>
      </c>
      <c r="F61" s="142">
        <v>11479.44071412395</v>
      </c>
      <c r="G61" s="95">
        <v>939188.05114017264</v>
      </c>
      <c r="H61" s="95">
        <v>939264.07417595363</v>
      </c>
      <c r="I61" s="95">
        <v>939594.82453093759</v>
      </c>
      <c r="J61" s="94">
        <v>2818.0469498470638</v>
      </c>
      <c r="K61" s="95">
        <v>966588.59500995057</v>
      </c>
      <c r="L61" s="95">
        <v>953776.14182040142</v>
      </c>
      <c r="M61" s="145">
        <v>953900.49686914939</v>
      </c>
      <c r="N61" s="94">
        <v>2874.2652336995016</v>
      </c>
      <c r="O61" s="77">
        <v>5692.3121835465654</v>
      </c>
      <c r="P61" s="95">
        <v>982635.6231693934</v>
      </c>
      <c r="Q61" s="95">
        <v>982706.11635702546</v>
      </c>
      <c r="R61" s="95">
        <v>982814.11953027546</v>
      </c>
      <c r="S61" s="94">
        <v>2948.1558590566942</v>
      </c>
      <c r="T61" s="77">
        <v>8640.4680426032592</v>
      </c>
      <c r="U61" s="95">
        <v>1005300.1794126108</v>
      </c>
      <c r="V61" s="95">
        <v>904139.46392966597</v>
      </c>
      <c r="W61" s="95">
        <v>929533.02817841503</v>
      </c>
      <c r="X61" s="94">
        <v>2838.9726715206916</v>
      </c>
      <c r="Y61" s="69">
        <v>2805.414606171038</v>
      </c>
      <c r="Z61" s="96"/>
      <c r="AA61" s="1">
        <v>0.3234270419821369</v>
      </c>
      <c r="AB61" s="148"/>
      <c r="AC61" s="139"/>
      <c r="AD61" s="148"/>
      <c r="AE61" s="139"/>
    </row>
    <row r="62" spans="1:32" ht="13.9" customHeight="1" x14ac:dyDescent="0.2">
      <c r="A62" s="98" t="s">
        <v>99</v>
      </c>
      <c r="B62" s="147">
        <v>0</v>
      </c>
      <c r="C62" s="93" t="s">
        <v>98</v>
      </c>
      <c r="D62" s="94">
        <v>3319</v>
      </c>
      <c r="E62" s="142">
        <v>5786.7016742350479</v>
      </c>
      <c r="F62" s="142">
        <v>5219.5124785642938</v>
      </c>
      <c r="G62" s="95">
        <v>424693.92169984384</v>
      </c>
      <c r="H62" s="95">
        <v>424974.14475615666</v>
      </c>
      <c r="I62" s="95">
        <v>427118.30235533585</v>
      </c>
      <c r="J62" s="94">
        <v>1276.7863688113364</v>
      </c>
      <c r="K62" s="95">
        <v>436204.21258220758</v>
      </c>
      <c r="L62" s="95">
        <v>446665.34987796837</v>
      </c>
      <c r="M62" s="145">
        <v>447208.57397219876</v>
      </c>
      <c r="N62" s="94">
        <v>1330.0781364323748</v>
      </c>
      <c r="O62" s="77">
        <v>2606.8645052437114</v>
      </c>
      <c r="P62" s="95">
        <v>441671.54063476203</v>
      </c>
      <c r="Q62" s="95">
        <v>441463.77293414762</v>
      </c>
      <c r="R62" s="95">
        <v>442398.47501681163</v>
      </c>
      <c r="S62" s="94">
        <v>1325.5337885857214</v>
      </c>
      <c r="T62" s="77">
        <v>3932.398293829433</v>
      </c>
      <c r="U62" s="95">
        <v>441194.74456397165</v>
      </c>
      <c r="V62" s="95">
        <v>423946.12893704907</v>
      </c>
      <c r="W62" s="95">
        <v>421973.3112338403</v>
      </c>
      <c r="X62" s="94">
        <v>1287.1141847348608</v>
      </c>
      <c r="Y62" s="69">
        <v>-567.18919567075409</v>
      </c>
      <c r="Z62" s="96"/>
      <c r="AA62" s="1">
        <v>-9.8015973105392826E-2</v>
      </c>
      <c r="AC62" s="139"/>
      <c r="AE62" s="139"/>
      <c r="AF62" s="139"/>
    </row>
    <row r="63" spans="1:32" s="148" customFormat="1" x14ac:dyDescent="0.2">
      <c r="A63" s="149" t="s">
        <v>100</v>
      </c>
      <c r="B63" s="32"/>
      <c r="C63" s="150" t="s">
        <v>101</v>
      </c>
      <c r="D63" s="94">
        <v>88</v>
      </c>
      <c r="E63" s="142">
        <v>0</v>
      </c>
      <c r="F63" s="94">
        <v>0</v>
      </c>
      <c r="G63" s="95"/>
      <c r="H63" s="95"/>
      <c r="I63" s="95"/>
      <c r="J63" s="94">
        <v>0</v>
      </c>
      <c r="K63" s="151"/>
      <c r="L63" s="151"/>
      <c r="M63" s="151"/>
      <c r="N63" s="94">
        <v>0</v>
      </c>
      <c r="O63" s="100">
        <v>0</v>
      </c>
      <c r="P63" s="151"/>
      <c r="Q63" s="151"/>
      <c r="R63" s="151"/>
      <c r="S63" s="94">
        <v>0</v>
      </c>
      <c r="T63" s="100">
        <v>0</v>
      </c>
      <c r="U63" s="151"/>
      <c r="V63" s="151"/>
      <c r="W63" s="151"/>
      <c r="X63" s="94">
        <v>0</v>
      </c>
      <c r="Y63" s="69">
        <v>0</v>
      </c>
      <c r="Z63" s="152"/>
      <c r="AA63" s="4"/>
      <c r="AB63" s="89"/>
      <c r="AC63" s="153">
        <v>2761.013633264</v>
      </c>
      <c r="AD63" s="89"/>
    </row>
    <row r="64" spans="1:32" x14ac:dyDescent="0.2">
      <c r="A64" s="154" t="s">
        <v>102</v>
      </c>
      <c r="B64" s="155"/>
      <c r="C64" s="156" t="s">
        <v>84</v>
      </c>
      <c r="D64" s="94">
        <v>2402</v>
      </c>
      <c r="E64" s="142">
        <v>3504.5274047059993</v>
      </c>
      <c r="F64" s="157">
        <v>5887.0358388999994</v>
      </c>
      <c r="G64" s="158">
        <v>195910.06999999998</v>
      </c>
      <c r="H64" s="158">
        <v>289396.20999999996</v>
      </c>
      <c r="I64" s="158">
        <v>194785.06999999998</v>
      </c>
      <c r="J64" s="157">
        <v>680.09134999999981</v>
      </c>
      <c r="K64" s="158">
        <v>497012.92760399997</v>
      </c>
      <c r="L64" s="158">
        <v>457583.98634399998</v>
      </c>
      <c r="M64" s="158">
        <v>363243.52168799995</v>
      </c>
      <c r="N64" s="157">
        <v>1317.8404356359997</v>
      </c>
      <c r="O64" s="159">
        <v>1997.9317856359994</v>
      </c>
      <c r="P64" s="158">
        <v>840930.46562399995</v>
      </c>
      <c r="Q64" s="158">
        <v>1510200.908056</v>
      </c>
      <c r="R64" s="158">
        <v>662857.35109599994</v>
      </c>
      <c r="S64" s="157">
        <v>3013.9887247760003</v>
      </c>
      <c r="T64" s="159">
        <v>5011.9205104119992</v>
      </c>
      <c r="U64" s="158">
        <v>390973.608488</v>
      </c>
      <c r="V64" s="158">
        <v>289380.64999999997</v>
      </c>
      <c r="W64" s="158">
        <v>194761.06999999998</v>
      </c>
      <c r="X64" s="157">
        <v>875.11532848799982</v>
      </c>
      <c r="Y64" s="69">
        <v>2382.5084341940001</v>
      </c>
      <c r="Z64" s="114"/>
      <c r="AA64" s="97">
        <v>18230.808775609843</v>
      </c>
      <c r="AB64" s="160"/>
      <c r="AC64" s="161">
        <v>72681.258205271675</v>
      </c>
      <c r="AD64" s="160"/>
    </row>
    <row r="65" spans="1:33" s="89" customFormat="1" ht="125.25" customHeight="1" x14ac:dyDescent="0.2">
      <c r="A65" s="162" t="s">
        <v>1536</v>
      </c>
      <c r="B65" s="163"/>
      <c r="C65" s="164" t="s">
        <v>103</v>
      </c>
      <c r="D65" s="165">
        <v>171</v>
      </c>
      <c r="E65" s="165">
        <v>1231.6410047059999</v>
      </c>
      <c r="F65" s="165">
        <v>3630</v>
      </c>
      <c r="G65" s="166">
        <v>7895</v>
      </c>
      <c r="H65" s="166">
        <v>101381.14</v>
      </c>
      <c r="I65" s="166">
        <v>6770</v>
      </c>
      <c r="J65" s="165">
        <v>116.04613999999999</v>
      </c>
      <c r="K65" s="166">
        <v>308997.85760400002</v>
      </c>
      <c r="L65" s="166">
        <v>269568.91634399997</v>
      </c>
      <c r="M65" s="166">
        <v>175228.451688</v>
      </c>
      <c r="N65" s="165">
        <v>753.79522563600005</v>
      </c>
      <c r="O65" s="167">
        <v>869.84136563600009</v>
      </c>
      <c r="P65" s="166">
        <v>652915.395624</v>
      </c>
      <c r="Q65" s="166">
        <v>1322185.8380559999</v>
      </c>
      <c r="R65" s="166">
        <v>474842.28109599999</v>
      </c>
      <c r="S65" s="165">
        <v>2449.943514776</v>
      </c>
      <c r="T65" s="167">
        <v>3319.7848804120003</v>
      </c>
      <c r="U65" s="166">
        <v>202958.53848799999</v>
      </c>
      <c r="V65" s="166">
        <v>101365.57999999997</v>
      </c>
      <c r="W65" s="166">
        <v>6746</v>
      </c>
      <c r="X65" s="165">
        <v>310.07011848799999</v>
      </c>
      <c r="Y65" s="168">
        <v>2399.2139941940004</v>
      </c>
      <c r="Z65" s="87"/>
      <c r="AA65" s="88"/>
      <c r="AB65" s="160"/>
      <c r="AC65" s="161">
        <v>1856.6759457804988</v>
      </c>
      <c r="AD65" s="160"/>
    </row>
    <row r="66" spans="1:33" s="89" customFormat="1" ht="15.75" customHeight="1" x14ac:dyDescent="0.2">
      <c r="A66" s="169" t="s">
        <v>104</v>
      </c>
      <c r="B66" s="163"/>
      <c r="C66" s="170"/>
      <c r="D66" s="171">
        <v>171</v>
      </c>
      <c r="E66" s="171">
        <v>1231.6410047059999</v>
      </c>
      <c r="F66" s="171">
        <v>3630</v>
      </c>
      <c r="G66" s="166">
        <v>7895</v>
      </c>
      <c r="H66" s="166">
        <v>101381.14</v>
      </c>
      <c r="I66" s="166">
        <v>6770</v>
      </c>
      <c r="J66" s="171">
        <v>116.04613999999999</v>
      </c>
      <c r="K66" s="166">
        <v>308997.85760400002</v>
      </c>
      <c r="L66" s="166">
        <v>269568.91634399997</v>
      </c>
      <c r="M66" s="166">
        <v>175228.451688</v>
      </c>
      <c r="N66" s="171">
        <v>753.79522563600005</v>
      </c>
      <c r="O66" s="167">
        <v>869.84136563600009</v>
      </c>
      <c r="P66" s="166">
        <v>652915.395624</v>
      </c>
      <c r="Q66" s="166">
        <v>1322185.8380559999</v>
      </c>
      <c r="R66" s="166">
        <v>474842.28109599999</v>
      </c>
      <c r="S66" s="171">
        <v>2449.943514776</v>
      </c>
      <c r="T66" s="167">
        <v>3319.7848804120003</v>
      </c>
      <c r="U66" s="166">
        <v>202958.53848799999</v>
      </c>
      <c r="V66" s="166">
        <v>101365.57999999997</v>
      </c>
      <c r="W66" s="166">
        <v>6746</v>
      </c>
      <c r="X66" s="171">
        <v>310.07011848799999</v>
      </c>
      <c r="Y66" s="168"/>
      <c r="Z66" s="87"/>
      <c r="AA66" s="88"/>
      <c r="AB66" s="160"/>
      <c r="AC66" s="161"/>
      <c r="AD66" s="160"/>
    </row>
    <row r="67" spans="1:33" s="89" customFormat="1" ht="19.5" customHeight="1" x14ac:dyDescent="0.2">
      <c r="A67" s="172" t="s">
        <v>105</v>
      </c>
      <c r="B67" s="163"/>
      <c r="C67" s="173"/>
      <c r="D67" s="174">
        <v>0</v>
      </c>
      <c r="E67" s="174">
        <v>0</v>
      </c>
      <c r="F67" s="174">
        <v>0</v>
      </c>
      <c r="G67" s="166"/>
      <c r="H67" s="166"/>
      <c r="I67" s="166"/>
      <c r="J67" s="175">
        <v>0</v>
      </c>
      <c r="K67" s="166"/>
      <c r="L67" s="166"/>
      <c r="M67" s="166"/>
      <c r="N67" s="175">
        <v>0</v>
      </c>
      <c r="O67" s="167"/>
      <c r="P67" s="166"/>
      <c r="Q67" s="166"/>
      <c r="R67" s="166"/>
      <c r="S67" s="175">
        <v>0</v>
      </c>
      <c r="T67" s="167"/>
      <c r="U67" s="166"/>
      <c r="V67" s="166"/>
      <c r="W67" s="166"/>
      <c r="X67" s="175">
        <v>0</v>
      </c>
      <c r="Y67" s="168"/>
      <c r="Z67" s="87"/>
      <c r="AA67" s="88"/>
      <c r="AB67" s="160"/>
      <c r="AC67" s="161"/>
      <c r="AD67" s="160"/>
    </row>
    <row r="68" spans="1:33" s="89" customFormat="1" ht="79.5" customHeight="1" x14ac:dyDescent="0.2">
      <c r="A68" s="80" t="s">
        <v>106</v>
      </c>
      <c r="B68" s="163"/>
      <c r="C68" s="173"/>
      <c r="D68" s="176">
        <v>0</v>
      </c>
      <c r="E68" s="176">
        <v>8285.3692999999985</v>
      </c>
      <c r="F68" s="83">
        <v>9284.3340000000007</v>
      </c>
      <c r="G68" s="117">
        <v>895811</v>
      </c>
      <c r="H68" s="117">
        <v>762142</v>
      </c>
      <c r="I68" s="117">
        <v>677468</v>
      </c>
      <c r="J68" s="83">
        <v>2335.4209999999998</v>
      </c>
      <c r="K68" s="117">
        <v>748384</v>
      </c>
      <c r="L68" s="117">
        <v>788529</v>
      </c>
      <c r="M68" s="117">
        <v>701339</v>
      </c>
      <c r="N68" s="83">
        <v>2238.252</v>
      </c>
      <c r="O68" s="85">
        <v>4573.6729999999998</v>
      </c>
      <c r="P68" s="117">
        <v>750724</v>
      </c>
      <c r="Q68" s="117">
        <v>747354</v>
      </c>
      <c r="R68" s="117">
        <v>805697</v>
      </c>
      <c r="S68" s="83">
        <v>2303.7750000000001</v>
      </c>
      <c r="T68" s="85">
        <v>6877.4480000000003</v>
      </c>
      <c r="U68" s="117">
        <v>815746</v>
      </c>
      <c r="V68" s="117">
        <v>827958</v>
      </c>
      <c r="W68" s="117">
        <v>763182</v>
      </c>
      <c r="X68" s="83">
        <v>2406.886</v>
      </c>
      <c r="Y68" s="86">
        <v>998.96470000000227</v>
      </c>
      <c r="Z68" s="153"/>
      <c r="AA68" s="88"/>
      <c r="AB68" s="132"/>
      <c r="AC68" s="177"/>
      <c r="AD68" s="132"/>
    </row>
    <row r="69" spans="1:33" s="89" customFormat="1" ht="48.75" customHeight="1" x14ac:dyDescent="0.2">
      <c r="A69" s="178" t="s">
        <v>69</v>
      </c>
      <c r="B69" s="163"/>
      <c r="C69" s="173"/>
      <c r="D69" s="176">
        <v>0</v>
      </c>
      <c r="E69" s="176">
        <v>303.15999999999997</v>
      </c>
      <c r="F69" s="83">
        <v>187.93599999999998</v>
      </c>
      <c r="G69" s="179">
        <v>11437</v>
      </c>
      <c r="H69" s="179">
        <v>12316</v>
      </c>
      <c r="I69" s="179">
        <v>10604</v>
      </c>
      <c r="J69" s="83">
        <v>34.356999999999999</v>
      </c>
      <c r="K69" s="179">
        <v>12484</v>
      </c>
      <c r="L69" s="179">
        <v>14111</v>
      </c>
      <c r="M69" s="179">
        <v>20575</v>
      </c>
      <c r="N69" s="83">
        <v>47.17</v>
      </c>
      <c r="O69" s="159">
        <v>81.527000000000001</v>
      </c>
      <c r="P69" s="179">
        <v>18771</v>
      </c>
      <c r="Q69" s="179">
        <v>22912</v>
      </c>
      <c r="R69" s="179">
        <v>21063</v>
      </c>
      <c r="S69" s="83">
        <v>62.746000000000002</v>
      </c>
      <c r="T69" s="159">
        <v>144.273</v>
      </c>
      <c r="U69" s="179">
        <v>17832</v>
      </c>
      <c r="V69" s="179">
        <v>14455</v>
      </c>
      <c r="W69" s="179">
        <v>11376</v>
      </c>
      <c r="X69" s="83">
        <v>43.662999999999997</v>
      </c>
      <c r="Y69" s="86">
        <v>-115.22399999999999</v>
      </c>
      <c r="Z69" s="153"/>
      <c r="AA69" s="88"/>
      <c r="AB69" s="132"/>
      <c r="AC69" s="177"/>
      <c r="AD69" s="132"/>
    </row>
    <row r="70" spans="1:33" s="89" customFormat="1" ht="43.5" customHeight="1" x14ac:dyDescent="0.2">
      <c r="A70" s="178" t="s">
        <v>107</v>
      </c>
      <c r="B70" s="163"/>
      <c r="C70" s="173"/>
      <c r="D70" s="176">
        <v>0</v>
      </c>
      <c r="E70" s="176">
        <v>7982.2093000000004</v>
      </c>
      <c r="F70" s="83">
        <v>9096.3979999999992</v>
      </c>
      <c r="G70" s="179">
        <v>884374</v>
      </c>
      <c r="H70" s="179">
        <v>749826</v>
      </c>
      <c r="I70" s="179">
        <v>666864</v>
      </c>
      <c r="J70" s="83">
        <v>2301.0639999999999</v>
      </c>
      <c r="K70" s="179">
        <v>735900</v>
      </c>
      <c r="L70" s="179">
        <v>774418</v>
      </c>
      <c r="M70" s="179">
        <v>680764</v>
      </c>
      <c r="N70" s="83">
        <v>2191.0819999999999</v>
      </c>
      <c r="O70" s="159">
        <v>4492.1459999999997</v>
      </c>
      <c r="P70" s="179">
        <v>731953</v>
      </c>
      <c r="Q70" s="179">
        <v>724442</v>
      </c>
      <c r="R70" s="179">
        <v>784634</v>
      </c>
      <c r="S70" s="83">
        <v>2241.029</v>
      </c>
      <c r="T70" s="159">
        <v>6733.1749999999993</v>
      </c>
      <c r="U70" s="179">
        <v>797914</v>
      </c>
      <c r="V70" s="179">
        <v>813503</v>
      </c>
      <c r="W70" s="179">
        <v>751806</v>
      </c>
      <c r="X70" s="83">
        <v>2363.223</v>
      </c>
      <c r="Y70" s="86">
        <v>1114.1886999999988</v>
      </c>
      <c r="Z70" s="153"/>
      <c r="AA70" s="88"/>
      <c r="AB70" s="132"/>
      <c r="AC70" s="177"/>
      <c r="AD70" s="132"/>
    </row>
    <row r="71" spans="1:33" ht="18" customHeight="1" x14ac:dyDescent="0.2">
      <c r="A71" s="180" t="s">
        <v>108</v>
      </c>
      <c r="B71" s="181"/>
      <c r="C71" s="182" t="s">
        <v>109</v>
      </c>
      <c r="D71" s="183">
        <v>0</v>
      </c>
      <c r="E71" s="184">
        <v>0</v>
      </c>
      <c r="F71" s="183">
        <v>0</v>
      </c>
      <c r="G71" s="95"/>
      <c r="H71" s="95"/>
      <c r="I71" s="95"/>
      <c r="J71" s="94">
        <v>0</v>
      </c>
      <c r="K71" s="95"/>
      <c r="L71" s="95"/>
      <c r="M71" s="95"/>
      <c r="N71" s="94">
        <v>0</v>
      </c>
      <c r="O71" s="185">
        <v>0</v>
      </c>
      <c r="P71" s="95"/>
      <c r="Q71" s="95"/>
      <c r="R71" s="95"/>
      <c r="S71" s="94">
        <v>0</v>
      </c>
      <c r="T71" s="185">
        <v>0</v>
      </c>
      <c r="U71" s="95"/>
      <c r="V71" s="95"/>
      <c r="W71" s="95"/>
      <c r="X71" s="94">
        <v>0</v>
      </c>
      <c r="Y71" s="69">
        <v>0</v>
      </c>
      <c r="Z71" s="114"/>
      <c r="AA71" s="97">
        <v>3039.3236544641513</v>
      </c>
      <c r="AB71" s="160"/>
      <c r="AC71" s="161">
        <v>11479.897515782479</v>
      </c>
      <c r="AD71" s="160"/>
    </row>
    <row r="72" spans="1:33" s="160" customFormat="1" ht="15.75" x14ac:dyDescent="0.25">
      <c r="A72" s="186" t="s">
        <v>110</v>
      </c>
      <c r="B72" s="187"/>
      <c r="C72" s="105" t="s">
        <v>111</v>
      </c>
      <c r="D72" s="106">
        <v>41081.585101000004</v>
      </c>
      <c r="E72" s="106">
        <v>70954.926009071336</v>
      </c>
      <c r="F72" s="106">
        <v>81602.589989485859</v>
      </c>
      <c r="G72" s="107">
        <v>6091464.9198460318</v>
      </c>
      <c r="H72" s="107">
        <v>5991959.6539635239</v>
      </c>
      <c r="I72" s="107">
        <v>6147384.2018002849</v>
      </c>
      <c r="J72" s="106">
        <v>18230.808775609843</v>
      </c>
      <c r="K72" s="107">
        <v>6707561.3830548227</v>
      </c>
      <c r="L72" s="107">
        <v>6801500.9075716976</v>
      </c>
      <c r="M72" s="107">
        <v>6807557.14582799</v>
      </c>
      <c r="N72" s="106">
        <v>20316.619436454512</v>
      </c>
      <c r="O72" s="108">
        <v>38547.428212064355</v>
      </c>
      <c r="P72" s="107">
        <v>7644405.1735765887</v>
      </c>
      <c r="Q72" s="107">
        <v>8130697.0190598648</v>
      </c>
      <c r="R72" s="107">
        <v>7362553.7965473542</v>
      </c>
      <c r="S72" s="106">
        <v>23137.655989183804</v>
      </c>
      <c r="T72" s="108">
        <v>61685.084201248159</v>
      </c>
      <c r="U72" s="107">
        <v>7206855.065016944</v>
      </c>
      <c r="V72" s="107">
        <v>6489927.5520271556</v>
      </c>
      <c r="W72" s="107">
        <v>6220723.1711935997</v>
      </c>
      <c r="X72" s="106">
        <v>19917.505788237697</v>
      </c>
      <c r="Y72" s="188">
        <v>10647.663980414523</v>
      </c>
      <c r="Z72" s="109"/>
      <c r="AA72" s="189">
        <v>81602.589989485859</v>
      </c>
      <c r="AC72" s="161">
        <v>70824.582259491173</v>
      </c>
    </row>
    <row r="73" spans="1:33" s="160" customFormat="1" ht="15.75" x14ac:dyDescent="0.25">
      <c r="A73" s="190" t="s">
        <v>112</v>
      </c>
      <c r="B73" s="187"/>
      <c r="C73" s="191"/>
      <c r="D73" s="192"/>
      <c r="E73" s="193">
        <v>-2.2612474276684225E-4</v>
      </c>
      <c r="F73" s="194">
        <v>81602.589763361117</v>
      </c>
      <c r="G73" s="195"/>
      <c r="H73" s="195"/>
      <c r="I73" s="195"/>
      <c r="J73" s="196">
        <v>4331419.5247950461</v>
      </c>
      <c r="K73" s="195"/>
      <c r="L73" s="195"/>
      <c r="M73" s="195"/>
      <c r="N73" s="196">
        <v>4480720.3376798499</v>
      </c>
      <c r="O73" s="197">
        <v>2834042.4604994054</v>
      </c>
      <c r="P73" s="195"/>
      <c r="Q73" s="195"/>
      <c r="R73" s="195"/>
      <c r="S73" s="196">
        <v>4278738.3459058451</v>
      </c>
      <c r="T73" s="197">
        <v>2690122.7132338681</v>
      </c>
      <c r="U73" s="195"/>
      <c r="V73" s="195"/>
      <c r="W73" s="195"/>
      <c r="X73" s="196">
        <v>4389778.7287829183</v>
      </c>
      <c r="Y73" s="69"/>
      <c r="Z73" s="109"/>
      <c r="AA73" s="198">
        <v>17480656.937163658</v>
      </c>
      <c r="AB73" s="1"/>
      <c r="AC73" s="1"/>
      <c r="AD73" s="1"/>
    </row>
    <row r="74" spans="1:33" x14ac:dyDescent="0.2">
      <c r="A74" s="199" t="s">
        <v>113</v>
      </c>
      <c r="B74" s="155"/>
      <c r="C74" s="74" t="s">
        <v>114</v>
      </c>
      <c r="D74" s="111">
        <v>13123.636132333337</v>
      </c>
      <c r="E74" s="106">
        <v>14459.857336990199</v>
      </c>
      <c r="F74" s="94">
        <v>16699.409994346774</v>
      </c>
      <c r="G74" s="151">
        <v>774071.32070795074</v>
      </c>
      <c r="H74" s="151">
        <v>1077591.1985264877</v>
      </c>
      <c r="I74" s="151">
        <v>1303707.2752297129</v>
      </c>
      <c r="J74" s="94">
        <v>3155.3697944641513</v>
      </c>
      <c r="K74" s="151">
        <v>814917.9096060656</v>
      </c>
      <c r="L74" s="151">
        <v>1500057.6972829811</v>
      </c>
      <c r="M74" s="151">
        <v>1557714.7667854652</v>
      </c>
      <c r="N74" s="94">
        <v>3872.6903736745121</v>
      </c>
      <c r="O74" s="100">
        <v>7028.0601681386634</v>
      </c>
      <c r="P74" s="151">
        <v>1540072.3838865487</v>
      </c>
      <c r="Q74" s="151">
        <v>1824685.3164772745</v>
      </c>
      <c r="R74" s="151">
        <v>1923971.8659582576</v>
      </c>
      <c r="S74" s="94">
        <v>5288.7295663220812</v>
      </c>
      <c r="T74" s="100">
        <v>12316.789734460745</v>
      </c>
      <c r="U74" s="151">
        <v>1461026.1553068096</v>
      </c>
      <c r="V74" s="151">
        <v>1569501.4417110076</v>
      </c>
      <c r="W74" s="151">
        <v>1352092.6628682138</v>
      </c>
      <c r="X74" s="94">
        <v>4382.6202598860309</v>
      </c>
      <c r="Y74" s="69">
        <v>2239.5526573565749</v>
      </c>
      <c r="Z74" s="96"/>
      <c r="AA74" s="97">
        <v>4382620.259886031</v>
      </c>
    </row>
    <row r="75" spans="1:33" s="205" customFormat="1" ht="16.899999999999999" hidden="1" customHeight="1" x14ac:dyDescent="0.2">
      <c r="A75" s="200" t="s">
        <v>115</v>
      </c>
      <c r="B75" s="92"/>
      <c r="C75" s="201" t="s">
        <v>116</v>
      </c>
      <c r="D75" s="135">
        <v>5680.2287490000035</v>
      </c>
      <c r="E75" s="106">
        <v>-5750.6663695902407</v>
      </c>
      <c r="F75" s="135">
        <v>-5673.8361179076101</v>
      </c>
      <c r="G75" s="202">
        <v>-1016826.925806015</v>
      </c>
      <c r="H75" s="202">
        <v>-714874.9370014125</v>
      </c>
      <c r="I75" s="202">
        <v>-489935.2097640119</v>
      </c>
      <c r="J75" s="135">
        <v>-2221.6370725714396</v>
      </c>
      <c r="K75" s="202">
        <v>-984344.893158664</v>
      </c>
      <c r="L75" s="202">
        <v>-424840.65989932744</v>
      </c>
      <c r="M75" s="202">
        <v>-346919.71402864088</v>
      </c>
      <c r="N75" s="135">
        <v>-1756.1052670866322</v>
      </c>
      <c r="O75" s="135">
        <v>-3977.7423396580716</v>
      </c>
      <c r="P75" s="202">
        <v>-365452.27595843375</v>
      </c>
      <c r="Q75" s="202">
        <v>-81906.399762691231</v>
      </c>
      <c r="R75" s="202">
        <v>-5773.7814542669803</v>
      </c>
      <c r="S75" s="135">
        <v>-453.13245717539195</v>
      </c>
      <c r="T75" s="135">
        <v>-4430.8747968334637</v>
      </c>
      <c r="U75" s="202">
        <v>-415197.81120236171</v>
      </c>
      <c r="V75" s="202">
        <v>-306701.84916044027</v>
      </c>
      <c r="W75" s="202">
        <v>-521061.66071134456</v>
      </c>
      <c r="X75" s="135">
        <v>-1242.9613210741466</v>
      </c>
      <c r="Y75" s="203">
        <v>76.83025168263066</v>
      </c>
      <c r="Z75" s="204"/>
    </row>
    <row r="76" spans="1:33" x14ac:dyDescent="0.2">
      <c r="A76" s="31" t="s">
        <v>117</v>
      </c>
      <c r="B76" s="99"/>
      <c r="C76" s="74" t="s">
        <v>118</v>
      </c>
      <c r="D76" s="94">
        <v>3784.6361323333367</v>
      </c>
      <c r="E76" s="106">
        <v>0.45157402473626007</v>
      </c>
      <c r="F76" s="94">
        <v>0.45680165853019616</v>
      </c>
      <c r="G76" s="94">
        <v>-589810.65213206573</v>
      </c>
      <c r="H76" s="94">
        <v>-286647.02040562261</v>
      </c>
      <c r="I76" s="94">
        <v>-63005.851656560495</v>
      </c>
      <c r="J76" s="94">
        <v>-939.46352419424898</v>
      </c>
      <c r="K76" s="94">
        <v>-587874.8979860926</v>
      </c>
      <c r="L76" s="94">
        <v>99616.205584611336</v>
      </c>
      <c r="M76" s="94">
        <v>156605.69594411703</v>
      </c>
      <c r="N76" s="94">
        <v>-331.65299645736422</v>
      </c>
      <c r="O76" s="100">
        <v>-1271.1165206516132</v>
      </c>
      <c r="P76" s="94">
        <v>115765.22008239327</v>
      </c>
      <c r="Q76" s="94">
        <v>400515.42718610144</v>
      </c>
      <c r="R76" s="94">
        <v>498759.27141117048</v>
      </c>
      <c r="S76" s="94">
        <v>1015.0399186796652</v>
      </c>
      <c r="T76" s="100">
        <v>-256.07660197194798</v>
      </c>
      <c r="U76" s="94">
        <v>14531.231330227107</v>
      </c>
      <c r="V76" s="94">
        <v>241415.84884429257</v>
      </c>
      <c r="W76" s="94">
        <v>586.32345595851075</v>
      </c>
      <c r="X76" s="94">
        <v>256.53340363047818</v>
      </c>
      <c r="Y76" s="69">
        <v>5.2276337939360928E-3</v>
      </c>
      <c r="Z76" s="96"/>
    </row>
    <row r="77" spans="1:33" ht="26.45" customHeight="1" x14ac:dyDescent="0.2">
      <c r="A77" s="72" t="s">
        <v>119</v>
      </c>
      <c r="B77" s="92"/>
      <c r="C77" s="93" t="s">
        <v>120</v>
      </c>
      <c r="D77" s="94">
        <v>3980.4318223333375</v>
      </c>
      <c r="E77" s="106">
        <v>0</v>
      </c>
      <c r="F77" s="94">
        <v>0.45680165852996879</v>
      </c>
      <c r="G77" s="95">
        <v>-589810.65213206573</v>
      </c>
      <c r="H77" s="95">
        <v>-286647.02040562266</v>
      </c>
      <c r="I77" s="95">
        <v>-63005.851656560495</v>
      </c>
      <c r="J77" s="94">
        <v>-939.46352419424898</v>
      </c>
      <c r="K77" s="95">
        <v>-587874.89798609272</v>
      </c>
      <c r="L77" s="95">
        <v>99616.205584611336</v>
      </c>
      <c r="M77" s="95">
        <v>156605.69594411703</v>
      </c>
      <c r="N77" s="94">
        <v>-331.65299645736434</v>
      </c>
      <c r="O77" s="100">
        <v>-1271.1165206516134</v>
      </c>
      <c r="P77" s="95">
        <v>115765.22008239327</v>
      </c>
      <c r="Q77" s="95">
        <v>400515.42718610144</v>
      </c>
      <c r="R77" s="95">
        <v>498759.27141117048</v>
      </c>
      <c r="S77" s="94">
        <v>1015.0399186796652</v>
      </c>
      <c r="T77" s="100">
        <v>-256.07660197194821</v>
      </c>
      <c r="U77" s="95">
        <v>14531.231330227107</v>
      </c>
      <c r="V77" s="95">
        <v>241415.84884429257</v>
      </c>
      <c r="W77" s="95">
        <v>586.32345595851075</v>
      </c>
      <c r="X77" s="94">
        <v>256.53340363047818</v>
      </c>
      <c r="Y77" s="69">
        <v>0.45680165852996879</v>
      </c>
      <c r="Z77" s="96"/>
      <c r="AA77" s="97">
        <v>-5886.5790372414776</v>
      </c>
    </row>
    <row r="78" spans="1:33" x14ac:dyDescent="0.2">
      <c r="A78" s="72" t="s">
        <v>121</v>
      </c>
      <c r="B78" s="99"/>
      <c r="C78" s="93" t="s">
        <v>122</v>
      </c>
      <c r="D78" s="94">
        <v>-716</v>
      </c>
      <c r="E78" s="106">
        <v>0.45157402473637376</v>
      </c>
      <c r="F78" s="94">
        <v>0</v>
      </c>
      <c r="G78" s="95"/>
      <c r="H78" s="95"/>
      <c r="I78" s="95"/>
      <c r="J78" s="94">
        <v>0</v>
      </c>
      <c r="K78" s="95"/>
      <c r="L78" s="95"/>
      <c r="M78" s="95"/>
      <c r="N78" s="94">
        <v>0</v>
      </c>
      <c r="O78" s="100">
        <v>0</v>
      </c>
      <c r="P78" s="95"/>
      <c r="Q78" s="95"/>
      <c r="R78" s="95"/>
      <c r="S78" s="94">
        <v>0</v>
      </c>
      <c r="T78" s="100">
        <v>0</v>
      </c>
      <c r="U78" s="95"/>
      <c r="V78" s="95"/>
      <c r="W78" s="95"/>
      <c r="X78" s="94">
        <v>0</v>
      </c>
      <c r="Y78" s="69">
        <v>-0.45157402473637376</v>
      </c>
      <c r="Z78" s="96"/>
    </row>
    <row r="79" spans="1:33" s="205" customFormat="1" hidden="1" x14ac:dyDescent="0.2">
      <c r="A79" s="206" t="s">
        <v>123</v>
      </c>
      <c r="B79" s="99"/>
      <c r="C79" s="207"/>
      <c r="D79" s="135">
        <v>3264.4318223333375</v>
      </c>
      <c r="E79" s="106">
        <v>0</v>
      </c>
      <c r="F79" s="135">
        <v>0.45680165852996879</v>
      </c>
      <c r="G79" s="202">
        <v>-589810.65213206573</v>
      </c>
      <c r="H79" s="202">
        <v>-286647.02040562266</v>
      </c>
      <c r="I79" s="202">
        <v>-63005.851656560495</v>
      </c>
      <c r="J79" s="135">
        <v>-939.46352419424898</v>
      </c>
      <c r="K79" s="202">
        <v>-587874.89798609272</v>
      </c>
      <c r="L79" s="202">
        <v>99616.205584611336</v>
      </c>
      <c r="M79" s="202">
        <v>156605.69594411703</v>
      </c>
      <c r="N79" s="135">
        <v>-331.65299645736434</v>
      </c>
      <c r="O79" s="135">
        <v>-1271.1165206516134</v>
      </c>
      <c r="P79" s="202">
        <v>115765.22008239327</v>
      </c>
      <c r="Q79" s="202">
        <v>400515.42718610144</v>
      </c>
      <c r="R79" s="202">
        <v>498759.27141117048</v>
      </c>
      <c r="S79" s="135">
        <v>1015.0399186796652</v>
      </c>
      <c r="T79" s="135">
        <v>-256.07660197194821</v>
      </c>
      <c r="U79" s="202">
        <v>14531.231330227107</v>
      </c>
      <c r="V79" s="202">
        <v>241415.84884429257</v>
      </c>
      <c r="W79" s="202">
        <v>586.32345595851075</v>
      </c>
      <c r="X79" s="135">
        <v>256.53340363047818</v>
      </c>
      <c r="Y79" s="203">
        <v>0.45680165852996879</v>
      </c>
      <c r="Z79" s="204"/>
      <c r="AC79" s="102"/>
    </row>
    <row r="80" spans="1:33" x14ac:dyDescent="0.2">
      <c r="A80" s="208" t="s">
        <v>124</v>
      </c>
      <c r="B80" s="209"/>
      <c r="C80" s="93" t="s">
        <v>125</v>
      </c>
      <c r="D80" s="106">
        <v>3264.4318223333375</v>
      </c>
      <c r="E80" s="210">
        <v>0.45157402473637376</v>
      </c>
      <c r="F80" s="210">
        <v>0.45680165852996879</v>
      </c>
      <c r="G80" s="107">
        <v>-589810.65213206573</v>
      </c>
      <c r="H80" s="107">
        <v>-286647.02040562266</v>
      </c>
      <c r="I80" s="107">
        <v>-63005.851656560495</v>
      </c>
      <c r="J80" s="106">
        <v>-939.46352419424898</v>
      </c>
      <c r="K80" s="107">
        <v>-587874.89798609272</v>
      </c>
      <c r="L80" s="107">
        <v>99616.205584611336</v>
      </c>
      <c r="M80" s="107">
        <v>156605.69594411703</v>
      </c>
      <c r="N80" s="106">
        <v>-331.65299645736434</v>
      </c>
      <c r="O80" s="108">
        <v>-1271.1165206516134</v>
      </c>
      <c r="P80" s="107">
        <v>115765.22008239327</v>
      </c>
      <c r="Q80" s="107">
        <v>400515.42718610144</v>
      </c>
      <c r="R80" s="107">
        <v>498759.27141117048</v>
      </c>
      <c r="S80" s="106">
        <v>1015.0399186796652</v>
      </c>
      <c r="T80" s="108">
        <v>-256.07660197194821</v>
      </c>
      <c r="U80" s="107">
        <v>14531.231330227107</v>
      </c>
      <c r="V80" s="107">
        <v>241415.84884429257</v>
      </c>
      <c r="W80" s="107">
        <v>586.32345595851075</v>
      </c>
      <c r="X80" s="106">
        <v>256.53340363047818</v>
      </c>
      <c r="Y80" s="69">
        <v>5.2276337935950323E-3</v>
      </c>
      <c r="Z80" s="109"/>
      <c r="AA80" s="211">
        <v>0.45680165852536447</v>
      </c>
      <c r="AG80" s="1">
        <v>0.44794703749539622</v>
      </c>
    </row>
    <row r="81" spans="1:33" s="148" customFormat="1" ht="15.75" x14ac:dyDescent="0.25">
      <c r="A81" s="1939" t="s">
        <v>126</v>
      </c>
      <c r="B81" s="1940"/>
      <c r="C81" s="1940"/>
      <c r="D81" s="1940"/>
      <c r="E81" s="1940"/>
      <c r="F81" s="1940"/>
      <c r="G81" s="1940"/>
      <c r="H81" s="1940"/>
      <c r="I81" s="1940"/>
      <c r="J81" s="1940"/>
      <c r="K81" s="1940"/>
      <c r="L81" s="1940"/>
      <c r="M81" s="1940"/>
      <c r="N81" s="1940"/>
      <c r="O81" s="1940"/>
      <c r="P81" s="1940"/>
      <c r="Q81" s="1940"/>
      <c r="R81" s="1940"/>
      <c r="S81" s="1940"/>
      <c r="T81" s="1940"/>
      <c r="U81" s="1940"/>
      <c r="V81" s="1940"/>
      <c r="W81" s="1940"/>
      <c r="X81" s="1940"/>
      <c r="Y81" s="1941"/>
      <c r="Z81" s="152"/>
      <c r="AB81" s="1"/>
      <c r="AC81" s="1"/>
      <c r="AD81" s="1"/>
      <c r="AG81" s="212">
        <v>8.854621034572574E-3</v>
      </c>
    </row>
    <row r="82" spans="1:33" x14ac:dyDescent="0.2">
      <c r="A82" s="98" t="s">
        <v>127</v>
      </c>
      <c r="B82" s="99"/>
      <c r="C82" s="74" t="s">
        <v>128</v>
      </c>
      <c r="D82" s="213"/>
      <c r="E82" s="213"/>
      <c r="F82" s="135"/>
      <c r="G82" s="95"/>
      <c r="H82" s="95"/>
      <c r="I82" s="95"/>
      <c r="J82" s="94"/>
      <c r="K82" s="95"/>
      <c r="L82" s="95"/>
      <c r="M82" s="95"/>
      <c r="N82" s="94"/>
      <c r="O82" s="94"/>
      <c r="P82" s="95"/>
      <c r="Q82" s="95"/>
      <c r="R82" s="95"/>
      <c r="S82" s="94"/>
      <c r="T82" s="94"/>
      <c r="U82" s="95"/>
      <c r="V82" s="95"/>
      <c r="W82" s="95"/>
      <c r="X82" s="94"/>
      <c r="Y82" s="94"/>
      <c r="Z82" s="96"/>
      <c r="AA82" s="97">
        <v>0.45680165852536447</v>
      </c>
    </row>
    <row r="83" spans="1:33" x14ac:dyDescent="0.2">
      <c r="A83" s="98" t="s">
        <v>129</v>
      </c>
      <c r="B83" s="99"/>
      <c r="C83" s="93" t="s">
        <v>130</v>
      </c>
      <c r="D83" s="214"/>
      <c r="E83" s="214"/>
      <c r="F83" s="215"/>
      <c r="G83" s="95"/>
      <c r="H83" s="95"/>
      <c r="I83" s="95"/>
      <c r="J83" s="94"/>
      <c r="K83" s="95"/>
      <c r="L83" s="95"/>
      <c r="M83" s="95"/>
      <c r="N83" s="94"/>
      <c r="O83" s="100"/>
      <c r="P83" s="95"/>
      <c r="Q83" s="95"/>
      <c r="R83" s="95"/>
      <c r="S83" s="94"/>
      <c r="T83" s="100"/>
      <c r="U83" s="95"/>
      <c r="V83" s="95"/>
      <c r="W83" s="95"/>
      <c r="X83" s="94"/>
      <c r="Y83" s="94"/>
      <c r="Z83" s="96"/>
      <c r="AA83" s="97">
        <v>3504.0757638913637</v>
      </c>
    </row>
    <row r="84" spans="1:33" x14ac:dyDescent="0.2">
      <c r="A84" s="98" t="s">
        <v>131</v>
      </c>
      <c r="B84" s="99"/>
      <c r="C84" s="93" t="s">
        <v>132</v>
      </c>
      <c r="D84" s="216"/>
      <c r="E84" s="216"/>
      <c r="F84" s="94"/>
      <c r="G84" s="95"/>
      <c r="H84" s="95"/>
      <c r="I84" s="95"/>
      <c r="J84" s="94"/>
      <c r="K84" s="95"/>
      <c r="L84" s="95"/>
      <c r="M84" s="95"/>
      <c r="N84" s="94"/>
      <c r="O84" s="100"/>
      <c r="P84" s="95"/>
      <c r="Q84" s="95"/>
      <c r="R84" s="95"/>
      <c r="S84" s="94"/>
      <c r="T84" s="100"/>
      <c r="U84" s="95"/>
      <c r="V84" s="95"/>
      <c r="W84" s="95"/>
      <c r="X84" s="94"/>
      <c r="Y84" s="94"/>
      <c r="Z84" s="96"/>
    </row>
    <row r="85" spans="1:33" s="160" customFormat="1" ht="13.5" customHeight="1" x14ac:dyDescent="0.2">
      <c r="A85" s="103" t="s">
        <v>133</v>
      </c>
      <c r="B85" s="209"/>
      <c r="C85" s="105" t="s">
        <v>134</v>
      </c>
      <c r="D85" s="218">
        <v>2584</v>
      </c>
      <c r="E85" s="218"/>
      <c r="F85" s="106"/>
      <c r="G85" s="107"/>
      <c r="H85" s="107"/>
      <c r="I85" s="107"/>
      <c r="J85" s="106"/>
      <c r="K85" s="107"/>
      <c r="L85" s="107"/>
      <c r="M85" s="107"/>
      <c r="N85" s="106"/>
      <c r="O85" s="108"/>
      <c r="P85" s="107"/>
      <c r="Q85" s="107"/>
      <c r="R85" s="107"/>
      <c r="S85" s="106"/>
      <c r="T85" s="108"/>
      <c r="U85" s="107"/>
      <c r="V85" s="107"/>
      <c r="W85" s="107"/>
      <c r="X85" s="106"/>
      <c r="Y85" s="106"/>
      <c r="Z85" s="109"/>
      <c r="AA85" s="110"/>
    </row>
    <row r="86" spans="1:33" s="148" customFormat="1" ht="15.75" x14ac:dyDescent="0.25">
      <c r="A86" s="1939" t="s">
        <v>135</v>
      </c>
      <c r="B86" s="1940"/>
      <c r="C86" s="1940"/>
      <c r="D86" s="1940"/>
      <c r="E86" s="1940"/>
      <c r="F86" s="1940"/>
      <c r="G86" s="1940"/>
      <c r="H86" s="1940"/>
      <c r="I86" s="1940"/>
      <c r="J86" s="1940"/>
      <c r="K86" s="1940"/>
      <c r="L86" s="1940"/>
      <c r="M86" s="1940"/>
      <c r="N86" s="1940"/>
      <c r="O86" s="1940"/>
      <c r="P86" s="1940"/>
      <c r="Q86" s="1940"/>
      <c r="R86" s="1940"/>
      <c r="S86" s="1940"/>
      <c r="T86" s="1940"/>
      <c r="U86" s="1940"/>
      <c r="V86" s="1940"/>
      <c r="W86" s="1940"/>
      <c r="X86" s="1940"/>
      <c r="Y86" s="1941"/>
      <c r="Z86" s="152"/>
      <c r="AB86" s="1"/>
      <c r="AC86" s="1"/>
      <c r="AD86" s="1"/>
    </row>
    <row r="87" spans="1:33" s="160" customFormat="1" x14ac:dyDescent="0.2">
      <c r="A87" s="208" t="s">
        <v>136</v>
      </c>
      <c r="B87" s="209"/>
      <c r="C87" s="219" t="s">
        <v>116</v>
      </c>
      <c r="D87" s="220"/>
      <c r="E87" s="220"/>
      <c r="F87" s="221"/>
      <c r="G87" s="107"/>
      <c r="H87" s="107"/>
      <c r="I87" s="107"/>
      <c r="J87" s="106"/>
      <c r="K87" s="107"/>
      <c r="L87" s="107"/>
      <c r="M87" s="107"/>
      <c r="N87" s="106"/>
      <c r="O87" s="106"/>
      <c r="P87" s="107"/>
      <c r="Q87" s="107"/>
      <c r="R87" s="107"/>
      <c r="S87" s="106"/>
      <c r="T87" s="106"/>
      <c r="U87" s="107"/>
      <c r="V87" s="107"/>
      <c r="W87" s="107"/>
      <c r="X87" s="106"/>
      <c r="Y87" s="106"/>
      <c r="Z87" s="109"/>
      <c r="AA87" s="189">
        <v>16480.35017037853</v>
      </c>
    </row>
    <row r="88" spans="1:33" s="160" customFormat="1" ht="13.5" x14ac:dyDescent="0.25">
      <c r="A88" s="208" t="s">
        <v>137</v>
      </c>
      <c r="B88" s="209"/>
      <c r="C88" s="105" t="s">
        <v>138</v>
      </c>
      <c r="D88" s="222"/>
      <c r="E88" s="222"/>
      <c r="F88" s="210"/>
      <c r="G88" s="107"/>
      <c r="H88" s="107"/>
      <c r="I88" s="107"/>
      <c r="J88" s="106"/>
      <c r="K88" s="107"/>
      <c r="L88" s="107"/>
      <c r="M88" s="107"/>
      <c r="N88" s="106"/>
      <c r="O88" s="108"/>
      <c r="P88" s="107"/>
      <c r="Q88" s="107"/>
      <c r="R88" s="107"/>
      <c r="S88" s="106"/>
      <c r="T88" s="108"/>
      <c r="U88" s="107"/>
      <c r="V88" s="107"/>
      <c r="W88" s="107"/>
      <c r="X88" s="106"/>
      <c r="Y88" s="106"/>
      <c r="Z88" s="109"/>
      <c r="AA88" s="189">
        <v>-70955.377645179964</v>
      </c>
    </row>
    <row r="89" spans="1:33" s="160" customFormat="1" x14ac:dyDescent="0.2">
      <c r="A89" s="208" t="s">
        <v>139</v>
      </c>
      <c r="B89" s="209"/>
      <c r="C89" s="105" t="s">
        <v>140</v>
      </c>
      <c r="D89" s="218">
        <v>1981.35582</v>
      </c>
      <c r="E89" s="223"/>
      <c r="F89" s="106"/>
      <c r="G89" s="107"/>
      <c r="H89" s="107"/>
      <c r="I89" s="107"/>
      <c r="J89" s="106"/>
      <c r="K89" s="107"/>
      <c r="L89" s="107"/>
      <c r="M89" s="107"/>
      <c r="N89" s="106"/>
      <c r="O89" s="108"/>
      <c r="P89" s="107"/>
      <c r="Q89" s="107"/>
      <c r="R89" s="107"/>
      <c r="S89" s="106"/>
      <c r="T89" s="108"/>
      <c r="U89" s="107"/>
      <c r="V89" s="107"/>
      <c r="W89" s="107"/>
      <c r="X89" s="106"/>
      <c r="Y89" s="106"/>
      <c r="Z89" s="109"/>
      <c r="AA89" s="110"/>
    </row>
    <row r="90" spans="1:33" ht="12" customHeight="1" x14ac:dyDescent="0.2">
      <c r="A90" s="72" t="s">
        <v>141</v>
      </c>
      <c r="B90" s="99"/>
      <c r="C90" s="93" t="s">
        <v>142</v>
      </c>
      <c r="D90" s="94">
        <v>1122.8260929999999</v>
      </c>
      <c r="E90" s="216"/>
      <c r="F90" s="94"/>
      <c r="G90" s="95"/>
      <c r="H90" s="95"/>
      <c r="I90" s="95"/>
      <c r="J90" s="94"/>
      <c r="K90" s="95"/>
      <c r="L90" s="95"/>
      <c r="M90" s="95"/>
      <c r="N90" s="94"/>
      <c r="O90" s="100"/>
      <c r="P90" s="95"/>
      <c r="Q90" s="95"/>
      <c r="R90" s="95"/>
      <c r="S90" s="94"/>
      <c r="T90" s="100"/>
      <c r="U90" s="95"/>
      <c r="V90" s="95"/>
      <c r="W90" s="95"/>
      <c r="X90" s="94"/>
      <c r="Y90" s="94"/>
      <c r="Z90" s="96"/>
    </row>
    <row r="91" spans="1:33" x14ac:dyDescent="0.2">
      <c r="A91" s="72" t="s">
        <v>143</v>
      </c>
      <c r="B91" s="99"/>
      <c r="C91" s="93" t="s">
        <v>144</v>
      </c>
      <c r="D91" s="94">
        <v>716</v>
      </c>
      <c r="E91" s="216"/>
      <c r="F91" s="94"/>
      <c r="G91" s="95"/>
      <c r="H91" s="95"/>
      <c r="I91" s="95"/>
      <c r="J91" s="94"/>
      <c r="K91" s="95"/>
      <c r="L91" s="95"/>
      <c r="M91" s="95"/>
      <c r="N91" s="94"/>
      <c r="O91" s="100"/>
      <c r="P91" s="95"/>
      <c r="Q91" s="95"/>
      <c r="R91" s="95"/>
      <c r="S91" s="94"/>
      <c r="T91" s="100"/>
      <c r="U91" s="95"/>
      <c r="V91" s="95"/>
      <c r="W91" s="95"/>
      <c r="X91" s="94"/>
      <c r="Y91" s="94"/>
      <c r="Z91" s="96"/>
    </row>
    <row r="92" spans="1:33" x14ac:dyDescent="0.2">
      <c r="A92" s="224" t="s">
        <v>145</v>
      </c>
      <c r="C92" s="74"/>
      <c r="D92" s="94">
        <v>142.52972700000001</v>
      </c>
      <c r="E92" s="216"/>
      <c r="F92" s="94"/>
      <c r="G92" s="95"/>
      <c r="H92" s="95"/>
      <c r="I92" s="95"/>
      <c r="J92" s="94"/>
      <c r="K92" s="95"/>
      <c r="L92" s="95"/>
      <c r="M92" s="95"/>
      <c r="N92" s="94"/>
      <c r="O92" s="100"/>
      <c r="P92" s="95"/>
      <c r="Q92" s="95"/>
      <c r="R92" s="95"/>
      <c r="S92" s="94"/>
      <c r="T92" s="100"/>
      <c r="U92" s="95"/>
      <c r="V92" s="95"/>
      <c r="W92" s="95"/>
      <c r="X92" s="94"/>
      <c r="Y92" s="94"/>
      <c r="Z92" s="96"/>
    </row>
    <row r="93" spans="1:33" x14ac:dyDescent="0.2">
      <c r="A93" s="23"/>
      <c r="C93" s="225"/>
      <c r="F93" s="96"/>
      <c r="G93" s="226"/>
      <c r="H93" s="226"/>
      <c r="I93" s="226"/>
      <c r="J93" s="96"/>
      <c r="K93" s="226"/>
      <c r="L93" s="226"/>
      <c r="M93" s="226"/>
      <c r="N93" s="96"/>
      <c r="O93" s="227"/>
      <c r="P93" s="226"/>
      <c r="Q93" s="226"/>
      <c r="R93" s="226"/>
      <c r="S93" s="96"/>
      <c r="T93" s="227"/>
      <c r="U93" s="226"/>
      <c r="V93" s="226"/>
      <c r="W93" s="226"/>
      <c r="X93" s="96"/>
      <c r="Y93" s="96"/>
      <c r="Z93" s="96"/>
    </row>
    <row r="94" spans="1:33" x14ac:dyDescent="0.2">
      <c r="A94" s="23"/>
      <c r="C94" s="225"/>
      <c r="F94" s="96"/>
      <c r="G94" s="226"/>
      <c r="H94" s="226"/>
      <c r="I94" s="226"/>
      <c r="J94" s="96"/>
      <c r="K94" s="226"/>
      <c r="L94" s="226"/>
      <c r="M94" s="226"/>
      <c r="N94" s="96"/>
      <c r="O94" s="227"/>
      <c r="P94" s="226"/>
      <c r="Q94" s="226"/>
      <c r="R94" s="226"/>
      <c r="S94" s="96"/>
      <c r="T94" s="227"/>
      <c r="U94" s="226"/>
      <c r="V94" s="226"/>
      <c r="W94" s="226"/>
      <c r="X94" s="96"/>
      <c r="Y94" s="96"/>
      <c r="Z94" s="96"/>
    </row>
    <row r="95" spans="1:33" ht="19.5" customHeight="1" x14ac:dyDescent="0.25">
      <c r="A95" s="1934" t="s">
        <v>1537</v>
      </c>
      <c r="B95" s="229"/>
      <c r="C95" s="230"/>
      <c r="F95" s="231"/>
      <c r="G95" s="230"/>
      <c r="H95" s="230"/>
      <c r="I95" s="230"/>
      <c r="K95" s="230"/>
      <c r="L95" s="230"/>
      <c r="M95" s="230"/>
      <c r="N95" s="525" t="s">
        <v>1538</v>
      </c>
      <c r="O95" s="525"/>
      <c r="P95" s="525"/>
      <c r="Q95" s="525"/>
      <c r="R95" s="525"/>
      <c r="S95" s="525"/>
      <c r="T95" s="525" t="s">
        <v>1538</v>
      </c>
      <c r="U95" s="525"/>
      <c r="V95" s="525"/>
      <c r="W95" s="525"/>
      <c r="X95" s="525"/>
      <c r="Y95" s="525"/>
      <c r="Z95" s="230"/>
      <c r="AA95" s="1"/>
    </row>
    <row r="96" spans="1:33" ht="19.5" hidden="1" customHeight="1" x14ac:dyDescent="0.2">
      <c r="A96" s="231"/>
      <c r="B96" s="234"/>
      <c r="C96" s="235">
        <v>711.00397087776878</v>
      </c>
      <c r="I96" s="230"/>
      <c r="K96" s="230"/>
      <c r="L96" s="230"/>
      <c r="M96" s="230"/>
      <c r="N96" s="230"/>
      <c r="O96" s="232"/>
      <c r="P96" s="230"/>
      <c r="Q96" s="230"/>
      <c r="R96" s="230"/>
      <c r="S96" s="236"/>
      <c r="T96" s="232"/>
      <c r="U96" s="230"/>
      <c r="V96" s="230"/>
      <c r="W96" s="230"/>
      <c r="X96" s="230"/>
      <c r="Y96" s="230"/>
      <c r="Z96" s="230"/>
      <c r="AA96" s="1"/>
    </row>
    <row r="97" spans="1:3" hidden="1" x14ac:dyDescent="0.2">
      <c r="A97" s="139">
        <v>13184.51764652</v>
      </c>
      <c r="B97" s="237"/>
      <c r="C97" s="1">
        <v>6332.4044060413717</v>
      </c>
    </row>
    <row r="98" spans="1:3" hidden="1" x14ac:dyDescent="0.2">
      <c r="A98" s="1">
        <v>4171.5448442800007</v>
      </c>
      <c r="C98" s="3">
        <v>1223.353432292289</v>
      </c>
    </row>
    <row r="99" spans="1:3" hidden="1" x14ac:dyDescent="0.2">
      <c r="A99" s="139">
        <v>9012.9728022399995</v>
      </c>
      <c r="B99" s="237"/>
      <c r="C99" s="3">
        <v>5109.0509737490829</v>
      </c>
    </row>
  </sheetData>
  <mergeCells count="27">
    <mergeCell ref="S14:X14"/>
    <mergeCell ref="A86:Y86"/>
    <mergeCell ref="S16:X16"/>
    <mergeCell ref="A18:X18"/>
    <mergeCell ref="A19:X19"/>
    <mergeCell ref="A23:A24"/>
    <mergeCell ref="C23:C24"/>
    <mergeCell ref="D23:D24"/>
    <mergeCell ref="E23:E24"/>
    <mergeCell ref="F23:F24"/>
    <mergeCell ref="J23:X23"/>
    <mergeCell ref="F1:X1"/>
    <mergeCell ref="F2:X2"/>
    <mergeCell ref="F3:X3"/>
    <mergeCell ref="Y23:Y24"/>
    <mergeCell ref="A81:Y81"/>
    <mergeCell ref="S15:X15"/>
    <mergeCell ref="S4:X4"/>
    <mergeCell ref="S5:X5"/>
    <mergeCell ref="S6:X6"/>
    <mergeCell ref="S7:X7"/>
    <mergeCell ref="S8:X8"/>
    <mergeCell ref="S9:X9"/>
    <mergeCell ref="S10:X10"/>
    <mergeCell ref="S11:X11"/>
    <mergeCell ref="S12:X12"/>
    <mergeCell ref="S13:X13"/>
  </mergeCells>
  <pageMargins left="0.70866141732283472" right="0.70866141732283472" top="0.74803149606299213" bottom="0.74803149606299213" header="0.31496062992125984" footer="0.31496062992125984"/>
  <pageSetup paperSize="9" scale="70" fitToHeight="0"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111"/>
  <sheetViews>
    <sheetView view="pageBreakPreview" topLeftCell="A6" zoomScale="60" zoomScaleNormal="100" workbookViewId="0">
      <selection activeCell="AA94" sqref="AA94"/>
    </sheetView>
  </sheetViews>
  <sheetFormatPr defaultColWidth="8.7109375" defaultRowHeight="12.75" x14ac:dyDescent="0.2"/>
  <cols>
    <col min="1" max="1" width="1.85546875" style="148" customWidth="1"/>
    <col min="2" max="2" width="6.28515625" style="148" customWidth="1"/>
    <col min="3" max="3" width="55.7109375" style="148" customWidth="1"/>
    <col min="4" max="4" width="10.42578125" style="148" customWidth="1"/>
    <col min="5" max="5" width="5.5703125" style="148" customWidth="1"/>
    <col min="6" max="6" width="11.7109375" style="148" customWidth="1"/>
    <col min="7" max="7" width="11.5703125" style="148" customWidth="1"/>
    <col min="8" max="8" width="21.85546875" style="148" customWidth="1"/>
    <col min="9" max="9" width="14.5703125" style="148" customWidth="1"/>
    <col min="10" max="10" width="10.140625" style="148" customWidth="1"/>
    <col min="11" max="11" width="14.85546875" style="148" customWidth="1"/>
    <col min="12" max="12" width="1.42578125" style="148" customWidth="1"/>
    <col min="13" max="13" width="0" style="148" hidden="1" customWidth="1"/>
    <col min="14" max="14" width="11" style="148" hidden="1" customWidth="1"/>
    <col min="15" max="23" width="0" style="148" hidden="1" customWidth="1"/>
    <col min="24" max="256" width="8.7109375" style="148"/>
    <col min="257" max="257" width="1.85546875" style="148" customWidth="1"/>
    <col min="258" max="258" width="6.28515625" style="148" customWidth="1"/>
    <col min="259" max="259" width="55.7109375" style="148" customWidth="1"/>
    <col min="260" max="260" width="10.42578125" style="148" customWidth="1"/>
    <col min="261" max="261" width="5.5703125" style="148" customWidth="1"/>
    <col min="262" max="262" width="11.7109375" style="148" customWidth="1"/>
    <col min="263" max="263" width="11.5703125" style="148" customWidth="1"/>
    <col min="264" max="264" width="21.85546875" style="148" customWidth="1"/>
    <col min="265" max="265" width="14.5703125" style="148" customWidth="1"/>
    <col min="266" max="266" width="10.140625" style="148" customWidth="1"/>
    <col min="267" max="267" width="14.85546875" style="148" customWidth="1"/>
    <col min="268" max="268" width="1.42578125" style="148" customWidth="1"/>
    <col min="269" max="278" width="0" style="148" hidden="1" customWidth="1"/>
    <col min="279" max="512" width="8.7109375" style="148"/>
    <col min="513" max="513" width="1.85546875" style="148" customWidth="1"/>
    <col min="514" max="514" width="6.28515625" style="148" customWidth="1"/>
    <col min="515" max="515" width="55.7109375" style="148" customWidth="1"/>
    <col min="516" max="516" width="10.42578125" style="148" customWidth="1"/>
    <col min="517" max="517" width="5.5703125" style="148" customWidth="1"/>
    <col min="518" max="518" width="11.7109375" style="148" customWidth="1"/>
    <col min="519" max="519" width="11.5703125" style="148" customWidth="1"/>
    <col min="520" max="520" width="21.85546875" style="148" customWidth="1"/>
    <col min="521" max="521" width="14.5703125" style="148" customWidth="1"/>
    <col min="522" max="522" width="10.140625" style="148" customWidth="1"/>
    <col min="523" max="523" width="14.85546875" style="148" customWidth="1"/>
    <col min="524" max="524" width="1.42578125" style="148" customWidth="1"/>
    <col min="525" max="534" width="0" style="148" hidden="1" customWidth="1"/>
    <col min="535" max="768" width="8.7109375" style="148"/>
    <col min="769" max="769" width="1.85546875" style="148" customWidth="1"/>
    <col min="770" max="770" width="6.28515625" style="148" customWidth="1"/>
    <col min="771" max="771" width="55.7109375" style="148" customWidth="1"/>
    <col min="772" max="772" width="10.42578125" style="148" customWidth="1"/>
    <col min="773" max="773" width="5.5703125" style="148" customWidth="1"/>
    <col min="774" max="774" width="11.7109375" style="148" customWidth="1"/>
    <col min="775" max="775" width="11.5703125" style="148" customWidth="1"/>
    <col min="776" max="776" width="21.85546875" style="148" customWidth="1"/>
    <col min="777" max="777" width="14.5703125" style="148" customWidth="1"/>
    <col min="778" max="778" width="10.140625" style="148" customWidth="1"/>
    <col min="779" max="779" width="14.85546875" style="148" customWidth="1"/>
    <col min="780" max="780" width="1.42578125" style="148" customWidth="1"/>
    <col min="781" max="790" width="0" style="148" hidden="1" customWidth="1"/>
    <col min="791" max="1024" width="8.7109375" style="148"/>
    <col min="1025" max="1025" width="1.85546875" style="148" customWidth="1"/>
    <col min="1026" max="1026" width="6.28515625" style="148" customWidth="1"/>
    <col min="1027" max="1027" width="55.7109375" style="148" customWidth="1"/>
    <col min="1028" max="1028" width="10.42578125" style="148" customWidth="1"/>
    <col min="1029" max="1029" width="5.5703125" style="148" customWidth="1"/>
    <col min="1030" max="1030" width="11.7109375" style="148" customWidth="1"/>
    <col min="1031" max="1031" width="11.5703125" style="148" customWidth="1"/>
    <col min="1032" max="1032" width="21.85546875" style="148" customWidth="1"/>
    <col min="1033" max="1033" width="14.5703125" style="148" customWidth="1"/>
    <col min="1034" max="1034" width="10.140625" style="148" customWidth="1"/>
    <col min="1035" max="1035" width="14.85546875" style="148" customWidth="1"/>
    <col min="1036" max="1036" width="1.42578125" style="148" customWidth="1"/>
    <col min="1037" max="1046" width="0" style="148" hidden="1" customWidth="1"/>
    <col min="1047" max="1280" width="8.7109375" style="148"/>
    <col min="1281" max="1281" width="1.85546875" style="148" customWidth="1"/>
    <col min="1282" max="1282" width="6.28515625" style="148" customWidth="1"/>
    <col min="1283" max="1283" width="55.7109375" style="148" customWidth="1"/>
    <col min="1284" max="1284" width="10.42578125" style="148" customWidth="1"/>
    <col min="1285" max="1285" width="5.5703125" style="148" customWidth="1"/>
    <col min="1286" max="1286" width="11.7109375" style="148" customWidth="1"/>
    <col min="1287" max="1287" width="11.5703125" style="148" customWidth="1"/>
    <col min="1288" max="1288" width="21.85546875" style="148" customWidth="1"/>
    <col min="1289" max="1289" width="14.5703125" style="148" customWidth="1"/>
    <col min="1290" max="1290" width="10.140625" style="148" customWidth="1"/>
    <col min="1291" max="1291" width="14.85546875" style="148" customWidth="1"/>
    <col min="1292" max="1292" width="1.42578125" style="148" customWidth="1"/>
    <col min="1293" max="1302" width="0" style="148" hidden="1" customWidth="1"/>
    <col min="1303" max="1536" width="8.7109375" style="148"/>
    <col min="1537" max="1537" width="1.85546875" style="148" customWidth="1"/>
    <col min="1538" max="1538" width="6.28515625" style="148" customWidth="1"/>
    <col min="1539" max="1539" width="55.7109375" style="148" customWidth="1"/>
    <col min="1540" max="1540" width="10.42578125" style="148" customWidth="1"/>
    <col min="1541" max="1541" width="5.5703125" style="148" customWidth="1"/>
    <col min="1542" max="1542" width="11.7109375" style="148" customWidth="1"/>
    <col min="1543" max="1543" width="11.5703125" style="148" customWidth="1"/>
    <col min="1544" max="1544" width="21.85546875" style="148" customWidth="1"/>
    <col min="1545" max="1545" width="14.5703125" style="148" customWidth="1"/>
    <col min="1546" max="1546" width="10.140625" style="148" customWidth="1"/>
    <col min="1547" max="1547" width="14.85546875" style="148" customWidth="1"/>
    <col min="1548" max="1548" width="1.42578125" style="148" customWidth="1"/>
    <col min="1549" max="1558" width="0" style="148" hidden="1" customWidth="1"/>
    <col min="1559" max="1792" width="8.7109375" style="148"/>
    <col min="1793" max="1793" width="1.85546875" style="148" customWidth="1"/>
    <col min="1794" max="1794" width="6.28515625" style="148" customWidth="1"/>
    <col min="1795" max="1795" width="55.7109375" style="148" customWidth="1"/>
    <col min="1796" max="1796" width="10.42578125" style="148" customWidth="1"/>
    <col min="1797" max="1797" width="5.5703125" style="148" customWidth="1"/>
    <col min="1798" max="1798" width="11.7109375" style="148" customWidth="1"/>
    <col min="1799" max="1799" width="11.5703125" style="148" customWidth="1"/>
    <col min="1800" max="1800" width="21.85546875" style="148" customWidth="1"/>
    <col min="1801" max="1801" width="14.5703125" style="148" customWidth="1"/>
    <col min="1802" max="1802" width="10.140625" style="148" customWidth="1"/>
    <col min="1803" max="1803" width="14.85546875" style="148" customWidth="1"/>
    <col min="1804" max="1804" width="1.42578125" style="148" customWidth="1"/>
    <col min="1805" max="1814" width="0" style="148" hidden="1" customWidth="1"/>
    <col min="1815" max="2048" width="8.7109375" style="148"/>
    <col min="2049" max="2049" width="1.85546875" style="148" customWidth="1"/>
    <col min="2050" max="2050" width="6.28515625" style="148" customWidth="1"/>
    <col min="2051" max="2051" width="55.7109375" style="148" customWidth="1"/>
    <col min="2052" max="2052" width="10.42578125" style="148" customWidth="1"/>
    <col min="2053" max="2053" width="5.5703125" style="148" customWidth="1"/>
    <col min="2054" max="2054" width="11.7109375" style="148" customWidth="1"/>
    <col min="2055" max="2055" width="11.5703125" style="148" customWidth="1"/>
    <col min="2056" max="2056" width="21.85546875" style="148" customWidth="1"/>
    <col min="2057" max="2057" width="14.5703125" style="148" customWidth="1"/>
    <col min="2058" max="2058" width="10.140625" style="148" customWidth="1"/>
    <col min="2059" max="2059" width="14.85546875" style="148" customWidth="1"/>
    <col min="2060" max="2060" width="1.42578125" style="148" customWidth="1"/>
    <col min="2061" max="2070" width="0" style="148" hidden="1" customWidth="1"/>
    <col min="2071" max="2304" width="8.7109375" style="148"/>
    <col min="2305" max="2305" width="1.85546875" style="148" customWidth="1"/>
    <col min="2306" max="2306" width="6.28515625" style="148" customWidth="1"/>
    <col min="2307" max="2307" width="55.7109375" style="148" customWidth="1"/>
    <col min="2308" max="2308" width="10.42578125" style="148" customWidth="1"/>
    <col min="2309" max="2309" width="5.5703125" style="148" customWidth="1"/>
    <col min="2310" max="2310" width="11.7109375" style="148" customWidth="1"/>
    <col min="2311" max="2311" width="11.5703125" style="148" customWidth="1"/>
    <col min="2312" max="2312" width="21.85546875" style="148" customWidth="1"/>
    <col min="2313" max="2313" width="14.5703125" style="148" customWidth="1"/>
    <col min="2314" max="2314" width="10.140625" style="148" customWidth="1"/>
    <col min="2315" max="2315" width="14.85546875" style="148" customWidth="1"/>
    <col min="2316" max="2316" width="1.42578125" style="148" customWidth="1"/>
    <col min="2317" max="2326" width="0" style="148" hidden="1" customWidth="1"/>
    <col min="2327" max="2560" width="8.7109375" style="148"/>
    <col min="2561" max="2561" width="1.85546875" style="148" customWidth="1"/>
    <col min="2562" max="2562" width="6.28515625" style="148" customWidth="1"/>
    <col min="2563" max="2563" width="55.7109375" style="148" customWidth="1"/>
    <col min="2564" max="2564" width="10.42578125" style="148" customWidth="1"/>
    <col min="2565" max="2565" width="5.5703125" style="148" customWidth="1"/>
    <col min="2566" max="2566" width="11.7109375" style="148" customWidth="1"/>
    <col min="2567" max="2567" width="11.5703125" style="148" customWidth="1"/>
    <col min="2568" max="2568" width="21.85546875" style="148" customWidth="1"/>
    <col min="2569" max="2569" width="14.5703125" style="148" customWidth="1"/>
    <col min="2570" max="2570" width="10.140625" style="148" customWidth="1"/>
    <col min="2571" max="2571" width="14.85546875" style="148" customWidth="1"/>
    <col min="2572" max="2572" width="1.42578125" style="148" customWidth="1"/>
    <col min="2573" max="2582" width="0" style="148" hidden="1" customWidth="1"/>
    <col min="2583" max="2816" width="8.7109375" style="148"/>
    <col min="2817" max="2817" width="1.85546875" style="148" customWidth="1"/>
    <col min="2818" max="2818" width="6.28515625" style="148" customWidth="1"/>
    <col min="2819" max="2819" width="55.7109375" style="148" customWidth="1"/>
    <col min="2820" max="2820" width="10.42578125" style="148" customWidth="1"/>
    <col min="2821" max="2821" width="5.5703125" style="148" customWidth="1"/>
    <col min="2822" max="2822" width="11.7109375" style="148" customWidth="1"/>
    <col min="2823" max="2823" width="11.5703125" style="148" customWidth="1"/>
    <col min="2824" max="2824" width="21.85546875" style="148" customWidth="1"/>
    <col min="2825" max="2825" width="14.5703125" style="148" customWidth="1"/>
    <col min="2826" max="2826" width="10.140625" style="148" customWidth="1"/>
    <col min="2827" max="2827" width="14.85546875" style="148" customWidth="1"/>
    <col min="2828" max="2828" width="1.42578125" style="148" customWidth="1"/>
    <col min="2829" max="2838" width="0" style="148" hidden="1" customWidth="1"/>
    <col min="2839" max="3072" width="8.7109375" style="148"/>
    <col min="3073" max="3073" width="1.85546875" style="148" customWidth="1"/>
    <col min="3074" max="3074" width="6.28515625" style="148" customWidth="1"/>
    <col min="3075" max="3075" width="55.7109375" style="148" customWidth="1"/>
    <col min="3076" max="3076" width="10.42578125" style="148" customWidth="1"/>
    <col min="3077" max="3077" width="5.5703125" style="148" customWidth="1"/>
    <col min="3078" max="3078" width="11.7109375" style="148" customWidth="1"/>
    <col min="3079" max="3079" width="11.5703125" style="148" customWidth="1"/>
    <col min="3080" max="3080" width="21.85546875" style="148" customWidth="1"/>
    <col min="3081" max="3081" width="14.5703125" style="148" customWidth="1"/>
    <col min="3082" max="3082" width="10.140625" style="148" customWidth="1"/>
    <col min="3083" max="3083" width="14.85546875" style="148" customWidth="1"/>
    <col min="3084" max="3084" width="1.42578125" style="148" customWidth="1"/>
    <col min="3085" max="3094" width="0" style="148" hidden="1" customWidth="1"/>
    <col min="3095" max="3328" width="8.7109375" style="148"/>
    <col min="3329" max="3329" width="1.85546875" style="148" customWidth="1"/>
    <col min="3330" max="3330" width="6.28515625" style="148" customWidth="1"/>
    <col min="3331" max="3331" width="55.7109375" style="148" customWidth="1"/>
    <col min="3332" max="3332" width="10.42578125" style="148" customWidth="1"/>
    <col min="3333" max="3333" width="5.5703125" style="148" customWidth="1"/>
    <col min="3334" max="3334" width="11.7109375" style="148" customWidth="1"/>
    <col min="3335" max="3335" width="11.5703125" style="148" customWidth="1"/>
    <col min="3336" max="3336" width="21.85546875" style="148" customWidth="1"/>
    <col min="3337" max="3337" width="14.5703125" style="148" customWidth="1"/>
    <col min="3338" max="3338" width="10.140625" style="148" customWidth="1"/>
    <col min="3339" max="3339" width="14.85546875" style="148" customWidth="1"/>
    <col min="3340" max="3340" width="1.42578125" style="148" customWidth="1"/>
    <col min="3341" max="3350" width="0" style="148" hidden="1" customWidth="1"/>
    <col min="3351" max="3584" width="8.7109375" style="148"/>
    <col min="3585" max="3585" width="1.85546875" style="148" customWidth="1"/>
    <col min="3586" max="3586" width="6.28515625" style="148" customWidth="1"/>
    <col min="3587" max="3587" width="55.7109375" style="148" customWidth="1"/>
    <col min="3588" max="3588" width="10.42578125" style="148" customWidth="1"/>
    <col min="3589" max="3589" width="5.5703125" style="148" customWidth="1"/>
    <col min="3590" max="3590" width="11.7109375" style="148" customWidth="1"/>
    <col min="3591" max="3591" width="11.5703125" style="148" customWidth="1"/>
    <col min="3592" max="3592" width="21.85546875" style="148" customWidth="1"/>
    <col min="3593" max="3593" width="14.5703125" style="148" customWidth="1"/>
    <col min="3594" max="3594" width="10.140625" style="148" customWidth="1"/>
    <col min="3595" max="3595" width="14.85546875" style="148" customWidth="1"/>
    <col min="3596" max="3596" width="1.42578125" style="148" customWidth="1"/>
    <col min="3597" max="3606" width="0" style="148" hidden="1" customWidth="1"/>
    <col min="3607" max="3840" width="8.7109375" style="148"/>
    <col min="3841" max="3841" width="1.85546875" style="148" customWidth="1"/>
    <col min="3842" max="3842" width="6.28515625" style="148" customWidth="1"/>
    <col min="3843" max="3843" width="55.7109375" style="148" customWidth="1"/>
    <col min="3844" max="3844" width="10.42578125" style="148" customWidth="1"/>
    <col min="3845" max="3845" width="5.5703125" style="148" customWidth="1"/>
    <col min="3846" max="3846" width="11.7109375" style="148" customWidth="1"/>
    <col min="3847" max="3847" width="11.5703125" style="148" customWidth="1"/>
    <col min="3848" max="3848" width="21.85546875" style="148" customWidth="1"/>
    <col min="3849" max="3849" width="14.5703125" style="148" customWidth="1"/>
    <col min="3850" max="3850" width="10.140625" style="148" customWidth="1"/>
    <col min="3851" max="3851" width="14.85546875" style="148" customWidth="1"/>
    <col min="3852" max="3852" width="1.42578125" style="148" customWidth="1"/>
    <col min="3853" max="3862" width="0" style="148" hidden="1" customWidth="1"/>
    <col min="3863" max="4096" width="8.7109375" style="148"/>
    <col min="4097" max="4097" width="1.85546875" style="148" customWidth="1"/>
    <col min="4098" max="4098" width="6.28515625" style="148" customWidth="1"/>
    <col min="4099" max="4099" width="55.7109375" style="148" customWidth="1"/>
    <col min="4100" max="4100" width="10.42578125" style="148" customWidth="1"/>
    <col min="4101" max="4101" width="5.5703125" style="148" customWidth="1"/>
    <col min="4102" max="4102" width="11.7109375" style="148" customWidth="1"/>
    <col min="4103" max="4103" width="11.5703125" style="148" customWidth="1"/>
    <col min="4104" max="4104" width="21.85546875" style="148" customWidth="1"/>
    <col min="4105" max="4105" width="14.5703125" style="148" customWidth="1"/>
    <col min="4106" max="4106" width="10.140625" style="148" customWidth="1"/>
    <col min="4107" max="4107" width="14.85546875" style="148" customWidth="1"/>
    <col min="4108" max="4108" width="1.42578125" style="148" customWidth="1"/>
    <col min="4109" max="4118" width="0" style="148" hidden="1" customWidth="1"/>
    <col min="4119" max="4352" width="8.7109375" style="148"/>
    <col min="4353" max="4353" width="1.85546875" style="148" customWidth="1"/>
    <col min="4354" max="4354" width="6.28515625" style="148" customWidth="1"/>
    <col min="4355" max="4355" width="55.7109375" style="148" customWidth="1"/>
    <col min="4356" max="4356" width="10.42578125" style="148" customWidth="1"/>
    <col min="4357" max="4357" width="5.5703125" style="148" customWidth="1"/>
    <col min="4358" max="4358" width="11.7109375" style="148" customWidth="1"/>
    <col min="4359" max="4359" width="11.5703125" style="148" customWidth="1"/>
    <col min="4360" max="4360" width="21.85546875" style="148" customWidth="1"/>
    <col min="4361" max="4361" width="14.5703125" style="148" customWidth="1"/>
    <col min="4362" max="4362" width="10.140625" style="148" customWidth="1"/>
    <col min="4363" max="4363" width="14.85546875" style="148" customWidth="1"/>
    <col min="4364" max="4364" width="1.42578125" style="148" customWidth="1"/>
    <col min="4365" max="4374" width="0" style="148" hidden="1" customWidth="1"/>
    <col min="4375" max="4608" width="8.7109375" style="148"/>
    <col min="4609" max="4609" width="1.85546875" style="148" customWidth="1"/>
    <col min="4610" max="4610" width="6.28515625" style="148" customWidth="1"/>
    <col min="4611" max="4611" width="55.7109375" style="148" customWidth="1"/>
    <col min="4612" max="4612" width="10.42578125" style="148" customWidth="1"/>
    <col min="4613" max="4613" width="5.5703125" style="148" customWidth="1"/>
    <col min="4614" max="4614" width="11.7109375" style="148" customWidth="1"/>
    <col min="4615" max="4615" width="11.5703125" style="148" customWidth="1"/>
    <col min="4616" max="4616" width="21.85546875" style="148" customWidth="1"/>
    <col min="4617" max="4617" width="14.5703125" style="148" customWidth="1"/>
    <col min="4618" max="4618" width="10.140625" style="148" customWidth="1"/>
    <col min="4619" max="4619" width="14.85546875" style="148" customWidth="1"/>
    <col min="4620" max="4620" width="1.42578125" style="148" customWidth="1"/>
    <col min="4621" max="4630" width="0" style="148" hidden="1" customWidth="1"/>
    <col min="4631" max="4864" width="8.7109375" style="148"/>
    <col min="4865" max="4865" width="1.85546875" style="148" customWidth="1"/>
    <col min="4866" max="4866" width="6.28515625" style="148" customWidth="1"/>
    <col min="4867" max="4867" width="55.7109375" style="148" customWidth="1"/>
    <col min="4868" max="4868" width="10.42578125" style="148" customWidth="1"/>
    <col min="4869" max="4869" width="5.5703125" style="148" customWidth="1"/>
    <col min="4870" max="4870" width="11.7109375" style="148" customWidth="1"/>
    <col min="4871" max="4871" width="11.5703125" style="148" customWidth="1"/>
    <col min="4872" max="4872" width="21.85546875" style="148" customWidth="1"/>
    <col min="4873" max="4873" width="14.5703125" style="148" customWidth="1"/>
    <col min="4874" max="4874" width="10.140625" style="148" customWidth="1"/>
    <col min="4875" max="4875" width="14.85546875" style="148" customWidth="1"/>
    <col min="4876" max="4876" width="1.42578125" style="148" customWidth="1"/>
    <col min="4877" max="4886" width="0" style="148" hidden="1" customWidth="1"/>
    <col min="4887" max="5120" width="8.7109375" style="148"/>
    <col min="5121" max="5121" width="1.85546875" style="148" customWidth="1"/>
    <col min="5122" max="5122" width="6.28515625" style="148" customWidth="1"/>
    <col min="5123" max="5123" width="55.7109375" style="148" customWidth="1"/>
    <col min="5124" max="5124" width="10.42578125" style="148" customWidth="1"/>
    <col min="5125" max="5125" width="5.5703125" style="148" customWidth="1"/>
    <col min="5126" max="5126" width="11.7109375" style="148" customWidth="1"/>
    <col min="5127" max="5127" width="11.5703125" style="148" customWidth="1"/>
    <col min="5128" max="5128" width="21.85546875" style="148" customWidth="1"/>
    <col min="5129" max="5129" width="14.5703125" style="148" customWidth="1"/>
    <col min="5130" max="5130" width="10.140625" style="148" customWidth="1"/>
    <col min="5131" max="5131" width="14.85546875" style="148" customWidth="1"/>
    <col min="5132" max="5132" width="1.42578125" style="148" customWidth="1"/>
    <col min="5133" max="5142" width="0" style="148" hidden="1" customWidth="1"/>
    <col min="5143" max="5376" width="8.7109375" style="148"/>
    <col min="5377" max="5377" width="1.85546875" style="148" customWidth="1"/>
    <col min="5378" max="5378" width="6.28515625" style="148" customWidth="1"/>
    <col min="5379" max="5379" width="55.7109375" style="148" customWidth="1"/>
    <col min="5380" max="5380" width="10.42578125" style="148" customWidth="1"/>
    <col min="5381" max="5381" width="5.5703125" style="148" customWidth="1"/>
    <col min="5382" max="5382" width="11.7109375" style="148" customWidth="1"/>
    <col min="5383" max="5383" width="11.5703125" style="148" customWidth="1"/>
    <col min="5384" max="5384" width="21.85546875" style="148" customWidth="1"/>
    <col min="5385" max="5385" width="14.5703125" style="148" customWidth="1"/>
    <col min="5386" max="5386" width="10.140625" style="148" customWidth="1"/>
    <col min="5387" max="5387" width="14.85546875" style="148" customWidth="1"/>
    <col min="5388" max="5388" width="1.42578125" style="148" customWidth="1"/>
    <col min="5389" max="5398" width="0" style="148" hidden="1" customWidth="1"/>
    <col min="5399" max="5632" width="8.7109375" style="148"/>
    <col min="5633" max="5633" width="1.85546875" style="148" customWidth="1"/>
    <col min="5634" max="5634" width="6.28515625" style="148" customWidth="1"/>
    <col min="5635" max="5635" width="55.7109375" style="148" customWidth="1"/>
    <col min="5636" max="5636" width="10.42578125" style="148" customWidth="1"/>
    <col min="5637" max="5637" width="5.5703125" style="148" customWidth="1"/>
    <col min="5638" max="5638" width="11.7109375" style="148" customWidth="1"/>
    <col min="5639" max="5639" width="11.5703125" style="148" customWidth="1"/>
    <col min="5640" max="5640" width="21.85546875" style="148" customWidth="1"/>
    <col min="5641" max="5641" width="14.5703125" style="148" customWidth="1"/>
    <col min="5642" max="5642" width="10.140625" style="148" customWidth="1"/>
    <col min="5643" max="5643" width="14.85546875" style="148" customWidth="1"/>
    <col min="5644" max="5644" width="1.42578125" style="148" customWidth="1"/>
    <col min="5645" max="5654" width="0" style="148" hidden="1" customWidth="1"/>
    <col min="5655" max="5888" width="8.7109375" style="148"/>
    <col min="5889" max="5889" width="1.85546875" style="148" customWidth="1"/>
    <col min="5890" max="5890" width="6.28515625" style="148" customWidth="1"/>
    <col min="5891" max="5891" width="55.7109375" style="148" customWidth="1"/>
    <col min="5892" max="5892" width="10.42578125" style="148" customWidth="1"/>
    <col min="5893" max="5893" width="5.5703125" style="148" customWidth="1"/>
    <col min="5894" max="5894" width="11.7109375" style="148" customWidth="1"/>
    <col min="5895" max="5895" width="11.5703125" style="148" customWidth="1"/>
    <col min="5896" max="5896" width="21.85546875" style="148" customWidth="1"/>
    <col min="5897" max="5897" width="14.5703125" style="148" customWidth="1"/>
    <col min="5898" max="5898" width="10.140625" style="148" customWidth="1"/>
    <col min="5899" max="5899" width="14.85546875" style="148" customWidth="1"/>
    <col min="5900" max="5900" width="1.42578125" style="148" customWidth="1"/>
    <col min="5901" max="5910" width="0" style="148" hidden="1" customWidth="1"/>
    <col min="5911" max="6144" width="8.7109375" style="148"/>
    <col min="6145" max="6145" width="1.85546875" style="148" customWidth="1"/>
    <col min="6146" max="6146" width="6.28515625" style="148" customWidth="1"/>
    <col min="6147" max="6147" width="55.7109375" style="148" customWidth="1"/>
    <col min="6148" max="6148" width="10.42578125" style="148" customWidth="1"/>
    <col min="6149" max="6149" width="5.5703125" style="148" customWidth="1"/>
    <col min="6150" max="6150" width="11.7109375" style="148" customWidth="1"/>
    <col min="6151" max="6151" width="11.5703125" style="148" customWidth="1"/>
    <col min="6152" max="6152" width="21.85546875" style="148" customWidth="1"/>
    <col min="6153" max="6153" width="14.5703125" style="148" customWidth="1"/>
    <col min="6154" max="6154" width="10.140625" style="148" customWidth="1"/>
    <col min="6155" max="6155" width="14.85546875" style="148" customWidth="1"/>
    <col min="6156" max="6156" width="1.42578125" style="148" customWidth="1"/>
    <col min="6157" max="6166" width="0" style="148" hidden="1" customWidth="1"/>
    <col min="6167" max="6400" width="8.7109375" style="148"/>
    <col min="6401" max="6401" width="1.85546875" style="148" customWidth="1"/>
    <col min="6402" max="6402" width="6.28515625" style="148" customWidth="1"/>
    <col min="6403" max="6403" width="55.7109375" style="148" customWidth="1"/>
    <col min="6404" max="6404" width="10.42578125" style="148" customWidth="1"/>
    <col min="6405" max="6405" width="5.5703125" style="148" customWidth="1"/>
    <col min="6406" max="6406" width="11.7109375" style="148" customWidth="1"/>
    <col min="6407" max="6407" width="11.5703125" style="148" customWidth="1"/>
    <col min="6408" max="6408" width="21.85546875" style="148" customWidth="1"/>
    <col min="6409" max="6409" width="14.5703125" style="148" customWidth="1"/>
    <col min="6410" max="6410" width="10.140625" style="148" customWidth="1"/>
    <col min="6411" max="6411" width="14.85546875" style="148" customWidth="1"/>
    <col min="6412" max="6412" width="1.42578125" style="148" customWidth="1"/>
    <col min="6413" max="6422" width="0" style="148" hidden="1" customWidth="1"/>
    <col min="6423" max="6656" width="8.7109375" style="148"/>
    <col min="6657" max="6657" width="1.85546875" style="148" customWidth="1"/>
    <col min="6658" max="6658" width="6.28515625" style="148" customWidth="1"/>
    <col min="6659" max="6659" width="55.7109375" style="148" customWidth="1"/>
    <col min="6660" max="6660" width="10.42578125" style="148" customWidth="1"/>
    <col min="6661" max="6661" width="5.5703125" style="148" customWidth="1"/>
    <col min="6662" max="6662" width="11.7109375" style="148" customWidth="1"/>
    <col min="6663" max="6663" width="11.5703125" style="148" customWidth="1"/>
    <col min="6664" max="6664" width="21.85546875" style="148" customWidth="1"/>
    <col min="6665" max="6665" width="14.5703125" style="148" customWidth="1"/>
    <col min="6666" max="6666" width="10.140625" style="148" customWidth="1"/>
    <col min="6667" max="6667" width="14.85546875" style="148" customWidth="1"/>
    <col min="6668" max="6668" width="1.42578125" style="148" customWidth="1"/>
    <col min="6669" max="6678" width="0" style="148" hidden="1" customWidth="1"/>
    <col min="6679" max="6912" width="8.7109375" style="148"/>
    <col min="6913" max="6913" width="1.85546875" style="148" customWidth="1"/>
    <col min="6914" max="6914" width="6.28515625" style="148" customWidth="1"/>
    <col min="6915" max="6915" width="55.7109375" style="148" customWidth="1"/>
    <col min="6916" max="6916" width="10.42578125" style="148" customWidth="1"/>
    <col min="6917" max="6917" width="5.5703125" style="148" customWidth="1"/>
    <col min="6918" max="6918" width="11.7109375" style="148" customWidth="1"/>
    <col min="6919" max="6919" width="11.5703125" style="148" customWidth="1"/>
    <col min="6920" max="6920" width="21.85546875" style="148" customWidth="1"/>
    <col min="6921" max="6921" width="14.5703125" style="148" customWidth="1"/>
    <col min="6922" max="6922" width="10.140625" style="148" customWidth="1"/>
    <col min="6923" max="6923" width="14.85546875" style="148" customWidth="1"/>
    <col min="6924" max="6924" width="1.42578125" style="148" customWidth="1"/>
    <col min="6925" max="6934" width="0" style="148" hidden="1" customWidth="1"/>
    <col min="6935" max="7168" width="8.7109375" style="148"/>
    <col min="7169" max="7169" width="1.85546875" style="148" customWidth="1"/>
    <col min="7170" max="7170" width="6.28515625" style="148" customWidth="1"/>
    <col min="7171" max="7171" width="55.7109375" style="148" customWidth="1"/>
    <col min="7172" max="7172" width="10.42578125" style="148" customWidth="1"/>
    <col min="7173" max="7173" width="5.5703125" style="148" customWidth="1"/>
    <col min="7174" max="7174" width="11.7109375" style="148" customWidth="1"/>
    <col min="7175" max="7175" width="11.5703125" style="148" customWidth="1"/>
    <col min="7176" max="7176" width="21.85546875" style="148" customWidth="1"/>
    <col min="7177" max="7177" width="14.5703125" style="148" customWidth="1"/>
    <col min="7178" max="7178" width="10.140625" style="148" customWidth="1"/>
    <col min="7179" max="7179" width="14.85546875" style="148" customWidth="1"/>
    <col min="7180" max="7180" width="1.42578125" style="148" customWidth="1"/>
    <col min="7181" max="7190" width="0" style="148" hidden="1" customWidth="1"/>
    <col min="7191" max="7424" width="8.7109375" style="148"/>
    <col min="7425" max="7425" width="1.85546875" style="148" customWidth="1"/>
    <col min="7426" max="7426" width="6.28515625" style="148" customWidth="1"/>
    <col min="7427" max="7427" width="55.7109375" style="148" customWidth="1"/>
    <col min="7428" max="7428" width="10.42578125" style="148" customWidth="1"/>
    <col min="7429" max="7429" width="5.5703125" style="148" customWidth="1"/>
    <col min="7430" max="7430" width="11.7109375" style="148" customWidth="1"/>
    <col min="7431" max="7431" width="11.5703125" style="148" customWidth="1"/>
    <col min="7432" max="7432" width="21.85546875" style="148" customWidth="1"/>
    <col min="7433" max="7433" width="14.5703125" style="148" customWidth="1"/>
    <col min="7434" max="7434" width="10.140625" style="148" customWidth="1"/>
    <col min="7435" max="7435" width="14.85546875" style="148" customWidth="1"/>
    <col min="7436" max="7436" width="1.42578125" style="148" customWidth="1"/>
    <col min="7437" max="7446" width="0" style="148" hidden="1" customWidth="1"/>
    <col min="7447" max="7680" width="8.7109375" style="148"/>
    <col min="7681" max="7681" width="1.85546875" style="148" customWidth="1"/>
    <col min="7682" max="7682" width="6.28515625" style="148" customWidth="1"/>
    <col min="7683" max="7683" width="55.7109375" style="148" customWidth="1"/>
    <col min="7684" max="7684" width="10.42578125" style="148" customWidth="1"/>
    <col min="7685" max="7685" width="5.5703125" style="148" customWidth="1"/>
    <col min="7686" max="7686" width="11.7109375" style="148" customWidth="1"/>
    <col min="7687" max="7687" width="11.5703125" style="148" customWidth="1"/>
    <col min="7688" max="7688" width="21.85546875" style="148" customWidth="1"/>
    <col min="7689" max="7689" width="14.5703125" style="148" customWidth="1"/>
    <col min="7690" max="7690" width="10.140625" style="148" customWidth="1"/>
    <col min="7691" max="7691" width="14.85546875" style="148" customWidth="1"/>
    <col min="7692" max="7692" width="1.42578125" style="148" customWidth="1"/>
    <col min="7693" max="7702" width="0" style="148" hidden="1" customWidth="1"/>
    <col min="7703" max="7936" width="8.7109375" style="148"/>
    <col min="7937" max="7937" width="1.85546875" style="148" customWidth="1"/>
    <col min="7938" max="7938" width="6.28515625" style="148" customWidth="1"/>
    <col min="7939" max="7939" width="55.7109375" style="148" customWidth="1"/>
    <col min="7940" max="7940" width="10.42578125" style="148" customWidth="1"/>
    <col min="7941" max="7941" width="5.5703125" style="148" customWidth="1"/>
    <col min="7942" max="7942" width="11.7109375" style="148" customWidth="1"/>
    <col min="7943" max="7943" width="11.5703125" style="148" customWidth="1"/>
    <col min="7944" max="7944" width="21.85546875" style="148" customWidth="1"/>
    <col min="7945" max="7945" width="14.5703125" style="148" customWidth="1"/>
    <col min="7946" max="7946" width="10.140625" style="148" customWidth="1"/>
    <col min="7947" max="7947" width="14.85546875" style="148" customWidth="1"/>
    <col min="7948" max="7948" width="1.42578125" style="148" customWidth="1"/>
    <col min="7949" max="7958" width="0" style="148" hidden="1" customWidth="1"/>
    <col min="7959" max="8192" width="8.7109375" style="148"/>
    <col min="8193" max="8193" width="1.85546875" style="148" customWidth="1"/>
    <col min="8194" max="8194" width="6.28515625" style="148" customWidth="1"/>
    <col min="8195" max="8195" width="55.7109375" style="148" customWidth="1"/>
    <col min="8196" max="8196" width="10.42578125" style="148" customWidth="1"/>
    <col min="8197" max="8197" width="5.5703125" style="148" customWidth="1"/>
    <col min="8198" max="8198" width="11.7109375" style="148" customWidth="1"/>
    <col min="8199" max="8199" width="11.5703125" style="148" customWidth="1"/>
    <col min="8200" max="8200" width="21.85546875" style="148" customWidth="1"/>
    <col min="8201" max="8201" width="14.5703125" style="148" customWidth="1"/>
    <col min="8202" max="8202" width="10.140625" style="148" customWidth="1"/>
    <col min="8203" max="8203" width="14.85546875" style="148" customWidth="1"/>
    <col min="8204" max="8204" width="1.42578125" style="148" customWidth="1"/>
    <col min="8205" max="8214" width="0" style="148" hidden="1" customWidth="1"/>
    <col min="8215" max="8448" width="8.7109375" style="148"/>
    <col min="8449" max="8449" width="1.85546875" style="148" customWidth="1"/>
    <col min="8450" max="8450" width="6.28515625" style="148" customWidth="1"/>
    <col min="8451" max="8451" width="55.7109375" style="148" customWidth="1"/>
    <col min="8452" max="8452" width="10.42578125" style="148" customWidth="1"/>
    <col min="8453" max="8453" width="5.5703125" style="148" customWidth="1"/>
    <col min="8454" max="8454" width="11.7109375" style="148" customWidth="1"/>
    <col min="8455" max="8455" width="11.5703125" style="148" customWidth="1"/>
    <col min="8456" max="8456" width="21.85546875" style="148" customWidth="1"/>
    <col min="8457" max="8457" width="14.5703125" style="148" customWidth="1"/>
    <col min="8458" max="8458" width="10.140625" style="148" customWidth="1"/>
    <col min="8459" max="8459" width="14.85546875" style="148" customWidth="1"/>
    <col min="8460" max="8460" width="1.42578125" style="148" customWidth="1"/>
    <col min="8461" max="8470" width="0" style="148" hidden="1" customWidth="1"/>
    <col min="8471" max="8704" width="8.7109375" style="148"/>
    <col min="8705" max="8705" width="1.85546875" style="148" customWidth="1"/>
    <col min="8706" max="8706" width="6.28515625" style="148" customWidth="1"/>
    <col min="8707" max="8707" width="55.7109375" style="148" customWidth="1"/>
    <col min="8708" max="8708" width="10.42578125" style="148" customWidth="1"/>
    <col min="8709" max="8709" width="5.5703125" style="148" customWidth="1"/>
    <col min="8710" max="8710" width="11.7109375" style="148" customWidth="1"/>
    <col min="8711" max="8711" width="11.5703125" style="148" customWidth="1"/>
    <col min="8712" max="8712" width="21.85546875" style="148" customWidth="1"/>
    <col min="8713" max="8713" width="14.5703125" style="148" customWidth="1"/>
    <col min="8714" max="8714" width="10.140625" style="148" customWidth="1"/>
    <col min="8715" max="8715" width="14.85546875" style="148" customWidth="1"/>
    <col min="8716" max="8716" width="1.42578125" style="148" customWidth="1"/>
    <col min="8717" max="8726" width="0" style="148" hidden="1" customWidth="1"/>
    <col min="8727" max="8960" width="8.7109375" style="148"/>
    <col min="8961" max="8961" width="1.85546875" style="148" customWidth="1"/>
    <col min="8962" max="8962" width="6.28515625" style="148" customWidth="1"/>
    <col min="8963" max="8963" width="55.7109375" style="148" customWidth="1"/>
    <col min="8964" max="8964" width="10.42578125" style="148" customWidth="1"/>
    <col min="8965" max="8965" width="5.5703125" style="148" customWidth="1"/>
    <col min="8966" max="8966" width="11.7109375" style="148" customWidth="1"/>
    <col min="8967" max="8967" width="11.5703125" style="148" customWidth="1"/>
    <col min="8968" max="8968" width="21.85546875" style="148" customWidth="1"/>
    <col min="8969" max="8969" width="14.5703125" style="148" customWidth="1"/>
    <col min="8970" max="8970" width="10.140625" style="148" customWidth="1"/>
    <col min="8971" max="8971" width="14.85546875" style="148" customWidth="1"/>
    <col min="8972" max="8972" width="1.42578125" style="148" customWidth="1"/>
    <col min="8973" max="8982" width="0" style="148" hidden="1" customWidth="1"/>
    <col min="8983" max="9216" width="8.7109375" style="148"/>
    <col min="9217" max="9217" width="1.85546875" style="148" customWidth="1"/>
    <col min="9218" max="9218" width="6.28515625" style="148" customWidth="1"/>
    <col min="9219" max="9219" width="55.7109375" style="148" customWidth="1"/>
    <col min="9220" max="9220" width="10.42578125" style="148" customWidth="1"/>
    <col min="9221" max="9221" width="5.5703125" style="148" customWidth="1"/>
    <col min="9222" max="9222" width="11.7109375" style="148" customWidth="1"/>
    <col min="9223" max="9223" width="11.5703125" style="148" customWidth="1"/>
    <col min="9224" max="9224" width="21.85546875" style="148" customWidth="1"/>
    <col min="9225" max="9225" width="14.5703125" style="148" customWidth="1"/>
    <col min="9226" max="9226" width="10.140625" style="148" customWidth="1"/>
    <col min="9227" max="9227" width="14.85546875" style="148" customWidth="1"/>
    <col min="9228" max="9228" width="1.42578125" style="148" customWidth="1"/>
    <col min="9229" max="9238" width="0" style="148" hidden="1" customWidth="1"/>
    <col min="9239" max="9472" width="8.7109375" style="148"/>
    <col min="9473" max="9473" width="1.85546875" style="148" customWidth="1"/>
    <col min="9474" max="9474" width="6.28515625" style="148" customWidth="1"/>
    <col min="9475" max="9475" width="55.7109375" style="148" customWidth="1"/>
    <col min="9476" max="9476" width="10.42578125" style="148" customWidth="1"/>
    <col min="9477" max="9477" width="5.5703125" style="148" customWidth="1"/>
    <col min="9478" max="9478" width="11.7109375" style="148" customWidth="1"/>
    <col min="9479" max="9479" width="11.5703125" style="148" customWidth="1"/>
    <col min="9480" max="9480" width="21.85546875" style="148" customWidth="1"/>
    <col min="9481" max="9481" width="14.5703125" style="148" customWidth="1"/>
    <col min="9482" max="9482" width="10.140625" style="148" customWidth="1"/>
    <col min="9483" max="9483" width="14.85546875" style="148" customWidth="1"/>
    <col min="9484" max="9484" width="1.42578125" style="148" customWidth="1"/>
    <col min="9485" max="9494" width="0" style="148" hidden="1" customWidth="1"/>
    <col min="9495" max="9728" width="8.7109375" style="148"/>
    <col min="9729" max="9729" width="1.85546875" style="148" customWidth="1"/>
    <col min="9730" max="9730" width="6.28515625" style="148" customWidth="1"/>
    <col min="9731" max="9731" width="55.7109375" style="148" customWidth="1"/>
    <col min="9732" max="9732" width="10.42578125" style="148" customWidth="1"/>
    <col min="9733" max="9733" width="5.5703125" style="148" customWidth="1"/>
    <col min="9734" max="9734" width="11.7109375" style="148" customWidth="1"/>
    <col min="9735" max="9735" width="11.5703125" style="148" customWidth="1"/>
    <col min="9736" max="9736" width="21.85546875" style="148" customWidth="1"/>
    <col min="9737" max="9737" width="14.5703125" style="148" customWidth="1"/>
    <col min="9738" max="9738" width="10.140625" style="148" customWidth="1"/>
    <col min="9739" max="9739" width="14.85546875" style="148" customWidth="1"/>
    <col min="9740" max="9740" width="1.42578125" style="148" customWidth="1"/>
    <col min="9741" max="9750" width="0" style="148" hidden="1" customWidth="1"/>
    <col min="9751" max="9984" width="8.7109375" style="148"/>
    <col min="9985" max="9985" width="1.85546875" style="148" customWidth="1"/>
    <col min="9986" max="9986" width="6.28515625" style="148" customWidth="1"/>
    <col min="9987" max="9987" width="55.7109375" style="148" customWidth="1"/>
    <col min="9988" max="9988" width="10.42578125" style="148" customWidth="1"/>
    <col min="9989" max="9989" width="5.5703125" style="148" customWidth="1"/>
    <col min="9990" max="9990" width="11.7109375" style="148" customWidth="1"/>
    <col min="9991" max="9991" width="11.5703125" style="148" customWidth="1"/>
    <col min="9992" max="9992" width="21.85546875" style="148" customWidth="1"/>
    <col min="9993" max="9993" width="14.5703125" style="148" customWidth="1"/>
    <col min="9994" max="9994" width="10.140625" style="148" customWidth="1"/>
    <col min="9995" max="9995" width="14.85546875" style="148" customWidth="1"/>
    <col min="9996" max="9996" width="1.42578125" style="148" customWidth="1"/>
    <col min="9997" max="10006" width="0" style="148" hidden="1" customWidth="1"/>
    <col min="10007" max="10240" width="8.7109375" style="148"/>
    <col min="10241" max="10241" width="1.85546875" style="148" customWidth="1"/>
    <col min="10242" max="10242" width="6.28515625" style="148" customWidth="1"/>
    <col min="10243" max="10243" width="55.7109375" style="148" customWidth="1"/>
    <col min="10244" max="10244" width="10.42578125" style="148" customWidth="1"/>
    <col min="10245" max="10245" width="5.5703125" style="148" customWidth="1"/>
    <col min="10246" max="10246" width="11.7109375" style="148" customWidth="1"/>
    <col min="10247" max="10247" width="11.5703125" style="148" customWidth="1"/>
    <col min="10248" max="10248" width="21.85546875" style="148" customWidth="1"/>
    <col min="10249" max="10249" width="14.5703125" style="148" customWidth="1"/>
    <col min="10250" max="10250" width="10.140625" style="148" customWidth="1"/>
    <col min="10251" max="10251" width="14.85546875" style="148" customWidth="1"/>
    <col min="10252" max="10252" width="1.42578125" style="148" customWidth="1"/>
    <col min="10253" max="10262" width="0" style="148" hidden="1" customWidth="1"/>
    <col min="10263" max="10496" width="8.7109375" style="148"/>
    <col min="10497" max="10497" width="1.85546875" style="148" customWidth="1"/>
    <col min="10498" max="10498" width="6.28515625" style="148" customWidth="1"/>
    <col min="10499" max="10499" width="55.7109375" style="148" customWidth="1"/>
    <col min="10500" max="10500" width="10.42578125" style="148" customWidth="1"/>
    <col min="10501" max="10501" width="5.5703125" style="148" customWidth="1"/>
    <col min="10502" max="10502" width="11.7109375" style="148" customWidth="1"/>
    <col min="10503" max="10503" width="11.5703125" style="148" customWidth="1"/>
    <col min="10504" max="10504" width="21.85546875" style="148" customWidth="1"/>
    <col min="10505" max="10505" width="14.5703125" style="148" customWidth="1"/>
    <col min="10506" max="10506" width="10.140625" style="148" customWidth="1"/>
    <col min="10507" max="10507" width="14.85546875" style="148" customWidth="1"/>
    <col min="10508" max="10508" width="1.42578125" style="148" customWidth="1"/>
    <col min="10509" max="10518" width="0" style="148" hidden="1" customWidth="1"/>
    <col min="10519" max="10752" width="8.7109375" style="148"/>
    <col min="10753" max="10753" width="1.85546875" style="148" customWidth="1"/>
    <col min="10754" max="10754" width="6.28515625" style="148" customWidth="1"/>
    <col min="10755" max="10755" width="55.7109375" style="148" customWidth="1"/>
    <col min="10756" max="10756" width="10.42578125" style="148" customWidth="1"/>
    <col min="10757" max="10757" width="5.5703125" style="148" customWidth="1"/>
    <col min="10758" max="10758" width="11.7109375" style="148" customWidth="1"/>
    <col min="10759" max="10759" width="11.5703125" style="148" customWidth="1"/>
    <col min="10760" max="10760" width="21.85546875" style="148" customWidth="1"/>
    <col min="10761" max="10761" width="14.5703125" style="148" customWidth="1"/>
    <col min="10762" max="10762" width="10.140625" style="148" customWidth="1"/>
    <col min="10763" max="10763" width="14.85546875" style="148" customWidth="1"/>
    <col min="10764" max="10764" width="1.42578125" style="148" customWidth="1"/>
    <col min="10765" max="10774" width="0" style="148" hidden="1" customWidth="1"/>
    <col min="10775" max="11008" width="8.7109375" style="148"/>
    <col min="11009" max="11009" width="1.85546875" style="148" customWidth="1"/>
    <col min="11010" max="11010" width="6.28515625" style="148" customWidth="1"/>
    <col min="11011" max="11011" width="55.7109375" style="148" customWidth="1"/>
    <col min="11012" max="11012" width="10.42578125" style="148" customWidth="1"/>
    <col min="11013" max="11013" width="5.5703125" style="148" customWidth="1"/>
    <col min="11014" max="11014" width="11.7109375" style="148" customWidth="1"/>
    <col min="11015" max="11015" width="11.5703125" style="148" customWidth="1"/>
    <col min="11016" max="11016" width="21.85546875" style="148" customWidth="1"/>
    <col min="11017" max="11017" width="14.5703125" style="148" customWidth="1"/>
    <col min="11018" max="11018" width="10.140625" style="148" customWidth="1"/>
    <col min="11019" max="11019" width="14.85546875" style="148" customWidth="1"/>
    <col min="11020" max="11020" width="1.42578125" style="148" customWidth="1"/>
    <col min="11021" max="11030" width="0" style="148" hidden="1" customWidth="1"/>
    <col min="11031" max="11264" width="8.7109375" style="148"/>
    <col min="11265" max="11265" width="1.85546875" style="148" customWidth="1"/>
    <col min="11266" max="11266" width="6.28515625" style="148" customWidth="1"/>
    <col min="11267" max="11267" width="55.7109375" style="148" customWidth="1"/>
    <col min="11268" max="11268" width="10.42578125" style="148" customWidth="1"/>
    <col min="11269" max="11269" width="5.5703125" style="148" customWidth="1"/>
    <col min="11270" max="11270" width="11.7109375" style="148" customWidth="1"/>
    <col min="11271" max="11271" width="11.5703125" style="148" customWidth="1"/>
    <col min="11272" max="11272" width="21.85546875" style="148" customWidth="1"/>
    <col min="11273" max="11273" width="14.5703125" style="148" customWidth="1"/>
    <col min="11274" max="11274" width="10.140625" style="148" customWidth="1"/>
    <col min="11275" max="11275" width="14.85546875" style="148" customWidth="1"/>
    <col min="11276" max="11276" width="1.42578125" style="148" customWidth="1"/>
    <col min="11277" max="11286" width="0" style="148" hidden="1" customWidth="1"/>
    <col min="11287" max="11520" width="8.7109375" style="148"/>
    <col min="11521" max="11521" width="1.85546875" style="148" customWidth="1"/>
    <col min="11522" max="11522" width="6.28515625" style="148" customWidth="1"/>
    <col min="11523" max="11523" width="55.7109375" style="148" customWidth="1"/>
    <col min="11524" max="11524" width="10.42578125" style="148" customWidth="1"/>
    <col min="11525" max="11525" width="5.5703125" style="148" customWidth="1"/>
    <col min="11526" max="11526" width="11.7109375" style="148" customWidth="1"/>
    <col min="11527" max="11527" width="11.5703125" style="148" customWidth="1"/>
    <col min="11528" max="11528" width="21.85546875" style="148" customWidth="1"/>
    <col min="11529" max="11529" width="14.5703125" style="148" customWidth="1"/>
    <col min="11530" max="11530" width="10.140625" style="148" customWidth="1"/>
    <col min="11531" max="11531" width="14.85546875" style="148" customWidth="1"/>
    <col min="11532" max="11532" width="1.42578125" style="148" customWidth="1"/>
    <col min="11533" max="11542" width="0" style="148" hidden="1" customWidth="1"/>
    <col min="11543" max="11776" width="8.7109375" style="148"/>
    <col min="11777" max="11777" width="1.85546875" style="148" customWidth="1"/>
    <col min="11778" max="11778" width="6.28515625" style="148" customWidth="1"/>
    <col min="11779" max="11779" width="55.7109375" style="148" customWidth="1"/>
    <col min="11780" max="11780" width="10.42578125" style="148" customWidth="1"/>
    <col min="11781" max="11781" width="5.5703125" style="148" customWidth="1"/>
    <col min="11782" max="11782" width="11.7109375" style="148" customWidth="1"/>
    <col min="11783" max="11783" width="11.5703125" style="148" customWidth="1"/>
    <col min="11784" max="11784" width="21.85546875" style="148" customWidth="1"/>
    <col min="11785" max="11785" width="14.5703125" style="148" customWidth="1"/>
    <col min="11786" max="11786" width="10.140625" style="148" customWidth="1"/>
    <col min="11787" max="11787" width="14.85546875" style="148" customWidth="1"/>
    <col min="11788" max="11788" width="1.42578125" style="148" customWidth="1"/>
    <col min="11789" max="11798" width="0" style="148" hidden="1" customWidth="1"/>
    <col min="11799" max="12032" width="8.7109375" style="148"/>
    <col min="12033" max="12033" width="1.85546875" style="148" customWidth="1"/>
    <col min="12034" max="12034" width="6.28515625" style="148" customWidth="1"/>
    <col min="12035" max="12035" width="55.7109375" style="148" customWidth="1"/>
    <col min="12036" max="12036" width="10.42578125" style="148" customWidth="1"/>
    <col min="12037" max="12037" width="5.5703125" style="148" customWidth="1"/>
    <col min="12038" max="12038" width="11.7109375" style="148" customWidth="1"/>
    <col min="12039" max="12039" width="11.5703125" style="148" customWidth="1"/>
    <col min="12040" max="12040" width="21.85546875" style="148" customWidth="1"/>
    <col min="12041" max="12041" width="14.5703125" style="148" customWidth="1"/>
    <col min="12042" max="12042" width="10.140625" style="148" customWidth="1"/>
    <col min="12043" max="12043" width="14.85546875" style="148" customWidth="1"/>
    <col min="12044" max="12044" width="1.42578125" style="148" customWidth="1"/>
    <col min="12045" max="12054" width="0" style="148" hidden="1" customWidth="1"/>
    <col min="12055" max="12288" width="8.7109375" style="148"/>
    <col min="12289" max="12289" width="1.85546875" style="148" customWidth="1"/>
    <col min="12290" max="12290" width="6.28515625" style="148" customWidth="1"/>
    <col min="12291" max="12291" width="55.7109375" style="148" customWidth="1"/>
    <col min="12292" max="12292" width="10.42578125" style="148" customWidth="1"/>
    <col min="12293" max="12293" width="5.5703125" style="148" customWidth="1"/>
    <col min="12294" max="12294" width="11.7109375" style="148" customWidth="1"/>
    <col min="12295" max="12295" width="11.5703125" style="148" customWidth="1"/>
    <col min="12296" max="12296" width="21.85546875" style="148" customWidth="1"/>
    <col min="12297" max="12297" width="14.5703125" style="148" customWidth="1"/>
    <col min="12298" max="12298" width="10.140625" style="148" customWidth="1"/>
    <col min="12299" max="12299" width="14.85546875" style="148" customWidth="1"/>
    <col min="12300" max="12300" width="1.42578125" style="148" customWidth="1"/>
    <col min="12301" max="12310" width="0" style="148" hidden="1" customWidth="1"/>
    <col min="12311" max="12544" width="8.7109375" style="148"/>
    <col min="12545" max="12545" width="1.85546875" style="148" customWidth="1"/>
    <col min="12546" max="12546" width="6.28515625" style="148" customWidth="1"/>
    <col min="12547" max="12547" width="55.7109375" style="148" customWidth="1"/>
    <col min="12548" max="12548" width="10.42578125" style="148" customWidth="1"/>
    <col min="12549" max="12549" width="5.5703125" style="148" customWidth="1"/>
    <col min="12550" max="12550" width="11.7109375" style="148" customWidth="1"/>
    <col min="12551" max="12551" width="11.5703125" style="148" customWidth="1"/>
    <col min="12552" max="12552" width="21.85546875" style="148" customWidth="1"/>
    <col min="12553" max="12553" width="14.5703125" style="148" customWidth="1"/>
    <col min="12554" max="12554" width="10.140625" style="148" customWidth="1"/>
    <col min="12555" max="12555" width="14.85546875" style="148" customWidth="1"/>
    <col min="12556" max="12556" width="1.42578125" style="148" customWidth="1"/>
    <col min="12557" max="12566" width="0" style="148" hidden="1" customWidth="1"/>
    <col min="12567" max="12800" width="8.7109375" style="148"/>
    <col min="12801" max="12801" width="1.85546875" style="148" customWidth="1"/>
    <col min="12802" max="12802" width="6.28515625" style="148" customWidth="1"/>
    <col min="12803" max="12803" width="55.7109375" style="148" customWidth="1"/>
    <col min="12804" max="12804" width="10.42578125" style="148" customWidth="1"/>
    <col min="12805" max="12805" width="5.5703125" style="148" customWidth="1"/>
    <col min="12806" max="12806" width="11.7109375" style="148" customWidth="1"/>
    <col min="12807" max="12807" width="11.5703125" style="148" customWidth="1"/>
    <col min="12808" max="12808" width="21.85546875" style="148" customWidth="1"/>
    <col min="12809" max="12809" width="14.5703125" style="148" customWidth="1"/>
    <col min="12810" max="12810" width="10.140625" style="148" customWidth="1"/>
    <col min="12811" max="12811" width="14.85546875" style="148" customWidth="1"/>
    <col min="12812" max="12812" width="1.42578125" style="148" customWidth="1"/>
    <col min="12813" max="12822" width="0" style="148" hidden="1" customWidth="1"/>
    <col min="12823" max="13056" width="8.7109375" style="148"/>
    <col min="13057" max="13057" width="1.85546875" style="148" customWidth="1"/>
    <col min="13058" max="13058" width="6.28515625" style="148" customWidth="1"/>
    <col min="13059" max="13059" width="55.7109375" style="148" customWidth="1"/>
    <col min="13060" max="13060" width="10.42578125" style="148" customWidth="1"/>
    <col min="13061" max="13061" width="5.5703125" style="148" customWidth="1"/>
    <col min="13062" max="13062" width="11.7109375" style="148" customWidth="1"/>
    <col min="13063" max="13063" width="11.5703125" style="148" customWidth="1"/>
    <col min="13064" max="13064" width="21.85546875" style="148" customWidth="1"/>
    <col min="13065" max="13065" width="14.5703125" style="148" customWidth="1"/>
    <col min="13066" max="13066" width="10.140625" style="148" customWidth="1"/>
    <col min="13067" max="13067" width="14.85546875" style="148" customWidth="1"/>
    <col min="13068" max="13068" width="1.42578125" style="148" customWidth="1"/>
    <col min="13069" max="13078" width="0" style="148" hidden="1" customWidth="1"/>
    <col min="13079" max="13312" width="8.7109375" style="148"/>
    <col min="13313" max="13313" width="1.85546875" style="148" customWidth="1"/>
    <col min="13314" max="13314" width="6.28515625" style="148" customWidth="1"/>
    <col min="13315" max="13315" width="55.7109375" style="148" customWidth="1"/>
    <col min="13316" max="13316" width="10.42578125" style="148" customWidth="1"/>
    <col min="13317" max="13317" width="5.5703125" style="148" customWidth="1"/>
    <col min="13318" max="13318" width="11.7109375" style="148" customWidth="1"/>
    <col min="13319" max="13319" width="11.5703125" style="148" customWidth="1"/>
    <col min="13320" max="13320" width="21.85546875" style="148" customWidth="1"/>
    <col min="13321" max="13321" width="14.5703125" style="148" customWidth="1"/>
    <col min="13322" max="13322" width="10.140625" style="148" customWidth="1"/>
    <col min="13323" max="13323" width="14.85546875" style="148" customWidth="1"/>
    <col min="13324" max="13324" width="1.42578125" style="148" customWidth="1"/>
    <col min="13325" max="13334" width="0" style="148" hidden="1" customWidth="1"/>
    <col min="13335" max="13568" width="8.7109375" style="148"/>
    <col min="13569" max="13569" width="1.85546875" style="148" customWidth="1"/>
    <col min="13570" max="13570" width="6.28515625" style="148" customWidth="1"/>
    <col min="13571" max="13571" width="55.7109375" style="148" customWidth="1"/>
    <col min="13572" max="13572" width="10.42578125" style="148" customWidth="1"/>
    <col min="13573" max="13573" width="5.5703125" style="148" customWidth="1"/>
    <col min="13574" max="13574" width="11.7109375" style="148" customWidth="1"/>
    <col min="13575" max="13575" width="11.5703125" style="148" customWidth="1"/>
    <col min="13576" max="13576" width="21.85546875" style="148" customWidth="1"/>
    <col min="13577" max="13577" width="14.5703125" style="148" customWidth="1"/>
    <col min="13578" max="13578" width="10.140625" style="148" customWidth="1"/>
    <col min="13579" max="13579" width="14.85546875" style="148" customWidth="1"/>
    <col min="13580" max="13580" width="1.42578125" style="148" customWidth="1"/>
    <col min="13581" max="13590" width="0" style="148" hidden="1" customWidth="1"/>
    <col min="13591" max="13824" width="8.7109375" style="148"/>
    <col min="13825" max="13825" width="1.85546875" style="148" customWidth="1"/>
    <col min="13826" max="13826" width="6.28515625" style="148" customWidth="1"/>
    <col min="13827" max="13827" width="55.7109375" style="148" customWidth="1"/>
    <col min="13828" max="13828" width="10.42578125" style="148" customWidth="1"/>
    <col min="13829" max="13829" width="5.5703125" style="148" customWidth="1"/>
    <col min="13830" max="13830" width="11.7109375" style="148" customWidth="1"/>
    <col min="13831" max="13831" width="11.5703125" style="148" customWidth="1"/>
    <col min="13832" max="13832" width="21.85546875" style="148" customWidth="1"/>
    <col min="13833" max="13833" width="14.5703125" style="148" customWidth="1"/>
    <col min="13834" max="13834" width="10.140625" style="148" customWidth="1"/>
    <col min="13835" max="13835" width="14.85546875" style="148" customWidth="1"/>
    <col min="13836" max="13836" width="1.42578125" style="148" customWidth="1"/>
    <col min="13837" max="13846" width="0" style="148" hidden="1" customWidth="1"/>
    <col min="13847" max="14080" width="8.7109375" style="148"/>
    <col min="14081" max="14081" width="1.85546875" style="148" customWidth="1"/>
    <col min="14082" max="14082" width="6.28515625" style="148" customWidth="1"/>
    <col min="14083" max="14083" width="55.7109375" style="148" customWidth="1"/>
    <col min="14084" max="14084" width="10.42578125" style="148" customWidth="1"/>
    <col min="14085" max="14085" width="5.5703125" style="148" customWidth="1"/>
    <col min="14086" max="14086" width="11.7109375" style="148" customWidth="1"/>
    <col min="14087" max="14087" width="11.5703125" style="148" customWidth="1"/>
    <col min="14088" max="14088" width="21.85546875" style="148" customWidth="1"/>
    <col min="14089" max="14089" width="14.5703125" style="148" customWidth="1"/>
    <col min="14090" max="14090" width="10.140625" style="148" customWidth="1"/>
    <col min="14091" max="14091" width="14.85546875" style="148" customWidth="1"/>
    <col min="14092" max="14092" width="1.42578125" style="148" customWidth="1"/>
    <col min="14093" max="14102" width="0" style="148" hidden="1" customWidth="1"/>
    <col min="14103" max="14336" width="8.7109375" style="148"/>
    <col min="14337" max="14337" width="1.85546875" style="148" customWidth="1"/>
    <col min="14338" max="14338" width="6.28515625" style="148" customWidth="1"/>
    <col min="14339" max="14339" width="55.7109375" style="148" customWidth="1"/>
    <col min="14340" max="14340" width="10.42578125" style="148" customWidth="1"/>
    <col min="14341" max="14341" width="5.5703125" style="148" customWidth="1"/>
    <col min="14342" max="14342" width="11.7109375" style="148" customWidth="1"/>
    <col min="14343" max="14343" width="11.5703125" style="148" customWidth="1"/>
    <col min="14344" max="14344" width="21.85546875" style="148" customWidth="1"/>
    <col min="14345" max="14345" width="14.5703125" style="148" customWidth="1"/>
    <col min="14346" max="14346" width="10.140625" style="148" customWidth="1"/>
    <col min="14347" max="14347" width="14.85546875" style="148" customWidth="1"/>
    <col min="14348" max="14348" width="1.42578125" style="148" customWidth="1"/>
    <col min="14349" max="14358" width="0" style="148" hidden="1" customWidth="1"/>
    <col min="14359" max="14592" width="8.7109375" style="148"/>
    <col min="14593" max="14593" width="1.85546875" style="148" customWidth="1"/>
    <col min="14594" max="14594" width="6.28515625" style="148" customWidth="1"/>
    <col min="14595" max="14595" width="55.7109375" style="148" customWidth="1"/>
    <col min="14596" max="14596" width="10.42578125" style="148" customWidth="1"/>
    <col min="14597" max="14597" width="5.5703125" style="148" customWidth="1"/>
    <col min="14598" max="14598" width="11.7109375" style="148" customWidth="1"/>
    <col min="14599" max="14599" width="11.5703125" style="148" customWidth="1"/>
    <col min="14600" max="14600" width="21.85546875" style="148" customWidth="1"/>
    <col min="14601" max="14601" width="14.5703125" style="148" customWidth="1"/>
    <col min="14602" max="14602" width="10.140625" style="148" customWidth="1"/>
    <col min="14603" max="14603" width="14.85546875" style="148" customWidth="1"/>
    <col min="14604" max="14604" width="1.42578125" style="148" customWidth="1"/>
    <col min="14605" max="14614" width="0" style="148" hidden="1" customWidth="1"/>
    <col min="14615" max="14848" width="8.7109375" style="148"/>
    <col min="14849" max="14849" width="1.85546875" style="148" customWidth="1"/>
    <col min="14850" max="14850" width="6.28515625" style="148" customWidth="1"/>
    <col min="14851" max="14851" width="55.7109375" style="148" customWidth="1"/>
    <col min="14852" max="14852" width="10.42578125" style="148" customWidth="1"/>
    <col min="14853" max="14853" width="5.5703125" style="148" customWidth="1"/>
    <col min="14854" max="14854" width="11.7109375" style="148" customWidth="1"/>
    <col min="14855" max="14855" width="11.5703125" style="148" customWidth="1"/>
    <col min="14856" max="14856" width="21.85546875" style="148" customWidth="1"/>
    <col min="14857" max="14857" width="14.5703125" style="148" customWidth="1"/>
    <col min="14858" max="14858" width="10.140625" style="148" customWidth="1"/>
    <col min="14859" max="14859" width="14.85546875" style="148" customWidth="1"/>
    <col min="14860" max="14860" width="1.42578125" style="148" customWidth="1"/>
    <col min="14861" max="14870" width="0" style="148" hidden="1" customWidth="1"/>
    <col min="14871" max="15104" width="8.7109375" style="148"/>
    <col min="15105" max="15105" width="1.85546875" style="148" customWidth="1"/>
    <col min="15106" max="15106" width="6.28515625" style="148" customWidth="1"/>
    <col min="15107" max="15107" width="55.7109375" style="148" customWidth="1"/>
    <col min="15108" max="15108" width="10.42578125" style="148" customWidth="1"/>
    <col min="15109" max="15109" width="5.5703125" style="148" customWidth="1"/>
    <col min="15110" max="15110" width="11.7109375" style="148" customWidth="1"/>
    <col min="15111" max="15111" width="11.5703125" style="148" customWidth="1"/>
    <col min="15112" max="15112" width="21.85546875" style="148" customWidth="1"/>
    <col min="15113" max="15113" width="14.5703125" style="148" customWidth="1"/>
    <col min="15114" max="15114" width="10.140625" style="148" customWidth="1"/>
    <col min="15115" max="15115" width="14.85546875" style="148" customWidth="1"/>
    <col min="15116" max="15116" width="1.42578125" style="148" customWidth="1"/>
    <col min="15117" max="15126" width="0" style="148" hidden="1" customWidth="1"/>
    <col min="15127" max="15360" width="8.7109375" style="148"/>
    <col min="15361" max="15361" width="1.85546875" style="148" customWidth="1"/>
    <col min="15362" max="15362" width="6.28515625" style="148" customWidth="1"/>
    <col min="15363" max="15363" width="55.7109375" style="148" customWidth="1"/>
    <col min="15364" max="15364" width="10.42578125" style="148" customWidth="1"/>
    <col min="15365" max="15365" width="5.5703125" style="148" customWidth="1"/>
    <col min="15366" max="15366" width="11.7109375" style="148" customWidth="1"/>
    <col min="15367" max="15367" width="11.5703125" style="148" customWidth="1"/>
    <col min="15368" max="15368" width="21.85546875" style="148" customWidth="1"/>
    <col min="15369" max="15369" width="14.5703125" style="148" customWidth="1"/>
    <col min="15370" max="15370" width="10.140625" style="148" customWidth="1"/>
    <col min="15371" max="15371" width="14.85546875" style="148" customWidth="1"/>
    <col min="15372" max="15372" width="1.42578125" style="148" customWidth="1"/>
    <col min="15373" max="15382" width="0" style="148" hidden="1" customWidth="1"/>
    <col min="15383" max="15616" width="8.7109375" style="148"/>
    <col min="15617" max="15617" width="1.85546875" style="148" customWidth="1"/>
    <col min="15618" max="15618" width="6.28515625" style="148" customWidth="1"/>
    <col min="15619" max="15619" width="55.7109375" style="148" customWidth="1"/>
    <col min="15620" max="15620" width="10.42578125" style="148" customWidth="1"/>
    <col min="15621" max="15621" width="5.5703125" style="148" customWidth="1"/>
    <col min="15622" max="15622" width="11.7109375" style="148" customWidth="1"/>
    <col min="15623" max="15623" width="11.5703125" style="148" customWidth="1"/>
    <col min="15624" max="15624" width="21.85546875" style="148" customWidth="1"/>
    <col min="15625" max="15625" width="14.5703125" style="148" customWidth="1"/>
    <col min="15626" max="15626" width="10.140625" style="148" customWidth="1"/>
    <col min="15627" max="15627" width="14.85546875" style="148" customWidth="1"/>
    <col min="15628" max="15628" width="1.42578125" style="148" customWidth="1"/>
    <col min="15629" max="15638" width="0" style="148" hidden="1" customWidth="1"/>
    <col min="15639" max="15872" width="8.7109375" style="148"/>
    <col min="15873" max="15873" width="1.85546875" style="148" customWidth="1"/>
    <col min="15874" max="15874" width="6.28515625" style="148" customWidth="1"/>
    <col min="15875" max="15875" width="55.7109375" style="148" customWidth="1"/>
    <col min="15876" max="15876" width="10.42578125" style="148" customWidth="1"/>
    <col min="15877" max="15877" width="5.5703125" style="148" customWidth="1"/>
    <col min="15878" max="15878" width="11.7109375" style="148" customWidth="1"/>
    <col min="15879" max="15879" width="11.5703125" style="148" customWidth="1"/>
    <col min="15880" max="15880" width="21.85546875" style="148" customWidth="1"/>
    <col min="15881" max="15881" width="14.5703125" style="148" customWidth="1"/>
    <col min="15882" max="15882" width="10.140625" style="148" customWidth="1"/>
    <col min="15883" max="15883" width="14.85546875" style="148" customWidth="1"/>
    <col min="15884" max="15884" width="1.42578125" style="148" customWidth="1"/>
    <col min="15885" max="15894" width="0" style="148" hidden="1" customWidth="1"/>
    <col min="15895" max="16128" width="8.7109375" style="148"/>
    <col min="16129" max="16129" width="1.85546875" style="148" customWidth="1"/>
    <col min="16130" max="16130" width="6.28515625" style="148" customWidth="1"/>
    <col min="16131" max="16131" width="55.7109375" style="148" customWidth="1"/>
    <col min="16132" max="16132" width="10.42578125" style="148" customWidth="1"/>
    <col min="16133" max="16133" width="5.5703125" style="148" customWidth="1"/>
    <col min="16134" max="16134" width="11.7109375" style="148" customWidth="1"/>
    <col min="16135" max="16135" width="11.5703125" style="148" customWidth="1"/>
    <col min="16136" max="16136" width="21.85546875" style="148" customWidth="1"/>
    <col min="16137" max="16137" width="14.5703125" style="148" customWidth="1"/>
    <col min="16138" max="16138" width="10.140625" style="148" customWidth="1"/>
    <col min="16139" max="16139" width="14.85546875" style="148" customWidth="1"/>
    <col min="16140" max="16140" width="1.42578125" style="148" customWidth="1"/>
    <col min="16141" max="16150" width="0" style="148" hidden="1" customWidth="1"/>
    <col min="16151" max="16384" width="8.7109375" style="148"/>
  </cols>
  <sheetData>
    <row r="2" spans="1:14" ht="20.25" x14ac:dyDescent="0.3">
      <c r="A2" s="508" t="s">
        <v>304</v>
      </c>
      <c r="B2" s="25"/>
      <c r="C2" s="509" t="s">
        <v>305</v>
      </c>
      <c r="D2" s="25"/>
      <c r="E2" s="25"/>
      <c r="F2" s="25"/>
      <c r="G2" s="25"/>
      <c r="H2" s="25"/>
      <c r="I2" s="509" t="s">
        <v>306</v>
      </c>
      <c r="K2" s="25"/>
      <c r="L2" s="25"/>
    </row>
    <row r="3" spans="1:14" ht="29.25" customHeight="1" x14ac:dyDescent="0.25">
      <c r="B3" s="25"/>
      <c r="C3" s="25"/>
      <c r="D3" s="25"/>
      <c r="E3" s="25"/>
      <c r="F3" s="25"/>
      <c r="G3" s="25"/>
      <c r="H3" s="25" t="s">
        <v>307</v>
      </c>
      <c r="I3" s="510">
        <f>J108</f>
        <v>88.5</v>
      </c>
      <c r="J3" s="422" t="s">
        <v>308</v>
      </c>
      <c r="K3" s="510"/>
    </row>
    <row r="4" spans="1:14" ht="16.5" customHeight="1" x14ac:dyDescent="0.25">
      <c r="B4" s="25"/>
      <c r="C4" s="253" t="s">
        <v>309</v>
      </c>
      <c r="D4" s="25"/>
      <c r="E4" s="25"/>
      <c r="F4" s="25"/>
      <c r="G4" s="25"/>
      <c r="H4" s="25" t="s">
        <v>310</v>
      </c>
      <c r="I4" s="510"/>
      <c r="J4" s="511">
        <f>K108</f>
        <v>1395685.5</v>
      </c>
      <c r="K4" s="510" t="s">
        <v>311</v>
      </c>
      <c r="N4" s="148">
        <f>J108</f>
        <v>88.5</v>
      </c>
    </row>
    <row r="5" spans="1:14" ht="15.75" x14ac:dyDescent="0.25">
      <c r="B5" s="25"/>
      <c r="C5" s="253" t="s">
        <v>312</v>
      </c>
      <c r="D5" s="25"/>
      <c r="E5" s="25"/>
      <c r="F5" s="25"/>
      <c r="G5" s="25"/>
      <c r="H5" s="25"/>
      <c r="I5" s="512" t="s">
        <v>313</v>
      </c>
      <c r="J5" s="510"/>
      <c r="K5" s="510"/>
      <c r="N5" s="148">
        <f>K108</f>
        <v>1395685.5</v>
      </c>
    </row>
    <row r="6" spans="1:14" ht="11.25" customHeight="1" x14ac:dyDescent="0.25">
      <c r="B6" s="25"/>
      <c r="C6" s="253" t="s">
        <v>314</v>
      </c>
      <c r="D6" s="25"/>
      <c r="E6" s="25"/>
      <c r="F6" s="25"/>
      <c r="G6" s="25"/>
      <c r="H6" s="25"/>
      <c r="I6" s="510" t="s">
        <v>315</v>
      </c>
      <c r="J6" s="510"/>
      <c r="K6" s="510"/>
    </row>
    <row r="7" spans="1:14" ht="15.75" x14ac:dyDescent="0.25">
      <c r="B7" s="25"/>
      <c r="C7" s="253" t="s">
        <v>316</v>
      </c>
      <c r="D7" s="25"/>
      <c r="E7" s="25"/>
      <c r="F7" s="25"/>
      <c r="G7" s="25"/>
      <c r="H7" s="25"/>
      <c r="I7" s="510" t="s">
        <v>317</v>
      </c>
      <c r="J7" s="510"/>
      <c r="K7" s="510"/>
    </row>
    <row r="8" spans="1:14" ht="15.75" x14ac:dyDescent="0.25">
      <c r="B8" s="25"/>
      <c r="C8" s="253" t="s">
        <v>159</v>
      </c>
      <c r="D8" s="25"/>
      <c r="E8" s="25"/>
      <c r="F8" s="25"/>
      <c r="G8" s="25"/>
      <c r="I8" s="513" t="s">
        <v>318</v>
      </c>
      <c r="J8" s="513"/>
      <c r="K8" s="510"/>
    </row>
    <row r="9" spans="1:14" ht="15.75" x14ac:dyDescent="0.25">
      <c r="B9" s="25"/>
      <c r="C9" s="25"/>
      <c r="D9" s="25"/>
      <c r="E9" s="25"/>
      <c r="F9" s="25"/>
      <c r="G9" s="25"/>
      <c r="H9" s="25"/>
      <c r="I9" s="510" t="s">
        <v>319</v>
      </c>
      <c r="J9" s="510"/>
      <c r="K9" s="510"/>
    </row>
    <row r="10" spans="1:14" ht="15.75" x14ac:dyDescent="0.25">
      <c r="B10" s="25"/>
      <c r="C10" s="253" t="s">
        <v>320</v>
      </c>
      <c r="D10" s="25"/>
      <c r="E10" s="25"/>
      <c r="F10" s="25"/>
      <c r="G10" s="25"/>
      <c r="H10" s="25"/>
      <c r="I10" s="513" t="s">
        <v>321</v>
      </c>
      <c r="J10" s="510"/>
      <c r="K10" s="510"/>
    </row>
    <row r="11" spans="1:14" ht="15.75" x14ac:dyDescent="0.25">
      <c r="B11" s="25"/>
      <c r="C11" s="253" t="s">
        <v>322</v>
      </c>
      <c r="D11" s="25"/>
      <c r="E11" s="25"/>
      <c r="F11" s="25"/>
      <c r="G11" s="25"/>
      <c r="H11" s="514"/>
      <c r="I11" s="514"/>
      <c r="J11" s="514"/>
      <c r="K11" s="514"/>
      <c r="L11" s="25"/>
    </row>
    <row r="12" spans="1:14" ht="9.75" customHeight="1" x14ac:dyDescent="0.25">
      <c r="B12" s="25"/>
      <c r="C12" s="253" t="s">
        <v>323</v>
      </c>
      <c r="D12" s="25"/>
      <c r="E12" s="25"/>
      <c r="F12" s="25"/>
      <c r="G12" s="25"/>
      <c r="H12" s="515"/>
      <c r="I12" s="515"/>
      <c r="J12" s="515"/>
      <c r="K12" s="515"/>
      <c r="L12" s="25"/>
    </row>
    <row r="13" spans="1:14" ht="15.75" x14ac:dyDescent="0.25">
      <c r="B13" s="25"/>
      <c r="C13" s="253" t="s">
        <v>324</v>
      </c>
      <c r="D13" s="25"/>
      <c r="E13" s="25"/>
      <c r="F13" s="25"/>
      <c r="G13" s="25"/>
      <c r="H13" s="516"/>
      <c r="I13" s="516"/>
      <c r="J13" s="516"/>
      <c r="K13" s="516"/>
      <c r="L13" s="25"/>
    </row>
    <row r="14" spans="1:14" ht="15.75" x14ac:dyDescent="0.25">
      <c r="B14" s="25"/>
      <c r="C14" s="253" t="s">
        <v>165</v>
      </c>
      <c r="D14" s="25"/>
      <c r="E14" s="25"/>
      <c r="F14" s="25"/>
      <c r="G14" s="25"/>
      <c r="H14" s="516"/>
      <c r="I14" s="516"/>
      <c r="J14" s="516"/>
      <c r="K14" s="516"/>
      <c r="L14" s="25"/>
    </row>
    <row r="15" spans="1:14" ht="12.75" customHeight="1" x14ac:dyDescent="0.25">
      <c r="B15" s="25"/>
      <c r="C15" s="25"/>
      <c r="D15" s="25"/>
      <c r="E15" s="25"/>
      <c r="F15" s="25"/>
      <c r="G15" s="25"/>
      <c r="H15" s="516"/>
      <c r="I15" s="516"/>
      <c r="J15" s="516"/>
      <c r="K15" s="516"/>
      <c r="L15" s="25"/>
    </row>
    <row r="16" spans="1:14" s="205" customFormat="1" ht="15.75" hidden="1" x14ac:dyDescent="0.25">
      <c r="B16" s="517"/>
      <c r="C16" s="518" t="s">
        <v>325</v>
      </c>
      <c r="D16" s="517"/>
      <c r="E16" s="517"/>
      <c r="F16" s="517"/>
      <c r="G16" s="517"/>
      <c r="H16" s="516"/>
      <c r="I16" s="519"/>
      <c r="J16" s="519"/>
      <c r="K16" s="519"/>
      <c r="L16" s="517"/>
    </row>
    <row r="17" spans="2:12" s="205" customFormat="1" ht="24" hidden="1" customHeight="1" x14ac:dyDescent="0.25">
      <c r="B17" s="517"/>
      <c r="C17" s="518" t="s">
        <v>326</v>
      </c>
      <c r="D17" s="517"/>
      <c r="E17" s="517"/>
      <c r="F17" s="517"/>
      <c r="G17" s="517"/>
      <c r="H17" s="516"/>
      <c r="I17" s="519"/>
      <c r="J17" s="519"/>
      <c r="K17" s="519"/>
      <c r="L17" s="517"/>
    </row>
    <row r="18" spans="2:12" s="205" customFormat="1" ht="15.75" hidden="1" x14ac:dyDescent="0.25">
      <c r="B18" s="517"/>
      <c r="C18" s="518" t="s">
        <v>159</v>
      </c>
      <c r="D18" s="517"/>
      <c r="E18" s="517"/>
      <c r="F18" s="517"/>
      <c r="G18" s="517"/>
      <c r="H18" s="516"/>
      <c r="I18" s="519"/>
      <c r="J18" s="519"/>
      <c r="K18" s="519"/>
      <c r="L18" s="517"/>
    </row>
    <row r="19" spans="2:12" s="205" customFormat="1" ht="9.75" hidden="1" customHeight="1" x14ac:dyDescent="0.25">
      <c r="B19" s="517"/>
      <c r="C19" s="518"/>
      <c r="D19" s="517"/>
      <c r="E19" s="517"/>
      <c r="F19" s="517"/>
      <c r="G19" s="517"/>
      <c r="H19" s="516"/>
      <c r="I19" s="519"/>
      <c r="J19" s="519"/>
      <c r="K19" s="519"/>
      <c r="L19" s="517"/>
    </row>
    <row r="20" spans="2:12" ht="15.75" x14ac:dyDescent="0.25">
      <c r="B20" s="25"/>
      <c r="C20" s="253" t="s">
        <v>166</v>
      </c>
      <c r="D20" s="25"/>
      <c r="E20" s="25"/>
      <c r="F20" s="25"/>
      <c r="G20" s="25"/>
      <c r="H20" s="516"/>
      <c r="I20" s="516"/>
      <c r="J20" s="516"/>
      <c r="K20" s="516"/>
      <c r="L20" s="25"/>
    </row>
    <row r="21" spans="2:12" ht="9" customHeight="1" x14ac:dyDescent="0.25">
      <c r="B21" s="25"/>
      <c r="C21" s="253"/>
      <c r="D21" s="25"/>
      <c r="E21" s="25"/>
      <c r="F21" s="25"/>
      <c r="G21" s="25"/>
      <c r="H21" s="516"/>
      <c r="I21" s="516"/>
      <c r="J21" s="516"/>
      <c r="K21" s="516"/>
      <c r="L21" s="25"/>
    </row>
    <row r="22" spans="2:12" ht="15.75" x14ac:dyDescent="0.25">
      <c r="B22" s="25"/>
      <c r="C22" s="253" t="s">
        <v>327</v>
      </c>
      <c r="D22" s="25"/>
      <c r="E22" s="25"/>
      <c r="F22" s="25"/>
      <c r="G22" s="25"/>
      <c r="H22" s="516"/>
      <c r="I22" s="516"/>
      <c r="J22" s="516"/>
      <c r="K22" s="516"/>
      <c r="L22" s="25"/>
    </row>
    <row r="23" spans="2:12" ht="15.75" x14ac:dyDescent="0.25">
      <c r="B23" s="25"/>
      <c r="C23" s="253" t="s">
        <v>168</v>
      </c>
      <c r="D23" s="25"/>
      <c r="E23" s="25"/>
      <c r="F23" s="25"/>
      <c r="G23" s="25"/>
      <c r="H23" s="516"/>
      <c r="I23" s="516"/>
      <c r="J23" s="516"/>
      <c r="K23" s="516"/>
      <c r="L23" s="25"/>
    </row>
    <row r="24" spans="2:12" ht="8.25" customHeight="1" x14ac:dyDescent="0.25">
      <c r="B24" s="25"/>
      <c r="C24" s="253"/>
      <c r="D24" s="25"/>
      <c r="E24" s="25"/>
      <c r="F24" s="25"/>
      <c r="G24" s="25"/>
      <c r="H24" s="516"/>
      <c r="I24" s="516"/>
      <c r="J24" s="516"/>
      <c r="K24" s="516"/>
      <c r="L24" s="25"/>
    </row>
    <row r="25" spans="2:12" ht="15.75" x14ac:dyDescent="0.25">
      <c r="B25" s="25"/>
      <c r="C25" s="253" t="s">
        <v>169</v>
      </c>
      <c r="D25" s="25"/>
      <c r="E25" s="25"/>
      <c r="F25" s="25"/>
      <c r="G25" s="25"/>
      <c r="H25" s="516"/>
      <c r="I25" s="516"/>
      <c r="J25" s="516"/>
      <c r="K25" s="516"/>
      <c r="L25" s="25"/>
    </row>
    <row r="26" spans="2:12" ht="7.5" customHeight="1" x14ac:dyDescent="0.25">
      <c r="B26" s="25"/>
      <c r="C26" s="253"/>
      <c r="D26" s="25"/>
      <c r="E26" s="25"/>
      <c r="F26" s="25"/>
      <c r="G26" s="25"/>
      <c r="H26" s="516"/>
      <c r="I26" s="516"/>
      <c r="J26" s="516"/>
      <c r="K26" s="516"/>
      <c r="L26" s="25"/>
    </row>
    <row r="27" spans="2:12" ht="15.75" x14ac:dyDescent="0.25">
      <c r="B27" s="25"/>
      <c r="C27" s="253" t="s">
        <v>328</v>
      </c>
      <c r="D27" s="25"/>
      <c r="E27" s="25"/>
      <c r="F27" s="25"/>
      <c r="G27" s="25"/>
      <c r="H27" s="516"/>
      <c r="I27" s="516"/>
      <c r="J27" s="516"/>
      <c r="K27" s="516"/>
      <c r="L27" s="25"/>
    </row>
    <row r="28" spans="2:12" ht="15.6" customHeight="1" x14ac:dyDescent="0.3">
      <c r="B28" s="25"/>
      <c r="C28" s="253" t="s">
        <v>168</v>
      </c>
      <c r="D28" s="25"/>
      <c r="E28" s="25"/>
      <c r="G28" s="520"/>
      <c r="H28" s="520"/>
      <c r="I28" s="520"/>
      <c r="J28" s="25"/>
      <c r="K28" s="25"/>
      <c r="L28" s="25"/>
    </row>
    <row r="29" spans="2:12" ht="23.25" customHeight="1" x14ac:dyDescent="0.3">
      <c r="B29" s="25"/>
      <c r="C29" s="25"/>
      <c r="D29" s="25"/>
      <c r="E29" s="25"/>
      <c r="F29" s="521" t="s">
        <v>329</v>
      </c>
      <c r="G29" s="520"/>
      <c r="H29" s="520"/>
      <c r="I29" s="520"/>
      <c r="J29" s="25"/>
      <c r="K29" s="517"/>
      <c r="L29" s="25"/>
    </row>
    <row r="30" spans="2:12" ht="19.5" customHeight="1" x14ac:dyDescent="0.3">
      <c r="B30" s="25"/>
      <c r="C30" s="25"/>
      <c r="D30" s="25"/>
      <c r="E30" s="25"/>
      <c r="F30" s="521" t="s">
        <v>330</v>
      </c>
      <c r="G30" s="520"/>
      <c r="H30" s="520"/>
      <c r="I30" s="520"/>
      <c r="J30" s="25"/>
      <c r="K30" s="517"/>
      <c r="L30" s="25"/>
    </row>
    <row r="31" spans="2:12" ht="11.25" customHeight="1" x14ac:dyDescent="0.25">
      <c r="B31" s="25"/>
      <c r="C31" s="25"/>
      <c r="D31" s="25"/>
      <c r="E31" s="25"/>
      <c r="F31" s="25"/>
      <c r="G31" s="25"/>
      <c r="H31" s="25"/>
      <c r="I31" s="25"/>
      <c r="J31" s="25"/>
      <c r="K31" s="517"/>
      <c r="L31" s="25"/>
    </row>
    <row r="32" spans="2:12" s="522" customFormat="1" ht="18.75" x14ac:dyDescent="0.3">
      <c r="B32" s="523" t="s">
        <v>331</v>
      </c>
      <c r="K32" s="524">
        <f>D33</f>
        <v>3028</v>
      </c>
    </row>
    <row r="33" spans="2:12" ht="18.75" x14ac:dyDescent="0.3">
      <c r="B33" s="525" t="s">
        <v>332</v>
      </c>
      <c r="C33" s="25"/>
      <c r="D33" s="526">
        <v>3028</v>
      </c>
      <c r="E33" s="25" t="s">
        <v>333</v>
      </c>
      <c r="F33" s="25"/>
      <c r="G33" s="510"/>
      <c r="H33" s="25"/>
      <c r="I33" s="25"/>
      <c r="J33" s="25"/>
      <c r="K33" s="527">
        <f>K32*2</f>
        <v>6056</v>
      </c>
      <c r="L33" s="25"/>
    </row>
    <row r="34" spans="2:12" ht="12" customHeight="1" x14ac:dyDescent="0.25">
      <c r="B34" s="25"/>
      <c r="C34" s="25"/>
      <c r="D34" s="25"/>
      <c r="E34" s="25"/>
      <c r="F34" s="25"/>
      <c r="G34" s="25"/>
      <c r="H34" s="25"/>
      <c r="I34" s="25"/>
      <c r="J34" s="25"/>
      <c r="K34" s="527">
        <f>K33*1.58</f>
        <v>9568.48</v>
      </c>
      <c r="L34" s="25"/>
    </row>
    <row r="35" spans="2:12" ht="52.5" customHeight="1" x14ac:dyDescent="0.25">
      <c r="B35" s="1974" t="s">
        <v>334</v>
      </c>
      <c r="C35" s="1956" t="s">
        <v>335</v>
      </c>
      <c r="D35" s="1976" t="s">
        <v>336</v>
      </c>
      <c r="E35" s="1977" t="s">
        <v>178</v>
      </c>
      <c r="F35" s="1953" t="s">
        <v>337</v>
      </c>
      <c r="G35" s="1954"/>
      <c r="H35" s="1955"/>
      <c r="I35" s="1956" t="s">
        <v>338</v>
      </c>
      <c r="J35" s="1959" t="s">
        <v>339</v>
      </c>
      <c r="K35" s="1961" t="s">
        <v>340</v>
      </c>
      <c r="L35" s="25"/>
    </row>
    <row r="36" spans="2:12" ht="47.25" x14ac:dyDescent="0.25">
      <c r="B36" s="1975"/>
      <c r="C36" s="1956"/>
      <c r="D36" s="1976"/>
      <c r="E36" s="1977"/>
      <c r="F36" s="528" t="s">
        <v>341</v>
      </c>
      <c r="G36" s="528" t="s">
        <v>342</v>
      </c>
      <c r="H36" s="528" t="s">
        <v>343</v>
      </c>
      <c r="I36" s="1956"/>
      <c r="J36" s="1960"/>
      <c r="K36" s="1962"/>
      <c r="L36" s="25"/>
    </row>
    <row r="37" spans="2:12" ht="18.75" x14ac:dyDescent="0.3">
      <c r="B37" s="529">
        <v>1</v>
      </c>
      <c r="C37" s="529">
        <v>2</v>
      </c>
      <c r="D37" s="530">
        <v>3</v>
      </c>
      <c r="E37" s="529">
        <v>4</v>
      </c>
      <c r="F37" s="529">
        <v>5</v>
      </c>
      <c r="G37" s="529">
        <v>6</v>
      </c>
      <c r="H37" s="529">
        <v>7</v>
      </c>
      <c r="I37" s="529">
        <v>8</v>
      </c>
      <c r="J37" s="529">
        <v>9</v>
      </c>
      <c r="K37" s="529">
        <v>10</v>
      </c>
      <c r="L37" s="25"/>
    </row>
    <row r="38" spans="2:12" ht="19.5" x14ac:dyDescent="0.35">
      <c r="B38" s="529">
        <v>1</v>
      </c>
      <c r="C38" s="1963" t="s">
        <v>344</v>
      </c>
      <c r="D38" s="1964"/>
      <c r="E38" s="1964"/>
      <c r="F38" s="1964"/>
      <c r="G38" s="1964"/>
      <c r="H38" s="1964"/>
      <c r="I38" s="1964"/>
      <c r="J38" s="1964"/>
      <c r="K38" s="1965"/>
      <c r="L38" s="25"/>
    </row>
    <row r="39" spans="2:12" ht="44.25" customHeight="1" x14ac:dyDescent="0.3">
      <c r="B39" s="531" t="s">
        <v>345</v>
      </c>
      <c r="C39" s="532" t="s">
        <v>146</v>
      </c>
      <c r="D39" s="530">
        <v>1210.0999999999999</v>
      </c>
      <c r="E39" s="533"/>
      <c r="F39" s="533">
        <v>2</v>
      </c>
      <c r="G39" s="534">
        <v>1.58</v>
      </c>
      <c r="H39" s="535" t="s">
        <v>346</v>
      </c>
      <c r="I39" s="536">
        <f>ROUND(K$32*F39*G39*4.5,0)</f>
        <v>43058</v>
      </c>
      <c r="J39" s="529">
        <v>1</v>
      </c>
      <c r="K39" s="529">
        <f t="shared" ref="K39:K54" si="0">I39*J39</f>
        <v>43058</v>
      </c>
      <c r="L39" s="25"/>
    </row>
    <row r="40" spans="2:12" ht="22.5" customHeight="1" x14ac:dyDescent="0.3">
      <c r="B40" s="531" t="s">
        <v>347</v>
      </c>
      <c r="C40" s="532" t="s">
        <v>348</v>
      </c>
      <c r="D40" s="530">
        <v>1223.0999999999999</v>
      </c>
      <c r="E40" s="532"/>
      <c r="F40" s="532">
        <f>F$39</f>
        <v>2</v>
      </c>
      <c r="G40" s="532">
        <v>1.58</v>
      </c>
      <c r="H40" s="529">
        <v>3.6</v>
      </c>
      <c r="I40" s="537">
        <f t="shared" ref="I40:I52" si="1">ROUND(K$32*F40*G40*H40,0)</f>
        <v>34447</v>
      </c>
      <c r="J40" s="529">
        <v>1</v>
      </c>
      <c r="K40" s="529">
        <f>I40*J40</f>
        <v>34447</v>
      </c>
      <c r="L40" s="25"/>
    </row>
    <row r="41" spans="2:12" ht="22.5" customHeight="1" x14ac:dyDescent="0.3">
      <c r="B41" s="531" t="s">
        <v>349</v>
      </c>
      <c r="C41" s="532" t="s">
        <v>350</v>
      </c>
      <c r="D41" s="530">
        <v>1210.0999999999999</v>
      </c>
      <c r="E41" s="532"/>
      <c r="F41" s="532">
        <f t="shared" ref="F41:F54" si="2">F$39</f>
        <v>2</v>
      </c>
      <c r="G41" s="532">
        <v>1.58</v>
      </c>
      <c r="H41" s="529">
        <v>3.38</v>
      </c>
      <c r="I41" s="537">
        <f t="shared" si="1"/>
        <v>32341</v>
      </c>
      <c r="J41" s="529">
        <v>1</v>
      </c>
      <c r="K41" s="529">
        <f>I41*J41</f>
        <v>32341</v>
      </c>
      <c r="L41" s="25"/>
    </row>
    <row r="42" spans="2:12" ht="22.5" customHeight="1" x14ac:dyDescent="0.3">
      <c r="B42" s="531" t="s">
        <v>351</v>
      </c>
      <c r="C42" s="532" t="s">
        <v>352</v>
      </c>
      <c r="D42" s="530">
        <v>1231</v>
      </c>
      <c r="E42" s="532"/>
      <c r="F42" s="532">
        <f t="shared" si="2"/>
        <v>2</v>
      </c>
      <c r="G42" s="532">
        <v>1.58</v>
      </c>
      <c r="H42" s="529">
        <v>3.38</v>
      </c>
      <c r="I42" s="537">
        <f t="shared" si="1"/>
        <v>32341</v>
      </c>
      <c r="J42" s="529">
        <v>1</v>
      </c>
      <c r="K42" s="529">
        <f t="shared" si="0"/>
        <v>32341</v>
      </c>
      <c r="L42" s="25"/>
    </row>
    <row r="43" spans="2:12" ht="23.25" customHeight="1" x14ac:dyDescent="0.3">
      <c r="B43" s="531" t="s">
        <v>353</v>
      </c>
      <c r="C43" s="532" t="s">
        <v>217</v>
      </c>
      <c r="D43" s="530">
        <v>3433</v>
      </c>
      <c r="E43" s="532"/>
      <c r="F43" s="532">
        <f t="shared" si="2"/>
        <v>2</v>
      </c>
      <c r="G43" s="532">
        <v>1.58</v>
      </c>
      <c r="H43" s="538">
        <v>2</v>
      </c>
      <c r="I43" s="537">
        <f t="shared" si="1"/>
        <v>19137</v>
      </c>
      <c r="J43" s="529">
        <v>4</v>
      </c>
      <c r="K43" s="529">
        <f>I43*J43</f>
        <v>76548</v>
      </c>
      <c r="L43" s="25"/>
    </row>
    <row r="44" spans="2:12" ht="22.5" customHeight="1" x14ac:dyDescent="0.3">
      <c r="B44" s="531" t="s">
        <v>354</v>
      </c>
      <c r="C44" s="532" t="s">
        <v>218</v>
      </c>
      <c r="D44" s="530">
        <v>1231</v>
      </c>
      <c r="E44" s="532"/>
      <c r="F44" s="532">
        <f t="shared" si="2"/>
        <v>2</v>
      </c>
      <c r="G44" s="532">
        <v>1.58</v>
      </c>
      <c r="H44" s="529">
        <v>3.15</v>
      </c>
      <c r="I44" s="537">
        <f t="shared" si="1"/>
        <v>30141</v>
      </c>
      <c r="J44" s="529">
        <v>1</v>
      </c>
      <c r="K44" s="529">
        <f t="shared" si="0"/>
        <v>30141</v>
      </c>
      <c r="L44" s="25"/>
    </row>
    <row r="45" spans="2:12" ht="21.6" customHeight="1" x14ac:dyDescent="0.3">
      <c r="B45" s="531" t="s">
        <v>355</v>
      </c>
      <c r="C45" s="532" t="s">
        <v>356</v>
      </c>
      <c r="D45" s="530">
        <v>2441.1999999999998</v>
      </c>
      <c r="E45" s="529"/>
      <c r="F45" s="532">
        <f t="shared" si="2"/>
        <v>2</v>
      </c>
      <c r="G45" s="532">
        <v>1.58</v>
      </c>
      <c r="H45" s="529">
        <v>2.2000000000000002</v>
      </c>
      <c r="I45" s="537">
        <f t="shared" si="1"/>
        <v>21051</v>
      </c>
      <c r="J45" s="529">
        <v>1</v>
      </c>
      <c r="K45" s="529">
        <f t="shared" si="0"/>
        <v>21051</v>
      </c>
      <c r="L45" s="25"/>
    </row>
    <row r="46" spans="2:12" ht="23.25" customHeight="1" x14ac:dyDescent="0.3">
      <c r="B46" s="531" t="s">
        <v>357</v>
      </c>
      <c r="C46" s="532" t="s">
        <v>220</v>
      </c>
      <c r="D46" s="530">
        <v>1239</v>
      </c>
      <c r="E46" s="532"/>
      <c r="F46" s="532">
        <f t="shared" si="2"/>
        <v>2</v>
      </c>
      <c r="G46" s="532">
        <v>1.58</v>
      </c>
      <c r="H46" s="529">
        <v>2.8</v>
      </c>
      <c r="I46" s="537">
        <f t="shared" si="1"/>
        <v>26792</v>
      </c>
      <c r="J46" s="529">
        <v>1</v>
      </c>
      <c r="K46" s="529">
        <f>I46*J46</f>
        <v>26792</v>
      </c>
      <c r="L46" s="25"/>
    </row>
    <row r="47" spans="2:12" ht="23.25" customHeight="1" x14ac:dyDescent="0.3">
      <c r="B47" s="531" t="s">
        <v>358</v>
      </c>
      <c r="C47" s="532" t="s">
        <v>221</v>
      </c>
      <c r="D47" s="530">
        <v>2429</v>
      </c>
      <c r="E47" s="532"/>
      <c r="F47" s="532">
        <f t="shared" si="2"/>
        <v>2</v>
      </c>
      <c r="G47" s="532">
        <v>1.58</v>
      </c>
      <c r="H47" s="538">
        <v>2.2000000000000002</v>
      </c>
      <c r="I47" s="537">
        <f t="shared" si="1"/>
        <v>21051</v>
      </c>
      <c r="J47" s="529">
        <v>1</v>
      </c>
      <c r="K47" s="529">
        <f t="shared" si="0"/>
        <v>21051</v>
      </c>
      <c r="L47" s="25"/>
    </row>
    <row r="48" spans="2:12" ht="23.25" customHeight="1" x14ac:dyDescent="0.3">
      <c r="B48" s="531" t="s">
        <v>359</v>
      </c>
      <c r="C48" s="532" t="s">
        <v>222</v>
      </c>
      <c r="D48" s="530">
        <v>2419.1999999999998</v>
      </c>
      <c r="E48" s="532"/>
      <c r="F48" s="532">
        <f t="shared" si="2"/>
        <v>2</v>
      </c>
      <c r="G48" s="532">
        <v>1.58</v>
      </c>
      <c r="H48" s="538">
        <v>2.2000000000000002</v>
      </c>
      <c r="I48" s="537">
        <f>ROUND(K$32*F48*G48*H48,0)</f>
        <v>21051</v>
      </c>
      <c r="J48" s="529">
        <v>1</v>
      </c>
      <c r="K48" s="529">
        <f>I48*J48</f>
        <v>21051</v>
      </c>
      <c r="L48" s="25"/>
    </row>
    <row r="49" spans="2:18" ht="23.25" customHeight="1" x14ac:dyDescent="0.3">
      <c r="B49" s="531" t="s">
        <v>360</v>
      </c>
      <c r="C49" s="532" t="s">
        <v>223</v>
      </c>
      <c r="D49" s="530">
        <v>2149.1999999999998</v>
      </c>
      <c r="E49" s="532"/>
      <c r="F49" s="532">
        <f t="shared" si="2"/>
        <v>2</v>
      </c>
      <c r="G49" s="532">
        <v>1.58</v>
      </c>
      <c r="H49" s="538">
        <v>2.2000000000000002</v>
      </c>
      <c r="I49" s="537">
        <f t="shared" si="1"/>
        <v>21051</v>
      </c>
      <c r="J49" s="529">
        <v>1</v>
      </c>
      <c r="K49" s="529">
        <f t="shared" si="0"/>
        <v>21051</v>
      </c>
      <c r="L49" s="25"/>
    </row>
    <row r="50" spans="2:18" ht="23.25" customHeight="1" x14ac:dyDescent="0.3">
      <c r="B50" s="531" t="s">
        <v>361</v>
      </c>
      <c r="C50" s="532" t="s">
        <v>362</v>
      </c>
      <c r="D50" s="530">
        <v>3423</v>
      </c>
      <c r="E50" s="532"/>
      <c r="F50" s="532">
        <f t="shared" si="2"/>
        <v>2</v>
      </c>
      <c r="G50" s="532">
        <v>1.58</v>
      </c>
      <c r="H50" s="538">
        <v>2</v>
      </c>
      <c r="I50" s="537">
        <f t="shared" si="1"/>
        <v>19137</v>
      </c>
      <c r="J50" s="529">
        <v>1</v>
      </c>
      <c r="K50" s="529">
        <f t="shared" si="0"/>
        <v>19137</v>
      </c>
      <c r="L50" s="25"/>
    </row>
    <row r="51" spans="2:18" ht="23.25" customHeight="1" x14ac:dyDescent="0.3">
      <c r="B51" s="531" t="s">
        <v>363</v>
      </c>
      <c r="C51" s="532" t="s">
        <v>364</v>
      </c>
      <c r="D51" s="530">
        <v>4131</v>
      </c>
      <c r="E51" s="532"/>
      <c r="F51" s="532">
        <f t="shared" si="2"/>
        <v>2</v>
      </c>
      <c r="G51" s="532">
        <v>1.58</v>
      </c>
      <c r="H51" s="529">
        <v>1.26</v>
      </c>
      <c r="I51" s="537">
        <f t="shared" si="1"/>
        <v>12056</v>
      </c>
      <c r="J51" s="529">
        <v>1</v>
      </c>
      <c r="K51" s="529">
        <f t="shared" si="0"/>
        <v>12056</v>
      </c>
      <c r="L51" s="25"/>
    </row>
    <row r="52" spans="2:18" ht="23.25" customHeight="1" x14ac:dyDescent="0.3">
      <c r="B52" s="531" t="s">
        <v>365</v>
      </c>
      <c r="C52" s="532" t="s">
        <v>366</v>
      </c>
      <c r="D52" s="530">
        <v>4211</v>
      </c>
      <c r="E52" s="532"/>
      <c r="F52" s="532">
        <f t="shared" si="2"/>
        <v>2</v>
      </c>
      <c r="G52" s="532">
        <v>1.58</v>
      </c>
      <c r="H52" s="529">
        <v>1.7</v>
      </c>
      <c r="I52" s="537">
        <f t="shared" si="1"/>
        <v>16266</v>
      </c>
      <c r="J52" s="529">
        <v>1</v>
      </c>
      <c r="K52" s="529">
        <f t="shared" si="0"/>
        <v>16266</v>
      </c>
      <c r="L52" s="25"/>
    </row>
    <row r="53" spans="2:18" ht="23.25" customHeight="1" x14ac:dyDescent="0.3">
      <c r="B53" s="531" t="s">
        <v>367</v>
      </c>
      <c r="C53" s="532" t="s">
        <v>368</v>
      </c>
      <c r="D53" s="530">
        <v>4115</v>
      </c>
      <c r="E53" s="532"/>
      <c r="F53" s="532">
        <f t="shared" si="2"/>
        <v>2</v>
      </c>
      <c r="G53" s="532">
        <v>1.58</v>
      </c>
      <c r="H53" s="529">
        <v>1.6</v>
      </c>
      <c r="I53" s="537">
        <f>ROUND(K$32*F53*G53*H53,0)</f>
        <v>15310</v>
      </c>
      <c r="J53" s="529">
        <v>1</v>
      </c>
      <c r="K53" s="529">
        <f>I53*J53</f>
        <v>15310</v>
      </c>
      <c r="L53" s="25"/>
    </row>
    <row r="54" spans="2:18" ht="21.6" customHeight="1" x14ac:dyDescent="0.3">
      <c r="B54" s="531" t="s">
        <v>369</v>
      </c>
      <c r="C54" s="532" t="s">
        <v>228</v>
      </c>
      <c r="D54" s="530">
        <v>9132</v>
      </c>
      <c r="E54" s="529"/>
      <c r="F54" s="532">
        <f t="shared" si="2"/>
        <v>2</v>
      </c>
      <c r="G54" s="532">
        <v>1</v>
      </c>
      <c r="H54" s="529">
        <v>1.1000000000000001</v>
      </c>
      <c r="I54" s="537">
        <f>ROUND(K$32*F54*H54,0)</f>
        <v>6662</v>
      </c>
      <c r="J54" s="529">
        <v>1</v>
      </c>
      <c r="K54" s="529">
        <f t="shared" si="0"/>
        <v>6662</v>
      </c>
      <c r="L54" s="25"/>
    </row>
    <row r="55" spans="2:18" ht="21.75" customHeight="1" x14ac:dyDescent="0.3">
      <c r="B55" s="1966" t="s">
        <v>370</v>
      </c>
      <c r="C55" s="1967"/>
      <c r="D55" s="1967"/>
      <c r="E55" s="1967"/>
      <c r="F55" s="1967"/>
      <c r="G55" s="1967"/>
      <c r="H55" s="1967"/>
      <c r="I55" s="1967"/>
      <c r="J55" s="539">
        <f>SUM(J39:J54)</f>
        <v>19</v>
      </c>
      <c r="K55" s="540">
        <f>SUM(K39:K54)</f>
        <v>429303</v>
      </c>
      <c r="L55" s="25"/>
    </row>
    <row r="56" spans="2:18" ht="34.5" customHeight="1" x14ac:dyDescent="0.3">
      <c r="B56" s="529" t="s">
        <v>371</v>
      </c>
      <c r="C56" s="541" t="s">
        <v>372</v>
      </c>
      <c r="D56" s="530"/>
      <c r="E56" s="532"/>
      <c r="F56" s="532"/>
      <c r="G56" s="532"/>
      <c r="H56" s="529"/>
      <c r="I56" s="529"/>
      <c r="J56" s="529"/>
      <c r="K56" s="529"/>
      <c r="L56" s="25"/>
    </row>
    <row r="57" spans="2:18" ht="21.95" customHeight="1" x14ac:dyDescent="0.3">
      <c r="B57" s="531" t="s">
        <v>373</v>
      </c>
      <c r="C57" s="532" t="s">
        <v>234</v>
      </c>
      <c r="D57" s="530">
        <v>1222.2</v>
      </c>
      <c r="E57" s="532"/>
      <c r="F57" s="532">
        <f>F$39</f>
        <v>2</v>
      </c>
      <c r="G57" s="532">
        <v>1.58</v>
      </c>
      <c r="H57" s="529">
        <v>2.2999999999999998</v>
      </c>
      <c r="I57" s="537">
        <f t="shared" ref="I57:I62" si="3">ROUND(K$32*F57*G57*H57,0)</f>
        <v>22008</v>
      </c>
      <c r="J57" s="529">
        <v>1</v>
      </c>
      <c r="K57" s="529">
        <f t="shared" ref="K57:K62" si="4">I57*J57</f>
        <v>22008</v>
      </c>
      <c r="L57" s="25"/>
    </row>
    <row r="58" spans="2:18" ht="21.95" customHeight="1" x14ac:dyDescent="0.3">
      <c r="B58" s="531" t="s">
        <v>374</v>
      </c>
      <c r="C58" s="532" t="s">
        <v>235</v>
      </c>
      <c r="D58" s="530">
        <v>3113</v>
      </c>
      <c r="E58" s="532"/>
      <c r="F58" s="532">
        <f>F$39</f>
        <v>2</v>
      </c>
      <c r="G58" s="532">
        <v>1.58</v>
      </c>
      <c r="H58" s="538">
        <v>2</v>
      </c>
      <c r="I58" s="537">
        <f t="shared" si="3"/>
        <v>19137</v>
      </c>
      <c r="J58" s="529">
        <v>1</v>
      </c>
      <c r="K58" s="529">
        <f t="shared" si="4"/>
        <v>19137</v>
      </c>
      <c r="L58" s="25"/>
    </row>
    <row r="59" spans="2:18" ht="35.25" customHeight="1" x14ac:dyDescent="0.3">
      <c r="B59" s="531" t="s">
        <v>375</v>
      </c>
      <c r="C59" s="542" t="s">
        <v>376</v>
      </c>
      <c r="D59" s="530">
        <v>1222.2</v>
      </c>
      <c r="E59" s="532"/>
      <c r="F59" s="532">
        <f>F$39</f>
        <v>2</v>
      </c>
      <c r="G59" s="532">
        <v>1.58</v>
      </c>
      <c r="H59" s="529">
        <v>1.9</v>
      </c>
      <c r="I59" s="537">
        <f t="shared" si="3"/>
        <v>18180</v>
      </c>
      <c r="J59" s="529">
        <v>1</v>
      </c>
      <c r="K59" s="529">
        <f t="shared" si="4"/>
        <v>18180</v>
      </c>
      <c r="L59" s="25"/>
      <c r="N59" s="148">
        <f>I59*12%</f>
        <v>2181.6</v>
      </c>
      <c r="O59" s="148">
        <f>N59*79.5%</f>
        <v>1734.3720000000001</v>
      </c>
      <c r="Q59" s="148">
        <f>3137+1000</f>
        <v>4137</v>
      </c>
      <c r="R59" s="148">
        <f>Q59+2300</f>
        <v>6437</v>
      </c>
    </row>
    <row r="60" spans="2:18" ht="21.95" customHeight="1" x14ac:dyDescent="0.3">
      <c r="B60" s="531" t="s">
        <v>377</v>
      </c>
      <c r="C60" s="532" t="s">
        <v>237</v>
      </c>
      <c r="D60" s="530">
        <v>1222.2</v>
      </c>
      <c r="E60" s="532"/>
      <c r="F60" s="532">
        <f>F$39</f>
        <v>2</v>
      </c>
      <c r="G60" s="532">
        <v>1.58</v>
      </c>
      <c r="H60" s="529">
        <v>1.9</v>
      </c>
      <c r="I60" s="537">
        <f t="shared" si="3"/>
        <v>18180</v>
      </c>
      <c r="J60" s="529">
        <v>1</v>
      </c>
      <c r="K60" s="529">
        <f t="shared" si="4"/>
        <v>18180</v>
      </c>
      <c r="L60" s="25"/>
    </row>
    <row r="61" spans="2:18" ht="21.95" customHeight="1" x14ac:dyDescent="0.3">
      <c r="B61" s="531" t="s">
        <v>378</v>
      </c>
      <c r="C61" s="532" t="s">
        <v>379</v>
      </c>
      <c r="D61" s="530">
        <v>2149.1999999999998</v>
      </c>
      <c r="E61" s="532"/>
      <c r="F61" s="532">
        <f>F$39</f>
        <v>2</v>
      </c>
      <c r="G61" s="532">
        <v>1.58</v>
      </c>
      <c r="H61" s="538">
        <v>2</v>
      </c>
      <c r="I61" s="537">
        <f t="shared" si="3"/>
        <v>19137</v>
      </c>
      <c r="J61" s="529">
        <v>1</v>
      </c>
      <c r="K61" s="529">
        <f t="shared" si="4"/>
        <v>19137</v>
      </c>
      <c r="L61" s="25"/>
    </row>
    <row r="62" spans="2:18" ht="21.6" customHeight="1" x14ac:dyDescent="0.3">
      <c r="B62" s="531" t="s">
        <v>381</v>
      </c>
      <c r="C62" s="532" t="s">
        <v>242</v>
      </c>
      <c r="D62" s="530">
        <v>4131</v>
      </c>
      <c r="E62" s="529"/>
      <c r="F62" s="532">
        <f t="shared" ref="F62:F71" si="5">F$39</f>
        <v>2</v>
      </c>
      <c r="G62" s="532">
        <v>1.58</v>
      </c>
      <c r="H62" s="538">
        <v>1.7</v>
      </c>
      <c r="I62" s="537">
        <f t="shared" si="3"/>
        <v>16266</v>
      </c>
      <c r="J62" s="529">
        <v>1</v>
      </c>
      <c r="K62" s="529">
        <f t="shared" si="4"/>
        <v>16266</v>
      </c>
      <c r="L62" s="25"/>
    </row>
    <row r="63" spans="2:18" ht="19.5" x14ac:dyDescent="0.35">
      <c r="B63" s="1957" t="s">
        <v>380</v>
      </c>
      <c r="C63" s="1958"/>
      <c r="D63" s="1958"/>
      <c r="E63" s="1958"/>
      <c r="F63" s="1958"/>
      <c r="G63" s="1958"/>
      <c r="H63" s="1958"/>
      <c r="I63" s="1958"/>
      <c r="J63" s="543">
        <f>SUM(J57:J62)</f>
        <v>6</v>
      </c>
      <c r="K63" s="544">
        <f>SUM(K57:K62)</f>
        <v>112908</v>
      </c>
      <c r="L63" s="25"/>
    </row>
    <row r="64" spans="2:18" ht="21.6" customHeight="1" x14ac:dyDescent="0.3">
      <c r="B64" s="531" t="s">
        <v>383</v>
      </c>
      <c r="C64" s="532" t="s">
        <v>382</v>
      </c>
      <c r="D64" s="530">
        <v>7233</v>
      </c>
      <c r="E64" s="529">
        <v>4</v>
      </c>
      <c r="F64" s="532">
        <f t="shared" si="5"/>
        <v>2</v>
      </c>
      <c r="G64" s="532">
        <v>1.58</v>
      </c>
      <c r="H64" s="529">
        <v>1.43</v>
      </c>
      <c r="I64" s="537">
        <f>ROUND(K$32*F64*G64*H64,0)</f>
        <v>13683</v>
      </c>
      <c r="J64" s="529">
        <v>3</v>
      </c>
      <c r="K64" s="529">
        <f t="shared" ref="K64:K71" si="6">I64*J64</f>
        <v>41049</v>
      </c>
      <c r="L64" s="25"/>
    </row>
    <row r="65" spans="2:12" ht="21.6" customHeight="1" x14ac:dyDescent="0.3">
      <c r="B65" s="531" t="s">
        <v>384</v>
      </c>
      <c r="C65" s="532" t="s">
        <v>382</v>
      </c>
      <c r="D65" s="530">
        <v>7233</v>
      </c>
      <c r="E65" s="529">
        <v>4</v>
      </c>
      <c r="F65" s="532">
        <f t="shared" si="5"/>
        <v>2</v>
      </c>
      <c r="G65" s="532">
        <v>1.58</v>
      </c>
      <c r="H65" s="529">
        <v>1.43</v>
      </c>
      <c r="I65" s="537">
        <f>ROUND(K$32*F65*G65*H65,0)</f>
        <v>13683</v>
      </c>
      <c r="J65" s="529">
        <v>8</v>
      </c>
      <c r="K65" s="529">
        <f t="shared" si="6"/>
        <v>109464</v>
      </c>
      <c r="L65" s="25"/>
    </row>
    <row r="66" spans="2:12" ht="21.6" customHeight="1" x14ac:dyDescent="0.3">
      <c r="B66" s="531" t="s">
        <v>385</v>
      </c>
      <c r="C66" s="532" t="s">
        <v>382</v>
      </c>
      <c r="D66" s="530">
        <v>7233</v>
      </c>
      <c r="E66" s="529">
        <v>5</v>
      </c>
      <c r="F66" s="532">
        <f t="shared" si="5"/>
        <v>2</v>
      </c>
      <c r="G66" s="532">
        <v>1.58</v>
      </c>
      <c r="H66" s="529">
        <v>1.67</v>
      </c>
      <c r="I66" s="537">
        <f>ROUND(K$32*F66*G66*H66,0)</f>
        <v>15979</v>
      </c>
      <c r="J66" s="529">
        <v>3</v>
      </c>
      <c r="K66" s="529">
        <f t="shared" si="6"/>
        <v>47937</v>
      </c>
      <c r="L66" s="25"/>
    </row>
    <row r="67" spans="2:12" ht="21.6" customHeight="1" x14ac:dyDescent="0.3">
      <c r="B67" s="531" t="s">
        <v>386</v>
      </c>
      <c r="C67" s="532" t="s">
        <v>382</v>
      </c>
      <c r="D67" s="530">
        <v>7233</v>
      </c>
      <c r="E67" s="529">
        <v>5</v>
      </c>
      <c r="F67" s="532">
        <f t="shared" si="5"/>
        <v>2</v>
      </c>
      <c r="G67" s="532">
        <v>1.58</v>
      </c>
      <c r="H67" s="529">
        <v>1.67</v>
      </c>
      <c r="I67" s="537">
        <f>ROUND(K$32*F67*G67*H67,0)</f>
        <v>15979</v>
      </c>
      <c r="J67" s="529">
        <v>4</v>
      </c>
      <c r="K67" s="529">
        <f t="shared" si="6"/>
        <v>63916</v>
      </c>
      <c r="L67" s="25"/>
    </row>
    <row r="68" spans="2:12" ht="21.6" customHeight="1" x14ac:dyDescent="0.3">
      <c r="B68" s="531" t="s">
        <v>388</v>
      </c>
      <c r="C68" s="532" t="s">
        <v>387</v>
      </c>
      <c r="D68" s="530">
        <v>7212</v>
      </c>
      <c r="E68" s="529">
        <v>5</v>
      </c>
      <c r="F68" s="532">
        <f t="shared" si="5"/>
        <v>2</v>
      </c>
      <c r="G68" s="532">
        <v>1.58</v>
      </c>
      <c r="H68" s="529">
        <v>1.67</v>
      </c>
      <c r="I68" s="537">
        <f>ROUND(K$32*F68*G68*H68,0)</f>
        <v>15979</v>
      </c>
      <c r="J68" s="529">
        <v>2</v>
      </c>
      <c r="K68" s="529">
        <f t="shared" si="6"/>
        <v>31958</v>
      </c>
      <c r="L68" s="25"/>
    </row>
    <row r="69" spans="2:12" ht="21.6" customHeight="1" x14ac:dyDescent="0.3">
      <c r="B69" s="531" t="s">
        <v>389</v>
      </c>
      <c r="C69" s="532" t="s">
        <v>243</v>
      </c>
      <c r="D69" s="530">
        <v>8322</v>
      </c>
      <c r="E69" s="529"/>
      <c r="F69" s="532">
        <f t="shared" si="5"/>
        <v>2</v>
      </c>
      <c r="G69" s="532">
        <v>1</v>
      </c>
      <c r="H69" s="529">
        <v>1.86</v>
      </c>
      <c r="I69" s="537">
        <f>ROUND(K$32*F69*H69,0)</f>
        <v>11264</v>
      </c>
      <c r="J69" s="529">
        <v>1</v>
      </c>
      <c r="K69" s="529">
        <f t="shared" si="6"/>
        <v>11264</v>
      </c>
      <c r="L69" s="25"/>
    </row>
    <row r="70" spans="2:12" ht="21.6" customHeight="1" x14ac:dyDescent="0.3">
      <c r="B70" s="531" t="s">
        <v>390</v>
      </c>
      <c r="C70" s="532" t="s">
        <v>243</v>
      </c>
      <c r="D70" s="530">
        <v>8322</v>
      </c>
      <c r="E70" s="529"/>
      <c r="F70" s="532">
        <f t="shared" si="5"/>
        <v>2</v>
      </c>
      <c r="G70" s="532">
        <v>1</v>
      </c>
      <c r="H70" s="545">
        <v>1.8</v>
      </c>
      <c r="I70" s="537">
        <f>ROUND(K$32*F70*H70,0)</f>
        <v>10901</v>
      </c>
      <c r="J70" s="529">
        <v>1</v>
      </c>
      <c r="K70" s="529">
        <f>I70*J70</f>
        <v>10901</v>
      </c>
      <c r="L70" s="25"/>
    </row>
    <row r="71" spans="2:12" ht="21.6" customHeight="1" x14ac:dyDescent="0.3">
      <c r="B71" s="531" t="s">
        <v>391</v>
      </c>
      <c r="C71" s="532" t="s">
        <v>392</v>
      </c>
      <c r="D71" s="530">
        <v>8332</v>
      </c>
      <c r="E71" s="529">
        <v>5</v>
      </c>
      <c r="F71" s="532">
        <f t="shared" si="5"/>
        <v>2</v>
      </c>
      <c r="G71" s="532">
        <v>1.58</v>
      </c>
      <c r="H71" s="529">
        <v>1.67</v>
      </c>
      <c r="I71" s="537">
        <f>ROUND(K$32*F71*G71*H71,0)</f>
        <v>15979</v>
      </c>
      <c r="J71" s="529">
        <v>1</v>
      </c>
      <c r="K71" s="529">
        <f t="shared" si="6"/>
        <v>15979</v>
      </c>
      <c r="L71" s="25"/>
    </row>
    <row r="72" spans="2:12" ht="21.75" customHeight="1" x14ac:dyDescent="0.35">
      <c r="B72" s="1957" t="s">
        <v>380</v>
      </c>
      <c r="C72" s="1958"/>
      <c r="D72" s="1958"/>
      <c r="E72" s="1958"/>
      <c r="F72" s="1958"/>
      <c r="G72" s="1958"/>
      <c r="H72" s="1958"/>
      <c r="I72" s="1958"/>
      <c r="J72" s="543">
        <f>SUM(J64:J71)</f>
        <v>23</v>
      </c>
      <c r="K72" s="544">
        <f>SUM(K64:K71)</f>
        <v>332468</v>
      </c>
      <c r="L72" s="25"/>
    </row>
    <row r="73" spans="2:12" ht="21.6" customHeight="1" x14ac:dyDescent="0.35">
      <c r="B73" s="531"/>
      <c r="C73" s="546" t="s">
        <v>393</v>
      </c>
      <c r="D73" s="530"/>
      <c r="E73" s="529"/>
      <c r="F73" s="529"/>
      <c r="G73" s="529"/>
      <c r="H73" s="529"/>
      <c r="I73" s="529"/>
      <c r="J73" s="529"/>
      <c r="K73" s="529"/>
      <c r="L73" s="25"/>
    </row>
    <row r="74" spans="2:12" ht="21.6" customHeight="1" x14ac:dyDescent="0.3">
      <c r="B74" s="531" t="s">
        <v>394</v>
      </c>
      <c r="C74" s="532" t="s">
        <v>395</v>
      </c>
      <c r="D74" s="530">
        <v>8163</v>
      </c>
      <c r="E74" s="529">
        <v>3</v>
      </c>
      <c r="F74" s="532">
        <f t="shared" ref="F74:F79" si="7">F$39</f>
        <v>2</v>
      </c>
      <c r="G74" s="532">
        <v>1.58</v>
      </c>
      <c r="H74" s="529">
        <v>1.25</v>
      </c>
      <c r="I74" s="537">
        <f>ROUND(K$32*F74*G74*H74,0)</f>
        <v>11961</v>
      </c>
      <c r="J74" s="529">
        <v>4</v>
      </c>
      <c r="K74" s="529">
        <f t="shared" ref="K74:K79" si="8">I74*J74</f>
        <v>47844</v>
      </c>
      <c r="L74" s="25"/>
    </row>
    <row r="75" spans="2:12" ht="21.6" customHeight="1" x14ac:dyDescent="0.3">
      <c r="B75" s="531" t="s">
        <v>396</v>
      </c>
      <c r="C75" s="542" t="s">
        <v>397</v>
      </c>
      <c r="D75" s="530">
        <v>7233</v>
      </c>
      <c r="E75" s="529">
        <v>4</v>
      </c>
      <c r="F75" s="532">
        <f t="shared" si="7"/>
        <v>2</v>
      </c>
      <c r="G75" s="532">
        <v>1.58</v>
      </c>
      <c r="H75" s="529">
        <v>1.43</v>
      </c>
      <c r="I75" s="537">
        <f>ROUND(K$32*F75*G75*H75,0)</f>
        <v>13683</v>
      </c>
      <c r="J75" s="529">
        <v>1</v>
      </c>
      <c r="K75" s="529">
        <f t="shared" si="8"/>
        <v>13683</v>
      </c>
      <c r="L75" s="25"/>
    </row>
    <row r="76" spans="2:12" ht="35.25" customHeight="1" x14ac:dyDescent="0.3">
      <c r="B76" s="531" t="s">
        <v>398</v>
      </c>
      <c r="C76" s="542" t="s">
        <v>399</v>
      </c>
      <c r="D76" s="530">
        <v>7241</v>
      </c>
      <c r="E76" s="529">
        <v>5</v>
      </c>
      <c r="F76" s="532">
        <f t="shared" si="7"/>
        <v>2</v>
      </c>
      <c r="G76" s="532">
        <v>1.58</v>
      </c>
      <c r="H76" s="529">
        <v>1.67</v>
      </c>
      <c r="I76" s="537">
        <f>ROUND(K$32*F76*G76*H76,0)</f>
        <v>15979</v>
      </c>
      <c r="J76" s="529">
        <v>1</v>
      </c>
      <c r="K76" s="529">
        <f t="shared" si="8"/>
        <v>15979</v>
      </c>
      <c r="L76" s="25"/>
    </row>
    <row r="77" spans="2:12" ht="37.5" customHeight="1" x14ac:dyDescent="0.3">
      <c r="B77" s="531" t="s">
        <v>400</v>
      </c>
      <c r="C77" s="542" t="s">
        <v>266</v>
      </c>
      <c r="D77" s="530">
        <v>7241</v>
      </c>
      <c r="E77" s="529">
        <v>5</v>
      </c>
      <c r="F77" s="532">
        <f t="shared" si="7"/>
        <v>2</v>
      </c>
      <c r="G77" s="532">
        <v>1.58</v>
      </c>
      <c r="H77" s="529">
        <v>1.67</v>
      </c>
      <c r="I77" s="537">
        <f>ROUND(K$32*F77*G77*H77,0)</f>
        <v>15979</v>
      </c>
      <c r="J77" s="529">
        <v>1</v>
      </c>
      <c r="K77" s="529">
        <f t="shared" si="8"/>
        <v>15979</v>
      </c>
      <c r="L77" s="25"/>
    </row>
    <row r="78" spans="2:12" ht="21.6" customHeight="1" x14ac:dyDescent="0.3">
      <c r="B78" s="531" t="s">
        <v>401</v>
      </c>
      <c r="C78" s="532" t="s">
        <v>252</v>
      </c>
      <c r="D78" s="530">
        <v>8163</v>
      </c>
      <c r="E78" s="529">
        <v>3</v>
      </c>
      <c r="F78" s="532">
        <f t="shared" si="7"/>
        <v>2</v>
      </c>
      <c r="G78" s="532">
        <v>1.58</v>
      </c>
      <c r="H78" s="529">
        <v>1.25</v>
      </c>
      <c r="I78" s="537">
        <f>ROUND(K$32*F78*G78*H78,0)</f>
        <v>11961</v>
      </c>
      <c r="J78" s="529">
        <v>1</v>
      </c>
      <c r="K78" s="529">
        <f t="shared" si="8"/>
        <v>11961</v>
      </c>
      <c r="L78" s="25"/>
    </row>
    <row r="79" spans="2:12" ht="21.6" customHeight="1" x14ac:dyDescent="0.3">
      <c r="B79" s="531" t="s">
        <v>402</v>
      </c>
      <c r="C79" s="532" t="s">
        <v>253</v>
      </c>
      <c r="D79" s="530">
        <v>9162</v>
      </c>
      <c r="E79" s="529"/>
      <c r="F79" s="532">
        <f t="shared" si="7"/>
        <v>2</v>
      </c>
      <c r="G79" s="532">
        <v>1</v>
      </c>
      <c r="H79" s="529">
        <v>1.32</v>
      </c>
      <c r="I79" s="537">
        <f>ROUND(K$32*F79*H79,0)</f>
        <v>7994</v>
      </c>
      <c r="J79" s="529">
        <v>2</v>
      </c>
      <c r="K79" s="529">
        <f t="shared" si="8"/>
        <v>15988</v>
      </c>
      <c r="L79" s="25"/>
    </row>
    <row r="80" spans="2:12" ht="21.6" customHeight="1" x14ac:dyDescent="0.35">
      <c r="B80" s="1957" t="s">
        <v>380</v>
      </c>
      <c r="C80" s="1958"/>
      <c r="D80" s="1958"/>
      <c r="E80" s="1958"/>
      <c r="F80" s="1958"/>
      <c r="G80" s="1958"/>
      <c r="H80" s="1958"/>
      <c r="I80" s="1958"/>
      <c r="J80" s="543">
        <f>SUM(J74:J79)</f>
        <v>10</v>
      </c>
      <c r="K80" s="544">
        <f>SUM(K74:K79)</f>
        <v>121434</v>
      </c>
      <c r="L80" s="25"/>
    </row>
    <row r="81" spans="2:12" ht="21.6" customHeight="1" x14ac:dyDescent="0.35">
      <c r="B81" s="531"/>
      <c r="C81" s="546" t="s">
        <v>403</v>
      </c>
      <c r="D81" s="530"/>
      <c r="E81" s="529"/>
      <c r="F81" s="529"/>
      <c r="G81" s="529"/>
      <c r="H81" s="529"/>
      <c r="I81" s="529"/>
      <c r="J81" s="529"/>
      <c r="K81" s="529"/>
      <c r="L81" s="25"/>
    </row>
    <row r="82" spans="2:12" ht="21.6" customHeight="1" x14ac:dyDescent="0.3">
      <c r="B82" s="531" t="s">
        <v>404</v>
      </c>
      <c r="C82" s="532" t="s">
        <v>395</v>
      </c>
      <c r="D82" s="530">
        <v>8163</v>
      </c>
      <c r="E82" s="529">
        <v>3</v>
      </c>
      <c r="F82" s="532">
        <f>F$39</f>
        <v>2</v>
      </c>
      <c r="G82" s="532">
        <v>1.58</v>
      </c>
      <c r="H82" s="529">
        <v>1.25</v>
      </c>
      <c r="I82" s="537">
        <f>ROUND(K$32*F82*G82*H82,0)</f>
        <v>11961</v>
      </c>
      <c r="J82" s="529">
        <v>9</v>
      </c>
      <c r="K82" s="529">
        <f>I82*J82</f>
        <v>107649</v>
      </c>
      <c r="L82" s="25"/>
    </row>
    <row r="83" spans="2:12" ht="21.6" customHeight="1" x14ac:dyDescent="0.3">
      <c r="B83" s="531" t="s">
        <v>405</v>
      </c>
      <c r="C83" s="542" t="s">
        <v>397</v>
      </c>
      <c r="D83" s="530">
        <v>7233</v>
      </c>
      <c r="E83" s="529">
        <v>4</v>
      </c>
      <c r="F83" s="532">
        <f>F$39</f>
        <v>2</v>
      </c>
      <c r="G83" s="532">
        <v>1.58</v>
      </c>
      <c r="H83" s="529">
        <v>1.43</v>
      </c>
      <c r="I83" s="537">
        <f>ROUND(K$32*F83*G83*H83,0)</f>
        <v>13683</v>
      </c>
      <c r="J83" s="529">
        <v>1</v>
      </c>
      <c r="K83" s="529">
        <f>I83*J83</f>
        <v>13683</v>
      </c>
      <c r="L83" s="25"/>
    </row>
    <row r="84" spans="2:12" ht="41.45" customHeight="1" x14ac:dyDescent="0.3">
      <c r="B84" s="531" t="s">
        <v>406</v>
      </c>
      <c r="C84" s="542" t="s">
        <v>266</v>
      </c>
      <c r="D84" s="530">
        <v>7241</v>
      </c>
      <c r="E84" s="529">
        <v>4</v>
      </c>
      <c r="F84" s="532">
        <f>F$39</f>
        <v>2</v>
      </c>
      <c r="G84" s="532">
        <v>1.58</v>
      </c>
      <c r="H84" s="529">
        <v>1.43</v>
      </c>
      <c r="I84" s="537">
        <f>ROUND(K$32*F84*G84*H84,0)</f>
        <v>13683</v>
      </c>
      <c r="J84" s="529">
        <v>1</v>
      </c>
      <c r="K84" s="529">
        <f>I84*J84</f>
        <v>13683</v>
      </c>
      <c r="L84" s="25"/>
    </row>
    <row r="85" spans="2:12" ht="42.95" customHeight="1" x14ac:dyDescent="0.3">
      <c r="B85" s="531" t="s">
        <v>407</v>
      </c>
      <c r="C85" s="542" t="s">
        <v>399</v>
      </c>
      <c r="D85" s="530">
        <v>7241</v>
      </c>
      <c r="E85" s="529">
        <v>5</v>
      </c>
      <c r="F85" s="532">
        <f>F$39</f>
        <v>2</v>
      </c>
      <c r="G85" s="532">
        <v>1.58</v>
      </c>
      <c r="H85" s="529">
        <v>1.67</v>
      </c>
      <c r="I85" s="537">
        <f>ROUND(K$32*F85*G85*H85,0)</f>
        <v>15979</v>
      </c>
      <c r="J85" s="529">
        <v>1</v>
      </c>
      <c r="K85" s="529">
        <f>I85*J85</f>
        <v>15979</v>
      </c>
      <c r="L85" s="25"/>
    </row>
    <row r="86" spans="2:12" ht="21.6" customHeight="1" x14ac:dyDescent="0.35">
      <c r="B86" s="1957" t="s">
        <v>380</v>
      </c>
      <c r="C86" s="1958"/>
      <c r="D86" s="1958"/>
      <c r="E86" s="1958"/>
      <c r="F86" s="1958"/>
      <c r="G86" s="1958"/>
      <c r="H86" s="1958"/>
      <c r="I86" s="1958"/>
      <c r="J86" s="543">
        <f>SUM(J82:J85)</f>
        <v>12</v>
      </c>
      <c r="K86" s="544">
        <f>SUM(K82:K85)</f>
        <v>150994</v>
      </c>
      <c r="L86" s="25"/>
    </row>
    <row r="87" spans="2:12" ht="21.6" customHeight="1" x14ac:dyDescent="0.3">
      <c r="B87" s="1969" t="s">
        <v>370</v>
      </c>
      <c r="C87" s="1970"/>
      <c r="D87" s="1970"/>
      <c r="E87" s="1970"/>
      <c r="F87" s="1970"/>
      <c r="G87" s="1970"/>
      <c r="H87" s="1970"/>
      <c r="I87" s="1970"/>
      <c r="J87" s="539">
        <f>J86+J80+J72+J63</f>
        <v>51</v>
      </c>
      <c r="K87" s="540">
        <f>K86+K80+K72+K63</f>
        <v>717804</v>
      </c>
      <c r="L87" s="25"/>
    </row>
    <row r="88" spans="2:12" ht="21.6" customHeight="1" x14ac:dyDescent="0.3">
      <c r="B88" s="531" t="s">
        <v>408</v>
      </c>
      <c r="C88" s="547" t="s">
        <v>409</v>
      </c>
      <c r="D88" s="530"/>
      <c r="E88" s="529"/>
      <c r="F88" s="529"/>
      <c r="G88" s="529"/>
      <c r="H88" s="529"/>
      <c r="I88" s="529"/>
      <c r="J88" s="529"/>
      <c r="K88" s="529"/>
      <c r="L88" s="25"/>
    </row>
    <row r="89" spans="2:12" ht="21.6" customHeight="1" x14ac:dyDescent="0.3">
      <c r="B89" s="531" t="s">
        <v>410</v>
      </c>
      <c r="C89" s="532" t="s">
        <v>260</v>
      </c>
      <c r="D89" s="530">
        <v>1233</v>
      </c>
      <c r="E89" s="529"/>
      <c r="F89" s="532">
        <f>F$39</f>
        <v>2</v>
      </c>
      <c r="G89" s="532">
        <v>1.58</v>
      </c>
      <c r="H89" s="529">
        <v>2.35</v>
      </c>
      <c r="I89" s="537">
        <f>ROUND(K$32*F89*G89*H89,0)</f>
        <v>22486</v>
      </c>
      <c r="J89" s="529">
        <v>1</v>
      </c>
      <c r="K89" s="529">
        <f>I89*J89</f>
        <v>22486</v>
      </c>
      <c r="L89" s="25"/>
    </row>
    <row r="90" spans="2:12" ht="21.6" customHeight="1" x14ac:dyDescent="0.3">
      <c r="B90" s="531" t="s">
        <v>411</v>
      </c>
      <c r="C90" s="532" t="s">
        <v>238</v>
      </c>
      <c r="D90" s="530">
        <v>2149.1999999999998</v>
      </c>
      <c r="E90" s="529"/>
      <c r="F90" s="532">
        <f>F$39</f>
        <v>2</v>
      </c>
      <c r="G90" s="532">
        <v>1.58</v>
      </c>
      <c r="H90" s="529">
        <v>1.8</v>
      </c>
      <c r="I90" s="537">
        <f>ROUND(K$32*F90*G90*H90,0)</f>
        <v>17223</v>
      </c>
      <c r="J90" s="529">
        <v>2</v>
      </c>
      <c r="K90" s="529">
        <f>I90*J90</f>
        <v>34446</v>
      </c>
      <c r="L90" s="25"/>
    </row>
    <row r="91" spans="2:12" ht="21.6" customHeight="1" x14ac:dyDescent="0.3">
      <c r="B91" s="531" t="s">
        <v>412</v>
      </c>
      <c r="C91" s="532" t="s">
        <v>413</v>
      </c>
      <c r="D91" s="530">
        <v>7136</v>
      </c>
      <c r="E91" s="529"/>
      <c r="F91" s="532">
        <f>F$39</f>
        <v>2</v>
      </c>
      <c r="G91" s="532">
        <v>1.58</v>
      </c>
      <c r="H91" s="545">
        <f>1.2*1.1</f>
        <v>1.32</v>
      </c>
      <c r="I91" s="537">
        <f>ROUND(K$32*F91*G91*H91,0)</f>
        <v>12630</v>
      </c>
      <c r="J91" s="529">
        <v>1</v>
      </c>
      <c r="K91" s="529">
        <f>I91*J91</f>
        <v>12630</v>
      </c>
      <c r="L91" s="25"/>
    </row>
    <row r="92" spans="2:12" ht="21.6" customHeight="1" x14ac:dyDescent="0.3">
      <c r="B92" s="531" t="s">
        <v>414</v>
      </c>
      <c r="C92" s="532" t="s">
        <v>262</v>
      </c>
      <c r="D92" s="530">
        <v>7136</v>
      </c>
      <c r="E92" s="529">
        <v>3</v>
      </c>
      <c r="F92" s="532">
        <f>F$39</f>
        <v>2</v>
      </c>
      <c r="G92" s="532">
        <v>1.58</v>
      </c>
      <c r="H92" s="529">
        <v>1.2</v>
      </c>
      <c r="I92" s="537">
        <f>ROUND(K$32*F92*G92*H92,0)</f>
        <v>11482</v>
      </c>
      <c r="J92" s="529">
        <v>10</v>
      </c>
      <c r="K92" s="529">
        <f>I92*J92</f>
        <v>114820</v>
      </c>
      <c r="L92" s="25"/>
    </row>
    <row r="93" spans="2:12" ht="21.6" customHeight="1" x14ac:dyDescent="0.35">
      <c r="B93" s="1957" t="s">
        <v>370</v>
      </c>
      <c r="C93" s="1958"/>
      <c r="D93" s="1958"/>
      <c r="E93" s="1958"/>
      <c r="F93" s="1958"/>
      <c r="G93" s="1958"/>
      <c r="H93" s="1958"/>
      <c r="I93" s="1958"/>
      <c r="J93" s="543">
        <f>SUM(J89:J92)</f>
        <v>14</v>
      </c>
      <c r="K93" s="544">
        <f>SUM(K89:K92)</f>
        <v>184382</v>
      </c>
      <c r="L93" s="25"/>
    </row>
    <row r="94" spans="2:12" ht="21.6" customHeight="1" x14ac:dyDescent="0.3">
      <c r="B94" s="531" t="s">
        <v>263</v>
      </c>
      <c r="C94" s="547" t="s">
        <v>264</v>
      </c>
      <c r="D94" s="530"/>
      <c r="E94" s="529"/>
      <c r="F94" s="529"/>
      <c r="G94" s="529"/>
      <c r="H94" s="529"/>
      <c r="I94" s="529"/>
      <c r="J94" s="529"/>
      <c r="K94" s="529"/>
      <c r="L94" s="25"/>
    </row>
    <row r="95" spans="2:12" ht="21.6" customHeight="1" x14ac:dyDescent="0.3">
      <c r="B95" s="531" t="s">
        <v>415</v>
      </c>
      <c r="C95" s="532" t="s">
        <v>416</v>
      </c>
      <c r="D95" s="529">
        <v>1222.2</v>
      </c>
      <c r="E95" s="529"/>
      <c r="F95" s="532">
        <f>F$39</f>
        <v>2</v>
      </c>
      <c r="G95" s="532">
        <v>1.58</v>
      </c>
      <c r="H95" s="529">
        <v>1.9</v>
      </c>
      <c r="I95" s="537">
        <f>ROUND(K$32*F95*G95*H95,0)</f>
        <v>18180</v>
      </c>
      <c r="J95" s="529">
        <v>1</v>
      </c>
      <c r="K95" s="529">
        <f>I95*J95</f>
        <v>18180</v>
      </c>
      <c r="L95" s="25"/>
    </row>
    <row r="96" spans="2:12" ht="40.5" customHeight="1" x14ac:dyDescent="0.3">
      <c r="B96" s="531" t="s">
        <v>417</v>
      </c>
      <c r="C96" s="542" t="s">
        <v>266</v>
      </c>
      <c r="D96" s="529">
        <v>7241</v>
      </c>
      <c r="E96" s="529">
        <v>4</v>
      </c>
      <c r="F96" s="532">
        <f>F$39</f>
        <v>2</v>
      </c>
      <c r="G96" s="532">
        <v>1.58</v>
      </c>
      <c r="H96" s="529">
        <v>1.43</v>
      </c>
      <c r="I96" s="537">
        <f>ROUND(K$32*F96*G96*H96,0)</f>
        <v>13683</v>
      </c>
      <c r="J96" s="529">
        <v>2.25</v>
      </c>
      <c r="K96" s="529">
        <f>I96*J96</f>
        <v>30786.75</v>
      </c>
      <c r="L96" s="25"/>
    </row>
    <row r="97" spans="2:23" ht="21.6" customHeight="1" x14ac:dyDescent="0.3">
      <c r="B97" s="531" t="s">
        <v>418</v>
      </c>
      <c r="C97" s="532" t="s">
        <v>382</v>
      </c>
      <c r="D97" s="530">
        <v>7233</v>
      </c>
      <c r="E97" s="529">
        <v>4</v>
      </c>
      <c r="F97" s="532">
        <f>F$39</f>
        <v>2</v>
      </c>
      <c r="G97" s="532">
        <v>1.58</v>
      </c>
      <c r="H97" s="529">
        <v>1.43</v>
      </c>
      <c r="I97" s="537">
        <f>ROUND(K$32*F97*G97*H97,0)</f>
        <v>13683</v>
      </c>
      <c r="J97" s="529">
        <v>0.25</v>
      </c>
      <c r="K97" s="529">
        <f>I97*J97</f>
        <v>3420.75</v>
      </c>
      <c r="L97" s="25"/>
    </row>
    <row r="98" spans="2:23" ht="21.6" customHeight="1" x14ac:dyDescent="0.3">
      <c r="B98" s="531" t="s">
        <v>419</v>
      </c>
      <c r="C98" s="532" t="s">
        <v>243</v>
      </c>
      <c r="D98" s="530">
        <v>8322</v>
      </c>
      <c r="E98" s="529"/>
      <c r="F98" s="532">
        <f>F$39</f>
        <v>2</v>
      </c>
      <c r="G98" s="532">
        <v>1</v>
      </c>
      <c r="H98" s="529">
        <v>1.95</v>
      </c>
      <c r="I98" s="537">
        <f>ROUND(K$32*F98*H98,0)</f>
        <v>11809</v>
      </c>
      <c r="J98" s="529">
        <v>1</v>
      </c>
      <c r="K98" s="529">
        <f>I98*J98</f>
        <v>11809</v>
      </c>
      <c r="L98" s="25"/>
    </row>
    <row r="99" spans="2:23" ht="21.6" customHeight="1" x14ac:dyDescent="0.35">
      <c r="B99" s="1957" t="s">
        <v>420</v>
      </c>
      <c r="C99" s="1958"/>
      <c r="D99" s="1958"/>
      <c r="E99" s="1958"/>
      <c r="F99" s="1958"/>
      <c r="G99" s="1958"/>
      <c r="H99" s="1958"/>
      <c r="I99" s="1958"/>
      <c r="J99" s="543">
        <f>SUM(J95:J98)</f>
        <v>4.5</v>
      </c>
      <c r="K99" s="544">
        <f>SUM(K95:K98)</f>
        <v>64196.5</v>
      </c>
      <c r="L99" s="25"/>
    </row>
    <row r="100" spans="2:23" ht="42.75" hidden="1" customHeight="1" x14ac:dyDescent="0.35">
      <c r="B100" s="548" t="s">
        <v>421</v>
      </c>
      <c r="C100" s="549" t="s">
        <v>281</v>
      </c>
      <c r="D100" s="529"/>
      <c r="E100" s="550"/>
      <c r="F100" s="550"/>
      <c r="G100" s="550"/>
      <c r="H100" s="550"/>
      <c r="I100" s="550"/>
      <c r="J100" s="544"/>
      <c r="K100" s="544"/>
      <c r="L100" s="25"/>
    </row>
    <row r="101" spans="2:23" ht="21.6" hidden="1" customHeight="1" x14ac:dyDescent="0.3">
      <c r="B101" s="551" t="s">
        <v>422</v>
      </c>
      <c r="C101" s="548" t="s">
        <v>265</v>
      </c>
      <c r="D101" s="529">
        <v>1222.2</v>
      </c>
      <c r="E101" s="552"/>
      <c r="F101" s="532">
        <f>F$39</f>
        <v>2</v>
      </c>
      <c r="G101" s="553">
        <v>1.58</v>
      </c>
      <c r="H101" s="529">
        <v>1.9</v>
      </c>
      <c r="I101" s="537">
        <f>ROUND(K$32*F101*G101*H101,0)</f>
        <v>18180</v>
      </c>
      <c r="J101" s="529"/>
      <c r="K101" s="554">
        <f>I101*J101</f>
        <v>0</v>
      </c>
      <c r="L101" s="25"/>
    </row>
    <row r="102" spans="2:23" ht="21.6" hidden="1" customHeight="1" x14ac:dyDescent="0.3">
      <c r="B102" s="551" t="s">
        <v>423</v>
      </c>
      <c r="C102" s="555" t="s">
        <v>240</v>
      </c>
      <c r="D102" s="529" t="s">
        <v>424</v>
      </c>
      <c r="E102" s="531">
        <v>4</v>
      </c>
      <c r="F102" s="532">
        <f>F$39</f>
        <v>2</v>
      </c>
      <c r="G102" s="553">
        <v>1.58</v>
      </c>
      <c r="H102" s="529">
        <v>1.43</v>
      </c>
      <c r="I102" s="537">
        <f>ROUND(K$32*F102*G102*H102,0)</f>
        <v>13683</v>
      </c>
      <c r="J102" s="529"/>
      <c r="K102" s="554">
        <f>I102*J102</f>
        <v>0</v>
      </c>
      <c r="L102" s="25"/>
    </row>
    <row r="103" spans="2:23" ht="21.6" hidden="1" customHeight="1" x14ac:dyDescent="0.3">
      <c r="B103" s="551" t="s">
        <v>425</v>
      </c>
      <c r="C103" s="555" t="s">
        <v>217</v>
      </c>
      <c r="D103" s="529">
        <v>3433</v>
      </c>
      <c r="E103" s="531"/>
      <c r="F103" s="532">
        <f>F$39</f>
        <v>2</v>
      </c>
      <c r="G103" s="553">
        <v>1.58</v>
      </c>
      <c r="H103" s="538">
        <v>2</v>
      </c>
      <c r="I103" s="537">
        <f>ROUND(K$32*F103*G103*H103,0)</f>
        <v>19137</v>
      </c>
      <c r="J103" s="529"/>
      <c r="K103" s="554">
        <f>I103*J103</f>
        <v>0</v>
      </c>
      <c r="L103" s="25"/>
    </row>
    <row r="104" spans="2:23" ht="21.6" hidden="1" customHeight="1" x14ac:dyDescent="0.3">
      <c r="B104" s="551" t="s">
        <v>426</v>
      </c>
      <c r="C104" s="548" t="s">
        <v>243</v>
      </c>
      <c r="D104" s="529" t="s">
        <v>427</v>
      </c>
      <c r="E104" s="550"/>
      <c r="F104" s="532">
        <f>F$39</f>
        <v>2</v>
      </c>
      <c r="G104" s="553">
        <v>1</v>
      </c>
      <c r="H104" s="529">
        <v>1.95</v>
      </c>
      <c r="I104" s="537">
        <f>ROUND(K$32*F104*G104*H104,0)</f>
        <v>11809</v>
      </c>
      <c r="J104" s="529"/>
      <c r="K104" s="554">
        <f>I104*J104</f>
        <v>0</v>
      </c>
      <c r="L104" s="25"/>
    </row>
    <row r="105" spans="2:23" ht="21.6" hidden="1" customHeight="1" x14ac:dyDescent="0.35">
      <c r="B105" s="1971" t="s">
        <v>420</v>
      </c>
      <c r="C105" s="1972"/>
      <c r="D105" s="1972"/>
      <c r="E105" s="1972"/>
      <c r="F105" s="1972"/>
      <c r="G105" s="1972"/>
      <c r="H105" s="1972"/>
      <c r="I105" s="1973"/>
      <c r="J105" s="544">
        <f>SUM(J101:J104)</f>
        <v>0</v>
      </c>
      <c r="K105" s="556">
        <f>SUM(K101:K104)</f>
        <v>0</v>
      </c>
      <c r="L105" s="25"/>
    </row>
    <row r="106" spans="2:23" s="205" customFormat="1" ht="21.6" hidden="1" customHeight="1" x14ac:dyDescent="0.35">
      <c r="B106" s="557"/>
      <c r="C106" s="558" t="s">
        <v>428</v>
      </c>
      <c r="D106" s="558"/>
      <c r="E106" s="558"/>
      <c r="F106" s="558"/>
      <c r="G106" s="558"/>
      <c r="H106" s="559"/>
      <c r="I106" s="560" t="e">
        <f>K106+K107</f>
        <v>#REF!</v>
      </c>
      <c r="J106" s="561" t="e">
        <f>J55+J63+J93-J92-J91-#REF!+J95+J101+J103</f>
        <v>#REF!</v>
      </c>
      <c r="K106" s="561" t="e">
        <f>K55+K63+K93-K92-K91-#REF!+K95+K101+K103</f>
        <v>#REF!</v>
      </c>
      <c r="L106" s="517"/>
    </row>
    <row r="107" spans="2:23" s="205" customFormat="1" ht="21.6" hidden="1" customHeight="1" x14ac:dyDescent="0.35">
      <c r="B107" s="557"/>
      <c r="C107" s="558" t="s">
        <v>429</v>
      </c>
      <c r="D107" s="558"/>
      <c r="E107" s="558"/>
      <c r="F107" s="558"/>
      <c r="G107" s="558"/>
      <c r="H107" s="559"/>
      <c r="I107" s="561" t="e">
        <f>SUM(J106:J107)</f>
        <v>#REF!</v>
      </c>
      <c r="J107" s="562" t="e">
        <f>J72+J80+J86+J92+J91+#REF!+J96+J97+J98+J102+J104</f>
        <v>#REF!</v>
      </c>
      <c r="K107" s="562" t="e">
        <f>K72+K80+K86+K92+K91+#REF!+K96+K97+K98+K102+K104</f>
        <v>#REF!</v>
      </c>
      <c r="L107" s="517"/>
    </row>
    <row r="108" spans="2:23" ht="21.6" customHeight="1" x14ac:dyDescent="0.35">
      <c r="B108" s="1966" t="s">
        <v>430</v>
      </c>
      <c r="C108" s="1968"/>
      <c r="D108" s="1968"/>
      <c r="E108" s="1968"/>
      <c r="F108" s="1968"/>
      <c r="G108" s="1968"/>
      <c r="H108" s="1968"/>
      <c r="I108" s="1968"/>
      <c r="J108" s="563">
        <f>J99+J93+J87+J55+J105</f>
        <v>88.5</v>
      </c>
      <c r="K108" s="556">
        <f>K99+K93+K87+K55+K105</f>
        <v>1395685.5</v>
      </c>
      <c r="L108" s="25"/>
      <c r="N108" s="564">
        <f>'[1]1,25'!J108+J105</f>
        <v>88.5</v>
      </c>
      <c r="W108" s="79">
        <f>'[1]11,25'!K108</f>
        <v>1395685.5</v>
      </c>
    </row>
    <row r="109" spans="2:23" ht="18.75" x14ac:dyDescent="0.3">
      <c r="B109" s="522"/>
      <c r="C109" s="522"/>
      <c r="D109" s="565"/>
      <c r="E109" s="522"/>
      <c r="F109" s="522"/>
      <c r="G109" s="522"/>
      <c r="H109" s="522"/>
      <c r="I109" s="522"/>
      <c r="J109" s="522"/>
      <c r="K109" s="522"/>
      <c r="L109" s="25"/>
    </row>
    <row r="110" spans="2:23" ht="18.75" x14ac:dyDescent="0.3">
      <c r="B110" s="522"/>
      <c r="C110" s="565" t="s">
        <v>147</v>
      </c>
      <c r="D110" s="565"/>
      <c r="E110" s="522"/>
      <c r="F110" s="522"/>
      <c r="G110" s="522"/>
      <c r="H110" s="522"/>
      <c r="I110" s="522" t="s">
        <v>148</v>
      </c>
      <c r="J110" s="522"/>
      <c r="K110" s="522"/>
      <c r="L110" s="25"/>
    </row>
    <row r="111" spans="2:23" ht="18.75" x14ac:dyDescent="0.3">
      <c r="B111" s="522"/>
      <c r="C111" s="522"/>
      <c r="D111" s="565"/>
      <c r="E111" s="522"/>
      <c r="F111" s="522"/>
      <c r="G111" s="522"/>
      <c r="H111" s="522"/>
      <c r="I111" s="522"/>
      <c r="J111" s="522"/>
      <c r="K111" s="522"/>
      <c r="L111" s="25"/>
    </row>
  </sheetData>
  <mergeCells count="19">
    <mergeCell ref="B72:I72"/>
    <mergeCell ref="B35:B36"/>
    <mergeCell ref="C35:C36"/>
    <mergeCell ref="D35:D36"/>
    <mergeCell ref="E35:E36"/>
    <mergeCell ref="B108:I108"/>
    <mergeCell ref="B80:I80"/>
    <mergeCell ref="B86:I86"/>
    <mergeCell ref="B87:I87"/>
    <mergeCell ref="B93:I93"/>
    <mergeCell ref="B99:I99"/>
    <mergeCell ref="B105:I105"/>
    <mergeCell ref="F35:H35"/>
    <mergeCell ref="I35:I36"/>
    <mergeCell ref="B63:I63"/>
    <mergeCell ref="J35:J36"/>
    <mergeCell ref="K35:K36"/>
    <mergeCell ref="C38:K38"/>
    <mergeCell ref="B55:I55"/>
  </mergeCell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11"/>
  <sheetViews>
    <sheetView view="pageBreakPreview" topLeftCell="A83" zoomScale="60" zoomScaleNormal="100" workbookViewId="0">
      <selection activeCell="Z29" sqref="Z29"/>
    </sheetView>
  </sheetViews>
  <sheetFormatPr defaultColWidth="8.7109375" defaultRowHeight="12.75" x14ac:dyDescent="0.2"/>
  <cols>
    <col min="1" max="1" width="1.85546875" style="148" customWidth="1"/>
    <col min="2" max="2" width="6.28515625" style="148" customWidth="1"/>
    <col min="3" max="3" width="55.7109375" style="148" customWidth="1"/>
    <col min="4" max="4" width="10.42578125" style="148" customWidth="1"/>
    <col min="5" max="5" width="5.5703125" style="148" customWidth="1"/>
    <col min="6" max="6" width="11.7109375" style="148" customWidth="1"/>
    <col min="7" max="7" width="11.5703125" style="148" customWidth="1"/>
    <col min="8" max="8" width="21.85546875" style="148" customWidth="1"/>
    <col min="9" max="9" width="14.5703125" style="148" customWidth="1"/>
    <col min="10" max="10" width="10.140625" style="148" customWidth="1"/>
    <col min="11" max="11" width="14.85546875" style="148" customWidth="1"/>
    <col min="12" max="12" width="1.42578125" style="148" customWidth="1"/>
    <col min="13" max="13" width="0" style="148" hidden="1" customWidth="1"/>
    <col min="14" max="14" width="11" style="148" hidden="1" customWidth="1"/>
    <col min="15" max="23" width="0" style="148" hidden="1" customWidth="1"/>
    <col min="24" max="256" width="8.7109375" style="148"/>
    <col min="257" max="257" width="1.85546875" style="148" customWidth="1"/>
    <col min="258" max="258" width="6.28515625" style="148" customWidth="1"/>
    <col min="259" max="259" width="55.7109375" style="148" customWidth="1"/>
    <col min="260" max="260" width="10.42578125" style="148" customWidth="1"/>
    <col min="261" max="261" width="5.5703125" style="148" customWidth="1"/>
    <col min="262" max="262" width="11.7109375" style="148" customWidth="1"/>
    <col min="263" max="263" width="11.5703125" style="148" customWidth="1"/>
    <col min="264" max="264" width="21.85546875" style="148" customWidth="1"/>
    <col min="265" max="265" width="14.5703125" style="148" customWidth="1"/>
    <col min="266" max="266" width="10.140625" style="148" customWidth="1"/>
    <col min="267" max="267" width="14.85546875" style="148" customWidth="1"/>
    <col min="268" max="268" width="1.42578125" style="148" customWidth="1"/>
    <col min="269" max="278" width="0" style="148" hidden="1" customWidth="1"/>
    <col min="279" max="512" width="8.7109375" style="148"/>
    <col min="513" max="513" width="1.85546875" style="148" customWidth="1"/>
    <col min="514" max="514" width="6.28515625" style="148" customWidth="1"/>
    <col min="515" max="515" width="55.7109375" style="148" customWidth="1"/>
    <col min="516" max="516" width="10.42578125" style="148" customWidth="1"/>
    <col min="517" max="517" width="5.5703125" style="148" customWidth="1"/>
    <col min="518" max="518" width="11.7109375" style="148" customWidth="1"/>
    <col min="519" max="519" width="11.5703125" style="148" customWidth="1"/>
    <col min="520" max="520" width="21.85546875" style="148" customWidth="1"/>
    <col min="521" max="521" width="14.5703125" style="148" customWidth="1"/>
    <col min="522" max="522" width="10.140625" style="148" customWidth="1"/>
    <col min="523" max="523" width="14.85546875" style="148" customWidth="1"/>
    <col min="524" max="524" width="1.42578125" style="148" customWidth="1"/>
    <col min="525" max="534" width="0" style="148" hidden="1" customWidth="1"/>
    <col min="535" max="768" width="8.7109375" style="148"/>
    <col min="769" max="769" width="1.85546875" style="148" customWidth="1"/>
    <col min="770" max="770" width="6.28515625" style="148" customWidth="1"/>
    <col min="771" max="771" width="55.7109375" style="148" customWidth="1"/>
    <col min="772" max="772" width="10.42578125" style="148" customWidth="1"/>
    <col min="773" max="773" width="5.5703125" style="148" customWidth="1"/>
    <col min="774" max="774" width="11.7109375" style="148" customWidth="1"/>
    <col min="775" max="775" width="11.5703125" style="148" customWidth="1"/>
    <col min="776" max="776" width="21.85546875" style="148" customWidth="1"/>
    <col min="777" max="777" width="14.5703125" style="148" customWidth="1"/>
    <col min="778" max="778" width="10.140625" style="148" customWidth="1"/>
    <col min="779" max="779" width="14.85546875" style="148" customWidth="1"/>
    <col min="780" max="780" width="1.42578125" style="148" customWidth="1"/>
    <col min="781" max="790" width="0" style="148" hidden="1" customWidth="1"/>
    <col min="791" max="1024" width="8.7109375" style="148"/>
    <col min="1025" max="1025" width="1.85546875" style="148" customWidth="1"/>
    <col min="1026" max="1026" width="6.28515625" style="148" customWidth="1"/>
    <col min="1027" max="1027" width="55.7109375" style="148" customWidth="1"/>
    <col min="1028" max="1028" width="10.42578125" style="148" customWidth="1"/>
    <col min="1029" max="1029" width="5.5703125" style="148" customWidth="1"/>
    <col min="1030" max="1030" width="11.7109375" style="148" customWidth="1"/>
    <col min="1031" max="1031" width="11.5703125" style="148" customWidth="1"/>
    <col min="1032" max="1032" width="21.85546875" style="148" customWidth="1"/>
    <col min="1033" max="1033" width="14.5703125" style="148" customWidth="1"/>
    <col min="1034" max="1034" width="10.140625" style="148" customWidth="1"/>
    <col min="1035" max="1035" width="14.85546875" style="148" customWidth="1"/>
    <col min="1036" max="1036" width="1.42578125" style="148" customWidth="1"/>
    <col min="1037" max="1046" width="0" style="148" hidden="1" customWidth="1"/>
    <col min="1047" max="1280" width="8.7109375" style="148"/>
    <col min="1281" max="1281" width="1.85546875" style="148" customWidth="1"/>
    <col min="1282" max="1282" width="6.28515625" style="148" customWidth="1"/>
    <col min="1283" max="1283" width="55.7109375" style="148" customWidth="1"/>
    <col min="1284" max="1284" width="10.42578125" style="148" customWidth="1"/>
    <col min="1285" max="1285" width="5.5703125" style="148" customWidth="1"/>
    <col min="1286" max="1286" width="11.7109375" style="148" customWidth="1"/>
    <col min="1287" max="1287" width="11.5703125" style="148" customWidth="1"/>
    <col min="1288" max="1288" width="21.85546875" style="148" customWidth="1"/>
    <col min="1289" max="1289" width="14.5703125" style="148" customWidth="1"/>
    <col min="1290" max="1290" width="10.140625" style="148" customWidth="1"/>
    <col min="1291" max="1291" width="14.85546875" style="148" customWidth="1"/>
    <col min="1292" max="1292" width="1.42578125" style="148" customWidth="1"/>
    <col min="1293" max="1302" width="0" style="148" hidden="1" customWidth="1"/>
    <col min="1303" max="1536" width="8.7109375" style="148"/>
    <col min="1537" max="1537" width="1.85546875" style="148" customWidth="1"/>
    <col min="1538" max="1538" width="6.28515625" style="148" customWidth="1"/>
    <col min="1539" max="1539" width="55.7109375" style="148" customWidth="1"/>
    <col min="1540" max="1540" width="10.42578125" style="148" customWidth="1"/>
    <col min="1541" max="1541" width="5.5703125" style="148" customWidth="1"/>
    <col min="1542" max="1542" width="11.7109375" style="148" customWidth="1"/>
    <col min="1543" max="1543" width="11.5703125" style="148" customWidth="1"/>
    <col min="1544" max="1544" width="21.85546875" style="148" customWidth="1"/>
    <col min="1545" max="1545" width="14.5703125" style="148" customWidth="1"/>
    <col min="1546" max="1546" width="10.140625" style="148" customWidth="1"/>
    <col min="1547" max="1547" width="14.85546875" style="148" customWidth="1"/>
    <col min="1548" max="1548" width="1.42578125" style="148" customWidth="1"/>
    <col min="1549" max="1558" width="0" style="148" hidden="1" customWidth="1"/>
    <col min="1559" max="1792" width="8.7109375" style="148"/>
    <col min="1793" max="1793" width="1.85546875" style="148" customWidth="1"/>
    <col min="1794" max="1794" width="6.28515625" style="148" customWidth="1"/>
    <col min="1795" max="1795" width="55.7109375" style="148" customWidth="1"/>
    <col min="1796" max="1796" width="10.42578125" style="148" customWidth="1"/>
    <col min="1797" max="1797" width="5.5703125" style="148" customWidth="1"/>
    <col min="1798" max="1798" width="11.7109375" style="148" customWidth="1"/>
    <col min="1799" max="1799" width="11.5703125" style="148" customWidth="1"/>
    <col min="1800" max="1800" width="21.85546875" style="148" customWidth="1"/>
    <col min="1801" max="1801" width="14.5703125" style="148" customWidth="1"/>
    <col min="1802" max="1802" width="10.140625" style="148" customWidth="1"/>
    <col min="1803" max="1803" width="14.85546875" style="148" customWidth="1"/>
    <col min="1804" max="1804" width="1.42578125" style="148" customWidth="1"/>
    <col min="1805" max="1814" width="0" style="148" hidden="1" customWidth="1"/>
    <col min="1815" max="2048" width="8.7109375" style="148"/>
    <col min="2049" max="2049" width="1.85546875" style="148" customWidth="1"/>
    <col min="2050" max="2050" width="6.28515625" style="148" customWidth="1"/>
    <col min="2051" max="2051" width="55.7109375" style="148" customWidth="1"/>
    <col min="2052" max="2052" width="10.42578125" style="148" customWidth="1"/>
    <col min="2053" max="2053" width="5.5703125" style="148" customWidth="1"/>
    <col min="2054" max="2054" width="11.7109375" style="148" customWidth="1"/>
    <col min="2055" max="2055" width="11.5703125" style="148" customWidth="1"/>
    <col min="2056" max="2056" width="21.85546875" style="148" customWidth="1"/>
    <col min="2057" max="2057" width="14.5703125" style="148" customWidth="1"/>
    <col min="2058" max="2058" width="10.140625" style="148" customWidth="1"/>
    <col min="2059" max="2059" width="14.85546875" style="148" customWidth="1"/>
    <col min="2060" max="2060" width="1.42578125" style="148" customWidth="1"/>
    <col min="2061" max="2070" width="0" style="148" hidden="1" customWidth="1"/>
    <col min="2071" max="2304" width="8.7109375" style="148"/>
    <col min="2305" max="2305" width="1.85546875" style="148" customWidth="1"/>
    <col min="2306" max="2306" width="6.28515625" style="148" customWidth="1"/>
    <col min="2307" max="2307" width="55.7109375" style="148" customWidth="1"/>
    <col min="2308" max="2308" width="10.42578125" style="148" customWidth="1"/>
    <col min="2309" max="2309" width="5.5703125" style="148" customWidth="1"/>
    <col min="2310" max="2310" width="11.7109375" style="148" customWidth="1"/>
    <col min="2311" max="2311" width="11.5703125" style="148" customWidth="1"/>
    <col min="2312" max="2312" width="21.85546875" style="148" customWidth="1"/>
    <col min="2313" max="2313" width="14.5703125" style="148" customWidth="1"/>
    <col min="2314" max="2314" width="10.140625" style="148" customWidth="1"/>
    <col min="2315" max="2315" width="14.85546875" style="148" customWidth="1"/>
    <col min="2316" max="2316" width="1.42578125" style="148" customWidth="1"/>
    <col min="2317" max="2326" width="0" style="148" hidden="1" customWidth="1"/>
    <col min="2327" max="2560" width="8.7109375" style="148"/>
    <col min="2561" max="2561" width="1.85546875" style="148" customWidth="1"/>
    <col min="2562" max="2562" width="6.28515625" style="148" customWidth="1"/>
    <col min="2563" max="2563" width="55.7109375" style="148" customWidth="1"/>
    <col min="2564" max="2564" width="10.42578125" style="148" customWidth="1"/>
    <col min="2565" max="2565" width="5.5703125" style="148" customWidth="1"/>
    <col min="2566" max="2566" width="11.7109375" style="148" customWidth="1"/>
    <col min="2567" max="2567" width="11.5703125" style="148" customWidth="1"/>
    <col min="2568" max="2568" width="21.85546875" style="148" customWidth="1"/>
    <col min="2569" max="2569" width="14.5703125" style="148" customWidth="1"/>
    <col min="2570" max="2570" width="10.140625" style="148" customWidth="1"/>
    <col min="2571" max="2571" width="14.85546875" style="148" customWidth="1"/>
    <col min="2572" max="2572" width="1.42578125" style="148" customWidth="1"/>
    <col min="2573" max="2582" width="0" style="148" hidden="1" customWidth="1"/>
    <col min="2583" max="2816" width="8.7109375" style="148"/>
    <col min="2817" max="2817" width="1.85546875" style="148" customWidth="1"/>
    <col min="2818" max="2818" width="6.28515625" style="148" customWidth="1"/>
    <col min="2819" max="2819" width="55.7109375" style="148" customWidth="1"/>
    <col min="2820" max="2820" width="10.42578125" style="148" customWidth="1"/>
    <col min="2821" max="2821" width="5.5703125" style="148" customWidth="1"/>
    <col min="2822" max="2822" width="11.7109375" style="148" customWidth="1"/>
    <col min="2823" max="2823" width="11.5703125" style="148" customWidth="1"/>
    <col min="2824" max="2824" width="21.85546875" style="148" customWidth="1"/>
    <col min="2825" max="2825" width="14.5703125" style="148" customWidth="1"/>
    <col min="2826" max="2826" width="10.140625" style="148" customWidth="1"/>
    <col min="2827" max="2827" width="14.85546875" style="148" customWidth="1"/>
    <col min="2828" max="2828" width="1.42578125" style="148" customWidth="1"/>
    <col min="2829" max="2838" width="0" style="148" hidden="1" customWidth="1"/>
    <col min="2839" max="3072" width="8.7109375" style="148"/>
    <col min="3073" max="3073" width="1.85546875" style="148" customWidth="1"/>
    <col min="3074" max="3074" width="6.28515625" style="148" customWidth="1"/>
    <col min="3075" max="3075" width="55.7109375" style="148" customWidth="1"/>
    <col min="3076" max="3076" width="10.42578125" style="148" customWidth="1"/>
    <col min="3077" max="3077" width="5.5703125" style="148" customWidth="1"/>
    <col min="3078" max="3078" width="11.7109375" style="148" customWidth="1"/>
    <col min="3079" max="3079" width="11.5703125" style="148" customWidth="1"/>
    <col min="3080" max="3080" width="21.85546875" style="148" customWidth="1"/>
    <col min="3081" max="3081" width="14.5703125" style="148" customWidth="1"/>
    <col min="3082" max="3082" width="10.140625" style="148" customWidth="1"/>
    <col min="3083" max="3083" width="14.85546875" style="148" customWidth="1"/>
    <col min="3084" max="3084" width="1.42578125" style="148" customWidth="1"/>
    <col min="3085" max="3094" width="0" style="148" hidden="1" customWidth="1"/>
    <col min="3095" max="3328" width="8.7109375" style="148"/>
    <col min="3329" max="3329" width="1.85546875" style="148" customWidth="1"/>
    <col min="3330" max="3330" width="6.28515625" style="148" customWidth="1"/>
    <col min="3331" max="3331" width="55.7109375" style="148" customWidth="1"/>
    <col min="3332" max="3332" width="10.42578125" style="148" customWidth="1"/>
    <col min="3333" max="3333" width="5.5703125" style="148" customWidth="1"/>
    <col min="3334" max="3334" width="11.7109375" style="148" customWidth="1"/>
    <col min="3335" max="3335" width="11.5703125" style="148" customWidth="1"/>
    <col min="3336" max="3336" width="21.85546875" style="148" customWidth="1"/>
    <col min="3337" max="3337" width="14.5703125" style="148" customWidth="1"/>
    <col min="3338" max="3338" width="10.140625" style="148" customWidth="1"/>
    <col min="3339" max="3339" width="14.85546875" style="148" customWidth="1"/>
    <col min="3340" max="3340" width="1.42578125" style="148" customWidth="1"/>
    <col min="3341" max="3350" width="0" style="148" hidden="1" customWidth="1"/>
    <col min="3351" max="3584" width="8.7109375" style="148"/>
    <col min="3585" max="3585" width="1.85546875" style="148" customWidth="1"/>
    <col min="3586" max="3586" width="6.28515625" style="148" customWidth="1"/>
    <col min="3587" max="3587" width="55.7109375" style="148" customWidth="1"/>
    <col min="3588" max="3588" width="10.42578125" style="148" customWidth="1"/>
    <col min="3589" max="3589" width="5.5703125" style="148" customWidth="1"/>
    <col min="3590" max="3590" width="11.7109375" style="148" customWidth="1"/>
    <col min="3591" max="3591" width="11.5703125" style="148" customWidth="1"/>
    <col min="3592" max="3592" width="21.85546875" style="148" customWidth="1"/>
    <col min="3593" max="3593" width="14.5703125" style="148" customWidth="1"/>
    <col min="3594" max="3594" width="10.140625" style="148" customWidth="1"/>
    <col min="3595" max="3595" width="14.85546875" style="148" customWidth="1"/>
    <col min="3596" max="3596" width="1.42578125" style="148" customWidth="1"/>
    <col min="3597" max="3606" width="0" style="148" hidden="1" customWidth="1"/>
    <col min="3607" max="3840" width="8.7109375" style="148"/>
    <col min="3841" max="3841" width="1.85546875" style="148" customWidth="1"/>
    <col min="3842" max="3842" width="6.28515625" style="148" customWidth="1"/>
    <col min="3843" max="3843" width="55.7109375" style="148" customWidth="1"/>
    <col min="3844" max="3844" width="10.42578125" style="148" customWidth="1"/>
    <col min="3845" max="3845" width="5.5703125" style="148" customWidth="1"/>
    <col min="3846" max="3846" width="11.7109375" style="148" customWidth="1"/>
    <col min="3847" max="3847" width="11.5703125" style="148" customWidth="1"/>
    <col min="3848" max="3848" width="21.85546875" style="148" customWidth="1"/>
    <col min="3849" max="3849" width="14.5703125" style="148" customWidth="1"/>
    <col min="3850" max="3850" width="10.140625" style="148" customWidth="1"/>
    <col min="3851" max="3851" width="14.85546875" style="148" customWidth="1"/>
    <col min="3852" max="3852" width="1.42578125" style="148" customWidth="1"/>
    <col min="3853" max="3862" width="0" style="148" hidden="1" customWidth="1"/>
    <col min="3863" max="4096" width="8.7109375" style="148"/>
    <col min="4097" max="4097" width="1.85546875" style="148" customWidth="1"/>
    <col min="4098" max="4098" width="6.28515625" style="148" customWidth="1"/>
    <col min="4099" max="4099" width="55.7109375" style="148" customWidth="1"/>
    <col min="4100" max="4100" width="10.42578125" style="148" customWidth="1"/>
    <col min="4101" max="4101" width="5.5703125" style="148" customWidth="1"/>
    <col min="4102" max="4102" width="11.7109375" style="148" customWidth="1"/>
    <col min="4103" max="4103" width="11.5703125" style="148" customWidth="1"/>
    <col min="4104" max="4104" width="21.85546875" style="148" customWidth="1"/>
    <col min="4105" max="4105" width="14.5703125" style="148" customWidth="1"/>
    <col min="4106" max="4106" width="10.140625" style="148" customWidth="1"/>
    <col min="4107" max="4107" width="14.85546875" style="148" customWidth="1"/>
    <col min="4108" max="4108" width="1.42578125" style="148" customWidth="1"/>
    <col min="4109" max="4118" width="0" style="148" hidden="1" customWidth="1"/>
    <col min="4119" max="4352" width="8.7109375" style="148"/>
    <col min="4353" max="4353" width="1.85546875" style="148" customWidth="1"/>
    <col min="4354" max="4354" width="6.28515625" style="148" customWidth="1"/>
    <col min="4355" max="4355" width="55.7109375" style="148" customWidth="1"/>
    <col min="4356" max="4356" width="10.42578125" style="148" customWidth="1"/>
    <col min="4357" max="4357" width="5.5703125" style="148" customWidth="1"/>
    <col min="4358" max="4358" width="11.7109375" style="148" customWidth="1"/>
    <col min="4359" max="4359" width="11.5703125" style="148" customWidth="1"/>
    <col min="4360" max="4360" width="21.85546875" style="148" customWidth="1"/>
    <col min="4361" max="4361" width="14.5703125" style="148" customWidth="1"/>
    <col min="4362" max="4362" width="10.140625" style="148" customWidth="1"/>
    <col min="4363" max="4363" width="14.85546875" style="148" customWidth="1"/>
    <col min="4364" max="4364" width="1.42578125" style="148" customWidth="1"/>
    <col min="4365" max="4374" width="0" style="148" hidden="1" customWidth="1"/>
    <col min="4375" max="4608" width="8.7109375" style="148"/>
    <col min="4609" max="4609" width="1.85546875" style="148" customWidth="1"/>
    <col min="4610" max="4610" width="6.28515625" style="148" customWidth="1"/>
    <col min="4611" max="4611" width="55.7109375" style="148" customWidth="1"/>
    <col min="4612" max="4612" width="10.42578125" style="148" customWidth="1"/>
    <col min="4613" max="4613" width="5.5703125" style="148" customWidth="1"/>
    <col min="4614" max="4614" width="11.7109375" style="148" customWidth="1"/>
    <col min="4615" max="4615" width="11.5703125" style="148" customWidth="1"/>
    <col min="4616" max="4616" width="21.85546875" style="148" customWidth="1"/>
    <col min="4617" max="4617" width="14.5703125" style="148" customWidth="1"/>
    <col min="4618" max="4618" width="10.140625" style="148" customWidth="1"/>
    <col min="4619" max="4619" width="14.85546875" style="148" customWidth="1"/>
    <col min="4620" max="4620" width="1.42578125" style="148" customWidth="1"/>
    <col min="4621" max="4630" width="0" style="148" hidden="1" customWidth="1"/>
    <col min="4631" max="4864" width="8.7109375" style="148"/>
    <col min="4865" max="4865" width="1.85546875" style="148" customWidth="1"/>
    <col min="4866" max="4866" width="6.28515625" style="148" customWidth="1"/>
    <col min="4867" max="4867" width="55.7109375" style="148" customWidth="1"/>
    <col min="4868" max="4868" width="10.42578125" style="148" customWidth="1"/>
    <col min="4869" max="4869" width="5.5703125" style="148" customWidth="1"/>
    <col min="4870" max="4870" width="11.7109375" style="148" customWidth="1"/>
    <col min="4871" max="4871" width="11.5703125" style="148" customWidth="1"/>
    <col min="4872" max="4872" width="21.85546875" style="148" customWidth="1"/>
    <col min="4873" max="4873" width="14.5703125" style="148" customWidth="1"/>
    <col min="4874" max="4874" width="10.140625" style="148" customWidth="1"/>
    <col min="4875" max="4875" width="14.85546875" style="148" customWidth="1"/>
    <col min="4876" max="4876" width="1.42578125" style="148" customWidth="1"/>
    <col min="4877" max="4886" width="0" style="148" hidden="1" customWidth="1"/>
    <col min="4887" max="5120" width="8.7109375" style="148"/>
    <col min="5121" max="5121" width="1.85546875" style="148" customWidth="1"/>
    <col min="5122" max="5122" width="6.28515625" style="148" customWidth="1"/>
    <col min="5123" max="5123" width="55.7109375" style="148" customWidth="1"/>
    <col min="5124" max="5124" width="10.42578125" style="148" customWidth="1"/>
    <col min="5125" max="5125" width="5.5703125" style="148" customWidth="1"/>
    <col min="5126" max="5126" width="11.7109375" style="148" customWidth="1"/>
    <col min="5127" max="5127" width="11.5703125" style="148" customWidth="1"/>
    <col min="5128" max="5128" width="21.85546875" style="148" customWidth="1"/>
    <col min="5129" max="5129" width="14.5703125" style="148" customWidth="1"/>
    <col min="5130" max="5130" width="10.140625" style="148" customWidth="1"/>
    <col min="5131" max="5131" width="14.85546875" style="148" customWidth="1"/>
    <col min="5132" max="5132" width="1.42578125" style="148" customWidth="1"/>
    <col min="5133" max="5142" width="0" style="148" hidden="1" customWidth="1"/>
    <col min="5143" max="5376" width="8.7109375" style="148"/>
    <col min="5377" max="5377" width="1.85546875" style="148" customWidth="1"/>
    <col min="5378" max="5378" width="6.28515625" style="148" customWidth="1"/>
    <col min="5379" max="5379" width="55.7109375" style="148" customWidth="1"/>
    <col min="5380" max="5380" width="10.42578125" style="148" customWidth="1"/>
    <col min="5381" max="5381" width="5.5703125" style="148" customWidth="1"/>
    <col min="5382" max="5382" width="11.7109375" style="148" customWidth="1"/>
    <col min="5383" max="5383" width="11.5703125" style="148" customWidth="1"/>
    <col min="5384" max="5384" width="21.85546875" style="148" customWidth="1"/>
    <col min="5385" max="5385" width="14.5703125" style="148" customWidth="1"/>
    <col min="5386" max="5386" width="10.140625" style="148" customWidth="1"/>
    <col min="5387" max="5387" width="14.85546875" style="148" customWidth="1"/>
    <col min="5388" max="5388" width="1.42578125" style="148" customWidth="1"/>
    <col min="5389" max="5398" width="0" style="148" hidden="1" customWidth="1"/>
    <col min="5399" max="5632" width="8.7109375" style="148"/>
    <col min="5633" max="5633" width="1.85546875" style="148" customWidth="1"/>
    <col min="5634" max="5634" width="6.28515625" style="148" customWidth="1"/>
    <col min="5635" max="5635" width="55.7109375" style="148" customWidth="1"/>
    <col min="5636" max="5636" width="10.42578125" style="148" customWidth="1"/>
    <col min="5637" max="5637" width="5.5703125" style="148" customWidth="1"/>
    <col min="5638" max="5638" width="11.7109375" style="148" customWidth="1"/>
    <col min="5639" max="5639" width="11.5703125" style="148" customWidth="1"/>
    <col min="5640" max="5640" width="21.85546875" style="148" customWidth="1"/>
    <col min="5641" max="5641" width="14.5703125" style="148" customWidth="1"/>
    <col min="5642" max="5642" width="10.140625" style="148" customWidth="1"/>
    <col min="5643" max="5643" width="14.85546875" style="148" customWidth="1"/>
    <col min="5644" max="5644" width="1.42578125" style="148" customWidth="1"/>
    <col min="5645" max="5654" width="0" style="148" hidden="1" customWidth="1"/>
    <col min="5655" max="5888" width="8.7109375" style="148"/>
    <col min="5889" max="5889" width="1.85546875" style="148" customWidth="1"/>
    <col min="5890" max="5890" width="6.28515625" style="148" customWidth="1"/>
    <col min="5891" max="5891" width="55.7109375" style="148" customWidth="1"/>
    <col min="5892" max="5892" width="10.42578125" style="148" customWidth="1"/>
    <col min="5893" max="5893" width="5.5703125" style="148" customWidth="1"/>
    <col min="5894" max="5894" width="11.7109375" style="148" customWidth="1"/>
    <col min="5895" max="5895" width="11.5703125" style="148" customWidth="1"/>
    <col min="5896" max="5896" width="21.85546875" style="148" customWidth="1"/>
    <col min="5897" max="5897" width="14.5703125" style="148" customWidth="1"/>
    <col min="5898" max="5898" width="10.140625" style="148" customWidth="1"/>
    <col min="5899" max="5899" width="14.85546875" style="148" customWidth="1"/>
    <col min="5900" max="5900" width="1.42578125" style="148" customWidth="1"/>
    <col min="5901" max="5910" width="0" style="148" hidden="1" customWidth="1"/>
    <col min="5911" max="6144" width="8.7109375" style="148"/>
    <col min="6145" max="6145" width="1.85546875" style="148" customWidth="1"/>
    <col min="6146" max="6146" width="6.28515625" style="148" customWidth="1"/>
    <col min="6147" max="6147" width="55.7109375" style="148" customWidth="1"/>
    <col min="6148" max="6148" width="10.42578125" style="148" customWidth="1"/>
    <col min="6149" max="6149" width="5.5703125" style="148" customWidth="1"/>
    <col min="6150" max="6150" width="11.7109375" style="148" customWidth="1"/>
    <col min="6151" max="6151" width="11.5703125" style="148" customWidth="1"/>
    <col min="6152" max="6152" width="21.85546875" style="148" customWidth="1"/>
    <col min="6153" max="6153" width="14.5703125" style="148" customWidth="1"/>
    <col min="6154" max="6154" width="10.140625" style="148" customWidth="1"/>
    <col min="6155" max="6155" width="14.85546875" style="148" customWidth="1"/>
    <col min="6156" max="6156" width="1.42578125" style="148" customWidth="1"/>
    <col min="6157" max="6166" width="0" style="148" hidden="1" customWidth="1"/>
    <col min="6167" max="6400" width="8.7109375" style="148"/>
    <col min="6401" max="6401" width="1.85546875" style="148" customWidth="1"/>
    <col min="6402" max="6402" width="6.28515625" style="148" customWidth="1"/>
    <col min="6403" max="6403" width="55.7109375" style="148" customWidth="1"/>
    <col min="6404" max="6404" width="10.42578125" style="148" customWidth="1"/>
    <col min="6405" max="6405" width="5.5703125" style="148" customWidth="1"/>
    <col min="6406" max="6406" width="11.7109375" style="148" customWidth="1"/>
    <col min="6407" max="6407" width="11.5703125" style="148" customWidth="1"/>
    <col min="6408" max="6408" width="21.85546875" style="148" customWidth="1"/>
    <col min="6409" max="6409" width="14.5703125" style="148" customWidth="1"/>
    <col min="6410" max="6410" width="10.140625" style="148" customWidth="1"/>
    <col min="6411" max="6411" width="14.85546875" style="148" customWidth="1"/>
    <col min="6412" max="6412" width="1.42578125" style="148" customWidth="1"/>
    <col min="6413" max="6422" width="0" style="148" hidden="1" customWidth="1"/>
    <col min="6423" max="6656" width="8.7109375" style="148"/>
    <col min="6657" max="6657" width="1.85546875" style="148" customWidth="1"/>
    <col min="6658" max="6658" width="6.28515625" style="148" customWidth="1"/>
    <col min="6659" max="6659" width="55.7109375" style="148" customWidth="1"/>
    <col min="6660" max="6660" width="10.42578125" style="148" customWidth="1"/>
    <col min="6661" max="6661" width="5.5703125" style="148" customWidth="1"/>
    <col min="6662" max="6662" width="11.7109375" style="148" customWidth="1"/>
    <col min="6663" max="6663" width="11.5703125" style="148" customWidth="1"/>
    <col min="6664" max="6664" width="21.85546875" style="148" customWidth="1"/>
    <col min="6665" max="6665" width="14.5703125" style="148" customWidth="1"/>
    <col min="6666" max="6666" width="10.140625" style="148" customWidth="1"/>
    <col min="6667" max="6667" width="14.85546875" style="148" customWidth="1"/>
    <col min="6668" max="6668" width="1.42578125" style="148" customWidth="1"/>
    <col min="6669" max="6678" width="0" style="148" hidden="1" customWidth="1"/>
    <col min="6679" max="6912" width="8.7109375" style="148"/>
    <col min="6913" max="6913" width="1.85546875" style="148" customWidth="1"/>
    <col min="6914" max="6914" width="6.28515625" style="148" customWidth="1"/>
    <col min="6915" max="6915" width="55.7109375" style="148" customWidth="1"/>
    <col min="6916" max="6916" width="10.42578125" style="148" customWidth="1"/>
    <col min="6917" max="6917" width="5.5703125" style="148" customWidth="1"/>
    <col min="6918" max="6918" width="11.7109375" style="148" customWidth="1"/>
    <col min="6919" max="6919" width="11.5703125" style="148" customWidth="1"/>
    <col min="6920" max="6920" width="21.85546875" style="148" customWidth="1"/>
    <col min="6921" max="6921" width="14.5703125" style="148" customWidth="1"/>
    <col min="6922" max="6922" width="10.140625" style="148" customWidth="1"/>
    <col min="6923" max="6923" width="14.85546875" style="148" customWidth="1"/>
    <col min="6924" max="6924" width="1.42578125" style="148" customWidth="1"/>
    <col min="6925" max="6934" width="0" style="148" hidden="1" customWidth="1"/>
    <col min="6935" max="7168" width="8.7109375" style="148"/>
    <col min="7169" max="7169" width="1.85546875" style="148" customWidth="1"/>
    <col min="7170" max="7170" width="6.28515625" style="148" customWidth="1"/>
    <col min="7171" max="7171" width="55.7109375" style="148" customWidth="1"/>
    <col min="7172" max="7172" width="10.42578125" style="148" customWidth="1"/>
    <col min="7173" max="7173" width="5.5703125" style="148" customWidth="1"/>
    <col min="7174" max="7174" width="11.7109375" style="148" customWidth="1"/>
    <col min="7175" max="7175" width="11.5703125" style="148" customWidth="1"/>
    <col min="7176" max="7176" width="21.85546875" style="148" customWidth="1"/>
    <col min="7177" max="7177" width="14.5703125" style="148" customWidth="1"/>
    <col min="7178" max="7178" width="10.140625" style="148" customWidth="1"/>
    <col min="7179" max="7179" width="14.85546875" style="148" customWidth="1"/>
    <col min="7180" max="7180" width="1.42578125" style="148" customWidth="1"/>
    <col min="7181" max="7190" width="0" style="148" hidden="1" customWidth="1"/>
    <col min="7191" max="7424" width="8.7109375" style="148"/>
    <col min="7425" max="7425" width="1.85546875" style="148" customWidth="1"/>
    <col min="7426" max="7426" width="6.28515625" style="148" customWidth="1"/>
    <col min="7427" max="7427" width="55.7109375" style="148" customWidth="1"/>
    <col min="7428" max="7428" width="10.42578125" style="148" customWidth="1"/>
    <col min="7429" max="7429" width="5.5703125" style="148" customWidth="1"/>
    <col min="7430" max="7430" width="11.7109375" style="148" customWidth="1"/>
    <col min="7431" max="7431" width="11.5703125" style="148" customWidth="1"/>
    <col min="7432" max="7432" width="21.85546875" style="148" customWidth="1"/>
    <col min="7433" max="7433" width="14.5703125" style="148" customWidth="1"/>
    <col min="7434" max="7434" width="10.140625" style="148" customWidth="1"/>
    <col min="7435" max="7435" width="14.85546875" style="148" customWidth="1"/>
    <col min="7436" max="7436" width="1.42578125" style="148" customWidth="1"/>
    <col min="7437" max="7446" width="0" style="148" hidden="1" customWidth="1"/>
    <col min="7447" max="7680" width="8.7109375" style="148"/>
    <col min="7681" max="7681" width="1.85546875" style="148" customWidth="1"/>
    <col min="7682" max="7682" width="6.28515625" style="148" customWidth="1"/>
    <col min="7683" max="7683" width="55.7109375" style="148" customWidth="1"/>
    <col min="7684" max="7684" width="10.42578125" style="148" customWidth="1"/>
    <col min="7685" max="7685" width="5.5703125" style="148" customWidth="1"/>
    <col min="7686" max="7686" width="11.7109375" style="148" customWidth="1"/>
    <col min="7687" max="7687" width="11.5703125" style="148" customWidth="1"/>
    <col min="7688" max="7688" width="21.85546875" style="148" customWidth="1"/>
    <col min="7689" max="7689" width="14.5703125" style="148" customWidth="1"/>
    <col min="7690" max="7690" width="10.140625" style="148" customWidth="1"/>
    <col min="7691" max="7691" width="14.85546875" style="148" customWidth="1"/>
    <col min="7692" max="7692" width="1.42578125" style="148" customWidth="1"/>
    <col min="7693" max="7702" width="0" style="148" hidden="1" customWidth="1"/>
    <col min="7703" max="7936" width="8.7109375" style="148"/>
    <col min="7937" max="7937" width="1.85546875" style="148" customWidth="1"/>
    <col min="7938" max="7938" width="6.28515625" style="148" customWidth="1"/>
    <col min="7939" max="7939" width="55.7109375" style="148" customWidth="1"/>
    <col min="7940" max="7940" width="10.42578125" style="148" customWidth="1"/>
    <col min="7941" max="7941" width="5.5703125" style="148" customWidth="1"/>
    <col min="7942" max="7942" width="11.7109375" style="148" customWidth="1"/>
    <col min="7943" max="7943" width="11.5703125" style="148" customWidth="1"/>
    <col min="7944" max="7944" width="21.85546875" style="148" customWidth="1"/>
    <col min="7945" max="7945" width="14.5703125" style="148" customWidth="1"/>
    <col min="7946" max="7946" width="10.140625" style="148" customWidth="1"/>
    <col min="7947" max="7947" width="14.85546875" style="148" customWidth="1"/>
    <col min="7948" max="7948" width="1.42578125" style="148" customWidth="1"/>
    <col min="7949" max="7958" width="0" style="148" hidden="1" customWidth="1"/>
    <col min="7959" max="8192" width="8.7109375" style="148"/>
    <col min="8193" max="8193" width="1.85546875" style="148" customWidth="1"/>
    <col min="8194" max="8194" width="6.28515625" style="148" customWidth="1"/>
    <col min="8195" max="8195" width="55.7109375" style="148" customWidth="1"/>
    <col min="8196" max="8196" width="10.42578125" style="148" customWidth="1"/>
    <col min="8197" max="8197" width="5.5703125" style="148" customWidth="1"/>
    <col min="8198" max="8198" width="11.7109375" style="148" customWidth="1"/>
    <col min="8199" max="8199" width="11.5703125" style="148" customWidth="1"/>
    <col min="8200" max="8200" width="21.85546875" style="148" customWidth="1"/>
    <col min="8201" max="8201" width="14.5703125" style="148" customWidth="1"/>
    <col min="8202" max="8202" width="10.140625" style="148" customWidth="1"/>
    <col min="8203" max="8203" width="14.85546875" style="148" customWidth="1"/>
    <col min="8204" max="8204" width="1.42578125" style="148" customWidth="1"/>
    <col min="8205" max="8214" width="0" style="148" hidden="1" customWidth="1"/>
    <col min="8215" max="8448" width="8.7109375" style="148"/>
    <col min="8449" max="8449" width="1.85546875" style="148" customWidth="1"/>
    <col min="8450" max="8450" width="6.28515625" style="148" customWidth="1"/>
    <col min="8451" max="8451" width="55.7109375" style="148" customWidth="1"/>
    <col min="8452" max="8452" width="10.42578125" style="148" customWidth="1"/>
    <col min="8453" max="8453" width="5.5703125" style="148" customWidth="1"/>
    <col min="8454" max="8454" width="11.7109375" style="148" customWidth="1"/>
    <col min="8455" max="8455" width="11.5703125" style="148" customWidth="1"/>
    <col min="8456" max="8456" width="21.85546875" style="148" customWidth="1"/>
    <col min="8457" max="8457" width="14.5703125" style="148" customWidth="1"/>
    <col min="8458" max="8458" width="10.140625" style="148" customWidth="1"/>
    <col min="8459" max="8459" width="14.85546875" style="148" customWidth="1"/>
    <col min="8460" max="8460" width="1.42578125" style="148" customWidth="1"/>
    <col min="8461" max="8470" width="0" style="148" hidden="1" customWidth="1"/>
    <col min="8471" max="8704" width="8.7109375" style="148"/>
    <col min="8705" max="8705" width="1.85546875" style="148" customWidth="1"/>
    <col min="8706" max="8706" width="6.28515625" style="148" customWidth="1"/>
    <col min="8707" max="8707" width="55.7109375" style="148" customWidth="1"/>
    <col min="8708" max="8708" width="10.42578125" style="148" customWidth="1"/>
    <col min="8709" max="8709" width="5.5703125" style="148" customWidth="1"/>
    <col min="8710" max="8710" width="11.7109375" style="148" customWidth="1"/>
    <col min="8711" max="8711" width="11.5703125" style="148" customWidth="1"/>
    <col min="8712" max="8712" width="21.85546875" style="148" customWidth="1"/>
    <col min="8713" max="8713" width="14.5703125" style="148" customWidth="1"/>
    <col min="8714" max="8714" width="10.140625" style="148" customWidth="1"/>
    <col min="8715" max="8715" width="14.85546875" style="148" customWidth="1"/>
    <col min="8716" max="8716" width="1.42578125" style="148" customWidth="1"/>
    <col min="8717" max="8726" width="0" style="148" hidden="1" customWidth="1"/>
    <col min="8727" max="8960" width="8.7109375" style="148"/>
    <col min="8961" max="8961" width="1.85546875" style="148" customWidth="1"/>
    <col min="8962" max="8962" width="6.28515625" style="148" customWidth="1"/>
    <col min="8963" max="8963" width="55.7109375" style="148" customWidth="1"/>
    <col min="8964" max="8964" width="10.42578125" style="148" customWidth="1"/>
    <col min="8965" max="8965" width="5.5703125" style="148" customWidth="1"/>
    <col min="8966" max="8966" width="11.7109375" style="148" customWidth="1"/>
    <col min="8967" max="8967" width="11.5703125" style="148" customWidth="1"/>
    <col min="8968" max="8968" width="21.85546875" style="148" customWidth="1"/>
    <col min="8969" max="8969" width="14.5703125" style="148" customWidth="1"/>
    <col min="8970" max="8970" width="10.140625" style="148" customWidth="1"/>
    <col min="8971" max="8971" width="14.85546875" style="148" customWidth="1"/>
    <col min="8972" max="8972" width="1.42578125" style="148" customWidth="1"/>
    <col min="8973" max="8982" width="0" style="148" hidden="1" customWidth="1"/>
    <col min="8983" max="9216" width="8.7109375" style="148"/>
    <col min="9217" max="9217" width="1.85546875" style="148" customWidth="1"/>
    <col min="9218" max="9218" width="6.28515625" style="148" customWidth="1"/>
    <col min="9219" max="9219" width="55.7109375" style="148" customWidth="1"/>
    <col min="9220" max="9220" width="10.42578125" style="148" customWidth="1"/>
    <col min="9221" max="9221" width="5.5703125" style="148" customWidth="1"/>
    <col min="9222" max="9222" width="11.7109375" style="148" customWidth="1"/>
    <col min="9223" max="9223" width="11.5703125" style="148" customWidth="1"/>
    <col min="9224" max="9224" width="21.85546875" style="148" customWidth="1"/>
    <col min="9225" max="9225" width="14.5703125" style="148" customWidth="1"/>
    <col min="9226" max="9226" width="10.140625" style="148" customWidth="1"/>
    <col min="9227" max="9227" width="14.85546875" style="148" customWidth="1"/>
    <col min="9228" max="9228" width="1.42578125" style="148" customWidth="1"/>
    <col min="9229" max="9238" width="0" style="148" hidden="1" customWidth="1"/>
    <col min="9239" max="9472" width="8.7109375" style="148"/>
    <col min="9473" max="9473" width="1.85546875" style="148" customWidth="1"/>
    <col min="9474" max="9474" width="6.28515625" style="148" customWidth="1"/>
    <col min="9475" max="9475" width="55.7109375" style="148" customWidth="1"/>
    <col min="9476" max="9476" width="10.42578125" style="148" customWidth="1"/>
    <col min="9477" max="9477" width="5.5703125" style="148" customWidth="1"/>
    <col min="9478" max="9478" width="11.7109375" style="148" customWidth="1"/>
    <col min="9479" max="9479" width="11.5703125" style="148" customWidth="1"/>
    <col min="9480" max="9480" width="21.85546875" style="148" customWidth="1"/>
    <col min="9481" max="9481" width="14.5703125" style="148" customWidth="1"/>
    <col min="9482" max="9482" width="10.140625" style="148" customWidth="1"/>
    <col min="9483" max="9483" width="14.85546875" style="148" customWidth="1"/>
    <col min="9484" max="9484" width="1.42578125" style="148" customWidth="1"/>
    <col min="9485" max="9494" width="0" style="148" hidden="1" customWidth="1"/>
    <col min="9495" max="9728" width="8.7109375" style="148"/>
    <col min="9729" max="9729" width="1.85546875" style="148" customWidth="1"/>
    <col min="9730" max="9730" width="6.28515625" style="148" customWidth="1"/>
    <col min="9731" max="9731" width="55.7109375" style="148" customWidth="1"/>
    <col min="9732" max="9732" width="10.42578125" style="148" customWidth="1"/>
    <col min="9733" max="9733" width="5.5703125" style="148" customWidth="1"/>
    <col min="9734" max="9734" width="11.7109375" style="148" customWidth="1"/>
    <col min="9735" max="9735" width="11.5703125" style="148" customWidth="1"/>
    <col min="9736" max="9736" width="21.85546875" style="148" customWidth="1"/>
    <col min="9737" max="9737" width="14.5703125" style="148" customWidth="1"/>
    <col min="9738" max="9738" width="10.140625" style="148" customWidth="1"/>
    <col min="9739" max="9739" width="14.85546875" style="148" customWidth="1"/>
    <col min="9740" max="9740" width="1.42578125" style="148" customWidth="1"/>
    <col min="9741" max="9750" width="0" style="148" hidden="1" customWidth="1"/>
    <col min="9751" max="9984" width="8.7109375" style="148"/>
    <col min="9985" max="9985" width="1.85546875" style="148" customWidth="1"/>
    <col min="9986" max="9986" width="6.28515625" style="148" customWidth="1"/>
    <col min="9987" max="9987" width="55.7109375" style="148" customWidth="1"/>
    <col min="9988" max="9988" width="10.42578125" style="148" customWidth="1"/>
    <col min="9989" max="9989" width="5.5703125" style="148" customWidth="1"/>
    <col min="9990" max="9990" width="11.7109375" style="148" customWidth="1"/>
    <col min="9991" max="9991" width="11.5703125" style="148" customWidth="1"/>
    <col min="9992" max="9992" width="21.85546875" style="148" customWidth="1"/>
    <col min="9993" max="9993" width="14.5703125" style="148" customWidth="1"/>
    <col min="9994" max="9994" width="10.140625" style="148" customWidth="1"/>
    <col min="9995" max="9995" width="14.85546875" style="148" customWidth="1"/>
    <col min="9996" max="9996" width="1.42578125" style="148" customWidth="1"/>
    <col min="9997" max="10006" width="0" style="148" hidden="1" customWidth="1"/>
    <col min="10007" max="10240" width="8.7109375" style="148"/>
    <col min="10241" max="10241" width="1.85546875" style="148" customWidth="1"/>
    <col min="10242" max="10242" width="6.28515625" style="148" customWidth="1"/>
    <col min="10243" max="10243" width="55.7109375" style="148" customWidth="1"/>
    <col min="10244" max="10244" width="10.42578125" style="148" customWidth="1"/>
    <col min="10245" max="10245" width="5.5703125" style="148" customWidth="1"/>
    <col min="10246" max="10246" width="11.7109375" style="148" customWidth="1"/>
    <col min="10247" max="10247" width="11.5703125" style="148" customWidth="1"/>
    <col min="10248" max="10248" width="21.85546875" style="148" customWidth="1"/>
    <col min="10249" max="10249" width="14.5703125" style="148" customWidth="1"/>
    <col min="10250" max="10250" width="10.140625" style="148" customWidth="1"/>
    <col min="10251" max="10251" width="14.85546875" style="148" customWidth="1"/>
    <col min="10252" max="10252" width="1.42578125" style="148" customWidth="1"/>
    <col min="10253" max="10262" width="0" style="148" hidden="1" customWidth="1"/>
    <col min="10263" max="10496" width="8.7109375" style="148"/>
    <col min="10497" max="10497" width="1.85546875" style="148" customWidth="1"/>
    <col min="10498" max="10498" width="6.28515625" style="148" customWidth="1"/>
    <col min="10499" max="10499" width="55.7109375" style="148" customWidth="1"/>
    <col min="10500" max="10500" width="10.42578125" style="148" customWidth="1"/>
    <col min="10501" max="10501" width="5.5703125" style="148" customWidth="1"/>
    <col min="10502" max="10502" width="11.7109375" style="148" customWidth="1"/>
    <col min="10503" max="10503" width="11.5703125" style="148" customWidth="1"/>
    <col min="10504" max="10504" width="21.85546875" style="148" customWidth="1"/>
    <col min="10505" max="10505" width="14.5703125" style="148" customWidth="1"/>
    <col min="10506" max="10506" width="10.140625" style="148" customWidth="1"/>
    <col min="10507" max="10507" width="14.85546875" style="148" customWidth="1"/>
    <col min="10508" max="10508" width="1.42578125" style="148" customWidth="1"/>
    <col min="10509" max="10518" width="0" style="148" hidden="1" customWidth="1"/>
    <col min="10519" max="10752" width="8.7109375" style="148"/>
    <col min="10753" max="10753" width="1.85546875" style="148" customWidth="1"/>
    <col min="10754" max="10754" width="6.28515625" style="148" customWidth="1"/>
    <col min="10755" max="10755" width="55.7109375" style="148" customWidth="1"/>
    <col min="10756" max="10756" width="10.42578125" style="148" customWidth="1"/>
    <col min="10757" max="10757" width="5.5703125" style="148" customWidth="1"/>
    <col min="10758" max="10758" width="11.7109375" style="148" customWidth="1"/>
    <col min="10759" max="10759" width="11.5703125" style="148" customWidth="1"/>
    <col min="10760" max="10760" width="21.85546875" style="148" customWidth="1"/>
    <col min="10761" max="10761" width="14.5703125" style="148" customWidth="1"/>
    <col min="10762" max="10762" width="10.140625" style="148" customWidth="1"/>
    <col min="10763" max="10763" width="14.85546875" style="148" customWidth="1"/>
    <col min="10764" max="10764" width="1.42578125" style="148" customWidth="1"/>
    <col min="10765" max="10774" width="0" style="148" hidden="1" customWidth="1"/>
    <col min="10775" max="11008" width="8.7109375" style="148"/>
    <col min="11009" max="11009" width="1.85546875" style="148" customWidth="1"/>
    <col min="11010" max="11010" width="6.28515625" style="148" customWidth="1"/>
    <col min="11011" max="11011" width="55.7109375" style="148" customWidth="1"/>
    <col min="11012" max="11012" width="10.42578125" style="148" customWidth="1"/>
    <col min="11013" max="11013" width="5.5703125" style="148" customWidth="1"/>
    <col min="11014" max="11014" width="11.7109375" style="148" customWidth="1"/>
    <col min="11015" max="11015" width="11.5703125" style="148" customWidth="1"/>
    <col min="11016" max="11016" width="21.85546875" style="148" customWidth="1"/>
    <col min="11017" max="11017" width="14.5703125" style="148" customWidth="1"/>
    <col min="11018" max="11018" width="10.140625" style="148" customWidth="1"/>
    <col min="11019" max="11019" width="14.85546875" style="148" customWidth="1"/>
    <col min="11020" max="11020" width="1.42578125" style="148" customWidth="1"/>
    <col min="11021" max="11030" width="0" style="148" hidden="1" customWidth="1"/>
    <col min="11031" max="11264" width="8.7109375" style="148"/>
    <col min="11265" max="11265" width="1.85546875" style="148" customWidth="1"/>
    <col min="11266" max="11266" width="6.28515625" style="148" customWidth="1"/>
    <col min="11267" max="11267" width="55.7109375" style="148" customWidth="1"/>
    <col min="11268" max="11268" width="10.42578125" style="148" customWidth="1"/>
    <col min="11269" max="11269" width="5.5703125" style="148" customWidth="1"/>
    <col min="11270" max="11270" width="11.7109375" style="148" customWidth="1"/>
    <col min="11271" max="11271" width="11.5703125" style="148" customWidth="1"/>
    <col min="11272" max="11272" width="21.85546875" style="148" customWidth="1"/>
    <col min="11273" max="11273" width="14.5703125" style="148" customWidth="1"/>
    <col min="11274" max="11274" width="10.140625" style="148" customWidth="1"/>
    <col min="11275" max="11275" width="14.85546875" style="148" customWidth="1"/>
    <col min="11276" max="11276" width="1.42578125" style="148" customWidth="1"/>
    <col min="11277" max="11286" width="0" style="148" hidden="1" customWidth="1"/>
    <col min="11287" max="11520" width="8.7109375" style="148"/>
    <col min="11521" max="11521" width="1.85546875" style="148" customWidth="1"/>
    <col min="11522" max="11522" width="6.28515625" style="148" customWidth="1"/>
    <col min="11523" max="11523" width="55.7109375" style="148" customWidth="1"/>
    <col min="11524" max="11524" width="10.42578125" style="148" customWidth="1"/>
    <col min="11525" max="11525" width="5.5703125" style="148" customWidth="1"/>
    <col min="11526" max="11526" width="11.7109375" style="148" customWidth="1"/>
    <col min="11527" max="11527" width="11.5703125" style="148" customWidth="1"/>
    <col min="11528" max="11528" width="21.85546875" style="148" customWidth="1"/>
    <col min="11529" max="11529" width="14.5703125" style="148" customWidth="1"/>
    <col min="11530" max="11530" width="10.140625" style="148" customWidth="1"/>
    <col min="11531" max="11531" width="14.85546875" style="148" customWidth="1"/>
    <col min="11532" max="11532" width="1.42578125" style="148" customWidth="1"/>
    <col min="11533" max="11542" width="0" style="148" hidden="1" customWidth="1"/>
    <col min="11543" max="11776" width="8.7109375" style="148"/>
    <col min="11777" max="11777" width="1.85546875" style="148" customWidth="1"/>
    <col min="11778" max="11778" width="6.28515625" style="148" customWidth="1"/>
    <col min="11779" max="11779" width="55.7109375" style="148" customWidth="1"/>
    <col min="11780" max="11780" width="10.42578125" style="148" customWidth="1"/>
    <col min="11781" max="11781" width="5.5703125" style="148" customWidth="1"/>
    <col min="11782" max="11782" width="11.7109375" style="148" customWidth="1"/>
    <col min="11783" max="11783" width="11.5703125" style="148" customWidth="1"/>
    <col min="11784" max="11784" width="21.85546875" style="148" customWidth="1"/>
    <col min="11785" max="11785" width="14.5703125" style="148" customWidth="1"/>
    <col min="11786" max="11786" width="10.140625" style="148" customWidth="1"/>
    <col min="11787" max="11787" width="14.85546875" style="148" customWidth="1"/>
    <col min="11788" max="11788" width="1.42578125" style="148" customWidth="1"/>
    <col min="11789" max="11798" width="0" style="148" hidden="1" customWidth="1"/>
    <col min="11799" max="12032" width="8.7109375" style="148"/>
    <col min="12033" max="12033" width="1.85546875" style="148" customWidth="1"/>
    <col min="12034" max="12034" width="6.28515625" style="148" customWidth="1"/>
    <col min="12035" max="12035" width="55.7109375" style="148" customWidth="1"/>
    <col min="12036" max="12036" width="10.42578125" style="148" customWidth="1"/>
    <col min="12037" max="12037" width="5.5703125" style="148" customWidth="1"/>
    <col min="12038" max="12038" width="11.7109375" style="148" customWidth="1"/>
    <col min="12039" max="12039" width="11.5703125" style="148" customWidth="1"/>
    <col min="12040" max="12040" width="21.85546875" style="148" customWidth="1"/>
    <col min="12041" max="12041" width="14.5703125" style="148" customWidth="1"/>
    <col min="12042" max="12042" width="10.140625" style="148" customWidth="1"/>
    <col min="12043" max="12043" width="14.85546875" style="148" customWidth="1"/>
    <col min="12044" max="12044" width="1.42578125" style="148" customWidth="1"/>
    <col min="12045" max="12054" width="0" style="148" hidden="1" customWidth="1"/>
    <col min="12055" max="12288" width="8.7109375" style="148"/>
    <col min="12289" max="12289" width="1.85546875" style="148" customWidth="1"/>
    <col min="12290" max="12290" width="6.28515625" style="148" customWidth="1"/>
    <col min="12291" max="12291" width="55.7109375" style="148" customWidth="1"/>
    <col min="12292" max="12292" width="10.42578125" style="148" customWidth="1"/>
    <col min="12293" max="12293" width="5.5703125" style="148" customWidth="1"/>
    <col min="12294" max="12294" width="11.7109375" style="148" customWidth="1"/>
    <col min="12295" max="12295" width="11.5703125" style="148" customWidth="1"/>
    <col min="12296" max="12296" width="21.85546875" style="148" customWidth="1"/>
    <col min="12297" max="12297" width="14.5703125" style="148" customWidth="1"/>
    <col min="12298" max="12298" width="10.140625" style="148" customWidth="1"/>
    <col min="12299" max="12299" width="14.85546875" style="148" customWidth="1"/>
    <col min="12300" max="12300" width="1.42578125" style="148" customWidth="1"/>
    <col min="12301" max="12310" width="0" style="148" hidden="1" customWidth="1"/>
    <col min="12311" max="12544" width="8.7109375" style="148"/>
    <col min="12545" max="12545" width="1.85546875" style="148" customWidth="1"/>
    <col min="12546" max="12546" width="6.28515625" style="148" customWidth="1"/>
    <col min="12547" max="12547" width="55.7109375" style="148" customWidth="1"/>
    <col min="12548" max="12548" width="10.42578125" style="148" customWidth="1"/>
    <col min="12549" max="12549" width="5.5703125" style="148" customWidth="1"/>
    <col min="12550" max="12550" width="11.7109375" style="148" customWidth="1"/>
    <col min="12551" max="12551" width="11.5703125" style="148" customWidth="1"/>
    <col min="12552" max="12552" width="21.85546875" style="148" customWidth="1"/>
    <col min="12553" max="12553" width="14.5703125" style="148" customWidth="1"/>
    <col min="12554" max="12554" width="10.140625" style="148" customWidth="1"/>
    <col min="12555" max="12555" width="14.85546875" style="148" customWidth="1"/>
    <col min="12556" max="12556" width="1.42578125" style="148" customWidth="1"/>
    <col min="12557" max="12566" width="0" style="148" hidden="1" customWidth="1"/>
    <col min="12567" max="12800" width="8.7109375" style="148"/>
    <col min="12801" max="12801" width="1.85546875" style="148" customWidth="1"/>
    <col min="12802" max="12802" width="6.28515625" style="148" customWidth="1"/>
    <col min="12803" max="12803" width="55.7109375" style="148" customWidth="1"/>
    <col min="12804" max="12804" width="10.42578125" style="148" customWidth="1"/>
    <col min="12805" max="12805" width="5.5703125" style="148" customWidth="1"/>
    <col min="12806" max="12806" width="11.7109375" style="148" customWidth="1"/>
    <col min="12807" max="12807" width="11.5703125" style="148" customWidth="1"/>
    <col min="12808" max="12808" width="21.85546875" style="148" customWidth="1"/>
    <col min="12809" max="12809" width="14.5703125" style="148" customWidth="1"/>
    <col min="12810" max="12810" width="10.140625" style="148" customWidth="1"/>
    <col min="12811" max="12811" width="14.85546875" style="148" customWidth="1"/>
    <col min="12812" max="12812" width="1.42578125" style="148" customWidth="1"/>
    <col min="12813" max="12822" width="0" style="148" hidden="1" customWidth="1"/>
    <col min="12823" max="13056" width="8.7109375" style="148"/>
    <col min="13057" max="13057" width="1.85546875" style="148" customWidth="1"/>
    <col min="13058" max="13058" width="6.28515625" style="148" customWidth="1"/>
    <col min="13059" max="13059" width="55.7109375" style="148" customWidth="1"/>
    <col min="13060" max="13060" width="10.42578125" style="148" customWidth="1"/>
    <col min="13061" max="13061" width="5.5703125" style="148" customWidth="1"/>
    <col min="13062" max="13062" width="11.7109375" style="148" customWidth="1"/>
    <col min="13063" max="13063" width="11.5703125" style="148" customWidth="1"/>
    <col min="13064" max="13064" width="21.85546875" style="148" customWidth="1"/>
    <col min="13065" max="13065" width="14.5703125" style="148" customWidth="1"/>
    <col min="13066" max="13066" width="10.140625" style="148" customWidth="1"/>
    <col min="13067" max="13067" width="14.85546875" style="148" customWidth="1"/>
    <col min="13068" max="13068" width="1.42578125" style="148" customWidth="1"/>
    <col min="13069" max="13078" width="0" style="148" hidden="1" customWidth="1"/>
    <col min="13079" max="13312" width="8.7109375" style="148"/>
    <col min="13313" max="13313" width="1.85546875" style="148" customWidth="1"/>
    <col min="13314" max="13314" width="6.28515625" style="148" customWidth="1"/>
    <col min="13315" max="13315" width="55.7109375" style="148" customWidth="1"/>
    <col min="13316" max="13316" width="10.42578125" style="148" customWidth="1"/>
    <col min="13317" max="13317" width="5.5703125" style="148" customWidth="1"/>
    <col min="13318" max="13318" width="11.7109375" style="148" customWidth="1"/>
    <col min="13319" max="13319" width="11.5703125" style="148" customWidth="1"/>
    <col min="13320" max="13320" width="21.85546875" style="148" customWidth="1"/>
    <col min="13321" max="13321" width="14.5703125" style="148" customWidth="1"/>
    <col min="13322" max="13322" width="10.140625" style="148" customWidth="1"/>
    <col min="13323" max="13323" width="14.85546875" style="148" customWidth="1"/>
    <col min="13324" max="13324" width="1.42578125" style="148" customWidth="1"/>
    <col min="13325" max="13334" width="0" style="148" hidden="1" customWidth="1"/>
    <col min="13335" max="13568" width="8.7109375" style="148"/>
    <col min="13569" max="13569" width="1.85546875" style="148" customWidth="1"/>
    <col min="13570" max="13570" width="6.28515625" style="148" customWidth="1"/>
    <col min="13571" max="13571" width="55.7109375" style="148" customWidth="1"/>
    <col min="13572" max="13572" width="10.42578125" style="148" customWidth="1"/>
    <col min="13573" max="13573" width="5.5703125" style="148" customWidth="1"/>
    <col min="13574" max="13574" width="11.7109375" style="148" customWidth="1"/>
    <col min="13575" max="13575" width="11.5703125" style="148" customWidth="1"/>
    <col min="13576" max="13576" width="21.85546875" style="148" customWidth="1"/>
    <col min="13577" max="13577" width="14.5703125" style="148" customWidth="1"/>
    <col min="13578" max="13578" width="10.140625" style="148" customWidth="1"/>
    <col min="13579" max="13579" width="14.85546875" style="148" customWidth="1"/>
    <col min="13580" max="13580" width="1.42578125" style="148" customWidth="1"/>
    <col min="13581" max="13590" width="0" style="148" hidden="1" customWidth="1"/>
    <col min="13591" max="13824" width="8.7109375" style="148"/>
    <col min="13825" max="13825" width="1.85546875" style="148" customWidth="1"/>
    <col min="13826" max="13826" width="6.28515625" style="148" customWidth="1"/>
    <col min="13827" max="13827" width="55.7109375" style="148" customWidth="1"/>
    <col min="13828" max="13828" width="10.42578125" style="148" customWidth="1"/>
    <col min="13829" max="13829" width="5.5703125" style="148" customWidth="1"/>
    <col min="13830" max="13830" width="11.7109375" style="148" customWidth="1"/>
    <col min="13831" max="13831" width="11.5703125" style="148" customWidth="1"/>
    <col min="13832" max="13832" width="21.85546875" style="148" customWidth="1"/>
    <col min="13833" max="13833" width="14.5703125" style="148" customWidth="1"/>
    <col min="13834" max="13834" width="10.140625" style="148" customWidth="1"/>
    <col min="13835" max="13835" width="14.85546875" style="148" customWidth="1"/>
    <col min="13836" max="13836" width="1.42578125" style="148" customWidth="1"/>
    <col min="13837" max="13846" width="0" style="148" hidden="1" customWidth="1"/>
    <col min="13847" max="14080" width="8.7109375" style="148"/>
    <col min="14081" max="14081" width="1.85546875" style="148" customWidth="1"/>
    <col min="14082" max="14082" width="6.28515625" style="148" customWidth="1"/>
    <col min="14083" max="14083" width="55.7109375" style="148" customWidth="1"/>
    <col min="14084" max="14084" width="10.42578125" style="148" customWidth="1"/>
    <col min="14085" max="14085" width="5.5703125" style="148" customWidth="1"/>
    <col min="14086" max="14086" width="11.7109375" style="148" customWidth="1"/>
    <col min="14087" max="14087" width="11.5703125" style="148" customWidth="1"/>
    <col min="14088" max="14088" width="21.85546875" style="148" customWidth="1"/>
    <col min="14089" max="14089" width="14.5703125" style="148" customWidth="1"/>
    <col min="14090" max="14090" width="10.140625" style="148" customWidth="1"/>
    <col min="14091" max="14091" width="14.85546875" style="148" customWidth="1"/>
    <col min="14092" max="14092" width="1.42578125" style="148" customWidth="1"/>
    <col min="14093" max="14102" width="0" style="148" hidden="1" customWidth="1"/>
    <col min="14103" max="14336" width="8.7109375" style="148"/>
    <col min="14337" max="14337" width="1.85546875" style="148" customWidth="1"/>
    <col min="14338" max="14338" width="6.28515625" style="148" customWidth="1"/>
    <col min="14339" max="14339" width="55.7109375" style="148" customWidth="1"/>
    <col min="14340" max="14340" width="10.42578125" style="148" customWidth="1"/>
    <col min="14341" max="14341" width="5.5703125" style="148" customWidth="1"/>
    <col min="14342" max="14342" width="11.7109375" style="148" customWidth="1"/>
    <col min="14343" max="14343" width="11.5703125" style="148" customWidth="1"/>
    <col min="14344" max="14344" width="21.85546875" style="148" customWidth="1"/>
    <col min="14345" max="14345" width="14.5703125" style="148" customWidth="1"/>
    <col min="14346" max="14346" width="10.140625" style="148" customWidth="1"/>
    <col min="14347" max="14347" width="14.85546875" style="148" customWidth="1"/>
    <col min="14348" max="14348" width="1.42578125" style="148" customWidth="1"/>
    <col min="14349" max="14358" width="0" style="148" hidden="1" customWidth="1"/>
    <col min="14359" max="14592" width="8.7109375" style="148"/>
    <col min="14593" max="14593" width="1.85546875" style="148" customWidth="1"/>
    <col min="14594" max="14594" width="6.28515625" style="148" customWidth="1"/>
    <col min="14595" max="14595" width="55.7109375" style="148" customWidth="1"/>
    <col min="14596" max="14596" width="10.42578125" style="148" customWidth="1"/>
    <col min="14597" max="14597" width="5.5703125" style="148" customWidth="1"/>
    <col min="14598" max="14598" width="11.7109375" style="148" customWidth="1"/>
    <col min="14599" max="14599" width="11.5703125" style="148" customWidth="1"/>
    <col min="14600" max="14600" width="21.85546875" style="148" customWidth="1"/>
    <col min="14601" max="14601" width="14.5703125" style="148" customWidth="1"/>
    <col min="14602" max="14602" width="10.140625" style="148" customWidth="1"/>
    <col min="14603" max="14603" width="14.85546875" style="148" customWidth="1"/>
    <col min="14604" max="14604" width="1.42578125" style="148" customWidth="1"/>
    <col min="14605" max="14614" width="0" style="148" hidden="1" customWidth="1"/>
    <col min="14615" max="14848" width="8.7109375" style="148"/>
    <col min="14849" max="14849" width="1.85546875" style="148" customWidth="1"/>
    <col min="14850" max="14850" width="6.28515625" style="148" customWidth="1"/>
    <col min="14851" max="14851" width="55.7109375" style="148" customWidth="1"/>
    <col min="14852" max="14852" width="10.42578125" style="148" customWidth="1"/>
    <col min="14853" max="14853" width="5.5703125" style="148" customWidth="1"/>
    <col min="14854" max="14854" width="11.7109375" style="148" customWidth="1"/>
    <col min="14855" max="14855" width="11.5703125" style="148" customWidth="1"/>
    <col min="14856" max="14856" width="21.85546875" style="148" customWidth="1"/>
    <col min="14857" max="14857" width="14.5703125" style="148" customWidth="1"/>
    <col min="14858" max="14858" width="10.140625" style="148" customWidth="1"/>
    <col min="14859" max="14859" width="14.85546875" style="148" customWidth="1"/>
    <col min="14860" max="14860" width="1.42578125" style="148" customWidth="1"/>
    <col min="14861" max="14870" width="0" style="148" hidden="1" customWidth="1"/>
    <col min="14871" max="15104" width="8.7109375" style="148"/>
    <col min="15105" max="15105" width="1.85546875" style="148" customWidth="1"/>
    <col min="15106" max="15106" width="6.28515625" style="148" customWidth="1"/>
    <col min="15107" max="15107" width="55.7109375" style="148" customWidth="1"/>
    <col min="15108" max="15108" width="10.42578125" style="148" customWidth="1"/>
    <col min="15109" max="15109" width="5.5703125" style="148" customWidth="1"/>
    <col min="15110" max="15110" width="11.7109375" style="148" customWidth="1"/>
    <col min="15111" max="15111" width="11.5703125" style="148" customWidth="1"/>
    <col min="15112" max="15112" width="21.85546875" style="148" customWidth="1"/>
    <col min="15113" max="15113" width="14.5703125" style="148" customWidth="1"/>
    <col min="15114" max="15114" width="10.140625" style="148" customWidth="1"/>
    <col min="15115" max="15115" width="14.85546875" style="148" customWidth="1"/>
    <col min="15116" max="15116" width="1.42578125" style="148" customWidth="1"/>
    <col min="15117" max="15126" width="0" style="148" hidden="1" customWidth="1"/>
    <col min="15127" max="15360" width="8.7109375" style="148"/>
    <col min="15361" max="15361" width="1.85546875" style="148" customWidth="1"/>
    <col min="15362" max="15362" width="6.28515625" style="148" customWidth="1"/>
    <col min="15363" max="15363" width="55.7109375" style="148" customWidth="1"/>
    <col min="15364" max="15364" width="10.42578125" style="148" customWidth="1"/>
    <col min="15365" max="15365" width="5.5703125" style="148" customWidth="1"/>
    <col min="15366" max="15366" width="11.7109375" style="148" customWidth="1"/>
    <col min="15367" max="15367" width="11.5703125" style="148" customWidth="1"/>
    <col min="15368" max="15368" width="21.85546875" style="148" customWidth="1"/>
    <col min="15369" max="15369" width="14.5703125" style="148" customWidth="1"/>
    <col min="15370" max="15370" width="10.140625" style="148" customWidth="1"/>
    <col min="15371" max="15371" width="14.85546875" style="148" customWidth="1"/>
    <col min="15372" max="15372" width="1.42578125" style="148" customWidth="1"/>
    <col min="15373" max="15382" width="0" style="148" hidden="1" customWidth="1"/>
    <col min="15383" max="15616" width="8.7109375" style="148"/>
    <col min="15617" max="15617" width="1.85546875" style="148" customWidth="1"/>
    <col min="15618" max="15618" width="6.28515625" style="148" customWidth="1"/>
    <col min="15619" max="15619" width="55.7109375" style="148" customWidth="1"/>
    <col min="15620" max="15620" width="10.42578125" style="148" customWidth="1"/>
    <col min="15621" max="15621" width="5.5703125" style="148" customWidth="1"/>
    <col min="15622" max="15622" width="11.7109375" style="148" customWidth="1"/>
    <col min="15623" max="15623" width="11.5703125" style="148" customWidth="1"/>
    <col min="15624" max="15624" width="21.85546875" style="148" customWidth="1"/>
    <col min="15625" max="15625" width="14.5703125" style="148" customWidth="1"/>
    <col min="15626" max="15626" width="10.140625" style="148" customWidth="1"/>
    <col min="15627" max="15627" width="14.85546875" style="148" customWidth="1"/>
    <col min="15628" max="15628" width="1.42578125" style="148" customWidth="1"/>
    <col min="15629" max="15638" width="0" style="148" hidden="1" customWidth="1"/>
    <col min="15639" max="15872" width="8.7109375" style="148"/>
    <col min="15873" max="15873" width="1.85546875" style="148" customWidth="1"/>
    <col min="15874" max="15874" width="6.28515625" style="148" customWidth="1"/>
    <col min="15875" max="15875" width="55.7109375" style="148" customWidth="1"/>
    <col min="15876" max="15876" width="10.42578125" style="148" customWidth="1"/>
    <col min="15877" max="15877" width="5.5703125" style="148" customWidth="1"/>
    <col min="15878" max="15878" width="11.7109375" style="148" customWidth="1"/>
    <col min="15879" max="15879" width="11.5703125" style="148" customWidth="1"/>
    <col min="15880" max="15880" width="21.85546875" style="148" customWidth="1"/>
    <col min="15881" max="15881" width="14.5703125" style="148" customWidth="1"/>
    <col min="15882" max="15882" width="10.140625" style="148" customWidth="1"/>
    <col min="15883" max="15883" width="14.85546875" style="148" customWidth="1"/>
    <col min="15884" max="15884" width="1.42578125" style="148" customWidth="1"/>
    <col min="15885" max="15894" width="0" style="148" hidden="1" customWidth="1"/>
    <col min="15895" max="16128" width="8.7109375" style="148"/>
    <col min="16129" max="16129" width="1.85546875" style="148" customWidth="1"/>
    <col min="16130" max="16130" width="6.28515625" style="148" customWidth="1"/>
    <col min="16131" max="16131" width="55.7109375" style="148" customWidth="1"/>
    <col min="16132" max="16132" width="10.42578125" style="148" customWidth="1"/>
    <col min="16133" max="16133" width="5.5703125" style="148" customWidth="1"/>
    <col min="16134" max="16134" width="11.7109375" style="148" customWidth="1"/>
    <col min="16135" max="16135" width="11.5703125" style="148" customWidth="1"/>
    <col min="16136" max="16136" width="21.85546875" style="148" customWidth="1"/>
    <col min="16137" max="16137" width="14.5703125" style="148" customWidth="1"/>
    <col min="16138" max="16138" width="10.140625" style="148" customWidth="1"/>
    <col min="16139" max="16139" width="14.85546875" style="148" customWidth="1"/>
    <col min="16140" max="16140" width="1.42578125" style="148" customWidth="1"/>
    <col min="16141" max="16150" width="0" style="148" hidden="1" customWidth="1"/>
    <col min="16151" max="16384" width="8.7109375" style="148"/>
  </cols>
  <sheetData>
    <row r="2" spans="1:14" ht="20.25" x14ac:dyDescent="0.3">
      <c r="A2" s="508" t="s">
        <v>304</v>
      </c>
      <c r="B2" s="25"/>
      <c r="C2" s="243" t="s">
        <v>305</v>
      </c>
      <c r="D2" s="25"/>
      <c r="E2" s="25"/>
      <c r="F2" s="25"/>
      <c r="G2" s="25"/>
      <c r="H2" s="25"/>
      <c r="I2" s="243" t="s">
        <v>431</v>
      </c>
      <c r="K2" s="25"/>
      <c r="L2" s="25"/>
    </row>
    <row r="3" spans="1:14" ht="29.25" customHeight="1" x14ac:dyDescent="0.25">
      <c r="B3" s="25"/>
      <c r="C3" s="25"/>
      <c r="D3" s="25"/>
      <c r="E3" s="25"/>
      <c r="F3" s="25"/>
      <c r="G3" s="25"/>
      <c r="H3" s="25" t="s">
        <v>307</v>
      </c>
      <c r="I3" s="510">
        <f>J108</f>
        <v>94.75</v>
      </c>
      <c r="J3" s="422" t="s">
        <v>308</v>
      </c>
      <c r="K3" s="510"/>
    </row>
    <row r="4" spans="1:14" ht="16.5" customHeight="1" x14ac:dyDescent="0.25">
      <c r="B4" s="25"/>
      <c r="C4" s="253" t="s">
        <v>309</v>
      </c>
      <c r="D4" s="25"/>
      <c r="E4" s="25"/>
      <c r="F4" s="25"/>
      <c r="G4" s="25"/>
      <c r="H4" s="25" t="s">
        <v>310</v>
      </c>
      <c r="I4" s="510"/>
      <c r="J4" s="511">
        <f>K108</f>
        <v>1487064.75</v>
      </c>
      <c r="K4" s="510" t="s">
        <v>311</v>
      </c>
      <c r="N4" s="148">
        <f>J108</f>
        <v>94.75</v>
      </c>
    </row>
    <row r="5" spans="1:14" ht="15.75" x14ac:dyDescent="0.25">
      <c r="B5" s="25"/>
      <c r="C5" s="253" t="s">
        <v>312</v>
      </c>
      <c r="D5" s="25"/>
      <c r="E5" s="25"/>
      <c r="F5" s="25"/>
      <c r="G5" s="25"/>
      <c r="H5" s="25"/>
      <c r="I5" s="512" t="s">
        <v>313</v>
      </c>
      <c r="J5" s="510"/>
      <c r="K5" s="510"/>
      <c r="N5" s="148">
        <f>K108</f>
        <v>1487064.75</v>
      </c>
    </row>
    <row r="6" spans="1:14" ht="11.25" customHeight="1" x14ac:dyDescent="0.25">
      <c r="B6" s="25"/>
      <c r="C6" s="253" t="s">
        <v>314</v>
      </c>
      <c r="D6" s="25"/>
      <c r="E6" s="25"/>
      <c r="F6" s="25"/>
      <c r="G6" s="25"/>
      <c r="H6" s="25"/>
      <c r="I6" s="510" t="s">
        <v>315</v>
      </c>
      <c r="J6" s="510"/>
      <c r="K6" s="510"/>
    </row>
    <row r="7" spans="1:14" ht="15.75" x14ac:dyDescent="0.25">
      <c r="B7" s="25"/>
      <c r="C7" s="253" t="s">
        <v>316</v>
      </c>
      <c r="D7" s="25"/>
      <c r="E7" s="25"/>
      <c r="F7" s="25"/>
      <c r="G7" s="25"/>
      <c r="H7" s="25"/>
      <c r="I7" s="510" t="s">
        <v>317</v>
      </c>
      <c r="J7" s="510"/>
      <c r="K7" s="510"/>
    </row>
    <row r="8" spans="1:14" ht="15.75" x14ac:dyDescent="0.25">
      <c r="B8" s="25"/>
      <c r="C8" s="253" t="s">
        <v>159</v>
      </c>
      <c r="D8" s="25"/>
      <c r="E8" s="25"/>
      <c r="F8" s="25"/>
      <c r="G8" s="25"/>
      <c r="I8" s="513" t="s">
        <v>318</v>
      </c>
      <c r="J8" s="513"/>
      <c r="K8" s="510"/>
    </row>
    <row r="9" spans="1:14" ht="15.75" x14ac:dyDescent="0.25">
      <c r="B9" s="25"/>
      <c r="C9" s="25"/>
      <c r="D9" s="25"/>
      <c r="E9" s="25"/>
      <c r="F9" s="25"/>
      <c r="G9" s="25"/>
      <c r="H9" s="25"/>
      <c r="I9" s="510" t="s">
        <v>319</v>
      </c>
      <c r="J9" s="510"/>
      <c r="K9" s="510"/>
    </row>
    <row r="10" spans="1:14" ht="15.75" x14ac:dyDescent="0.25">
      <c r="B10" s="25"/>
      <c r="C10" s="253" t="s">
        <v>320</v>
      </c>
      <c r="D10" s="25"/>
      <c r="E10" s="25"/>
      <c r="F10" s="25"/>
      <c r="G10" s="25"/>
      <c r="H10" s="25"/>
      <c r="I10" s="513" t="s">
        <v>321</v>
      </c>
      <c r="J10" s="510"/>
      <c r="K10" s="510"/>
    </row>
    <row r="11" spans="1:14" ht="15.75" x14ac:dyDescent="0.25">
      <c r="B11" s="25"/>
      <c r="C11" s="253" t="s">
        <v>322</v>
      </c>
      <c r="D11" s="25"/>
      <c r="E11" s="25"/>
      <c r="F11" s="25"/>
      <c r="G11" s="25"/>
      <c r="H11" s="514"/>
      <c r="I11" s="514"/>
      <c r="J11" s="514"/>
      <c r="K11" s="514"/>
      <c r="L11" s="25"/>
    </row>
    <row r="12" spans="1:14" ht="9.75" customHeight="1" x14ac:dyDescent="0.25">
      <c r="B12" s="25"/>
      <c r="C12" s="253" t="s">
        <v>323</v>
      </c>
      <c r="D12" s="25"/>
      <c r="E12" s="25"/>
      <c r="F12" s="25"/>
      <c r="G12" s="25"/>
      <c r="H12" s="515"/>
      <c r="I12" s="515"/>
      <c r="J12" s="515"/>
      <c r="K12" s="515"/>
      <c r="L12" s="25"/>
    </row>
    <row r="13" spans="1:14" ht="15.75" x14ac:dyDescent="0.25">
      <c r="B13" s="25"/>
      <c r="C13" s="253" t="s">
        <v>432</v>
      </c>
      <c r="D13" s="25"/>
      <c r="E13" s="25"/>
      <c r="F13" s="25"/>
      <c r="G13" s="25"/>
      <c r="H13" s="516"/>
      <c r="I13" s="516"/>
      <c r="J13" s="516"/>
      <c r="K13" s="516"/>
      <c r="L13" s="25"/>
    </row>
    <row r="14" spans="1:14" ht="15.75" x14ac:dyDescent="0.25">
      <c r="B14" s="25"/>
      <c r="C14" s="253" t="s">
        <v>165</v>
      </c>
      <c r="D14" s="25"/>
      <c r="E14" s="25"/>
      <c r="F14" s="25"/>
      <c r="G14" s="25"/>
      <c r="H14" s="516"/>
      <c r="I14" s="516"/>
      <c r="J14" s="516"/>
      <c r="K14" s="516"/>
      <c r="L14" s="25"/>
    </row>
    <row r="15" spans="1:14" ht="12.75" customHeight="1" x14ac:dyDescent="0.25">
      <c r="B15" s="25"/>
      <c r="C15" s="25"/>
      <c r="D15" s="25"/>
      <c r="E15" s="25"/>
      <c r="F15" s="25"/>
      <c r="G15" s="25"/>
      <c r="H15" s="516"/>
      <c r="I15" s="516"/>
      <c r="J15" s="516"/>
      <c r="K15" s="516"/>
      <c r="L15" s="25"/>
    </row>
    <row r="16" spans="1:14" s="205" customFormat="1" ht="15.75" hidden="1" x14ac:dyDescent="0.25">
      <c r="B16" s="517"/>
      <c r="C16" s="518" t="s">
        <v>325</v>
      </c>
      <c r="D16" s="517"/>
      <c r="E16" s="517"/>
      <c r="F16" s="517"/>
      <c r="G16" s="517"/>
      <c r="H16" s="516"/>
      <c r="I16" s="519"/>
      <c r="J16" s="519"/>
      <c r="K16" s="519"/>
      <c r="L16" s="517"/>
    </row>
    <row r="17" spans="2:12" s="205" customFormat="1" ht="24" hidden="1" customHeight="1" x14ac:dyDescent="0.25">
      <c r="B17" s="517"/>
      <c r="C17" s="518" t="s">
        <v>326</v>
      </c>
      <c r="D17" s="517"/>
      <c r="E17" s="517"/>
      <c r="F17" s="517"/>
      <c r="G17" s="517"/>
      <c r="H17" s="516"/>
      <c r="I17" s="519"/>
      <c r="J17" s="519"/>
      <c r="K17" s="519"/>
      <c r="L17" s="517"/>
    </row>
    <row r="18" spans="2:12" s="205" customFormat="1" ht="15.75" hidden="1" x14ac:dyDescent="0.25">
      <c r="B18" s="517"/>
      <c r="C18" s="518" t="s">
        <v>159</v>
      </c>
      <c r="D18" s="517"/>
      <c r="E18" s="517"/>
      <c r="F18" s="517"/>
      <c r="G18" s="517"/>
      <c r="H18" s="516"/>
      <c r="I18" s="519"/>
      <c r="J18" s="519"/>
      <c r="K18" s="519"/>
      <c r="L18" s="517"/>
    </row>
    <row r="19" spans="2:12" s="205" customFormat="1" ht="9.75" hidden="1" customHeight="1" x14ac:dyDescent="0.25">
      <c r="B19" s="517"/>
      <c r="C19" s="518"/>
      <c r="D19" s="517"/>
      <c r="E19" s="517"/>
      <c r="F19" s="517"/>
      <c r="G19" s="517"/>
      <c r="H19" s="516"/>
      <c r="I19" s="519"/>
      <c r="J19" s="519"/>
      <c r="K19" s="519"/>
      <c r="L19" s="517"/>
    </row>
    <row r="20" spans="2:12" ht="15.75" x14ac:dyDescent="0.25">
      <c r="B20" s="25"/>
      <c r="C20" s="253" t="s">
        <v>166</v>
      </c>
      <c r="D20" s="25"/>
      <c r="E20" s="25"/>
      <c r="F20" s="25"/>
      <c r="G20" s="25"/>
      <c r="H20" s="516"/>
      <c r="I20" s="516"/>
      <c r="J20" s="516"/>
      <c r="K20" s="516"/>
      <c r="L20" s="25"/>
    </row>
    <row r="21" spans="2:12" ht="9" customHeight="1" x14ac:dyDescent="0.25">
      <c r="B21" s="25"/>
      <c r="C21" s="253"/>
      <c r="D21" s="25"/>
      <c r="E21" s="25"/>
      <c r="F21" s="25"/>
      <c r="G21" s="25"/>
      <c r="H21" s="516"/>
      <c r="I21" s="516"/>
      <c r="J21" s="516"/>
      <c r="K21" s="516"/>
      <c r="L21" s="25"/>
    </row>
    <row r="22" spans="2:12" ht="15.75" x14ac:dyDescent="0.25">
      <c r="B22" s="25"/>
      <c r="C22" s="253" t="s">
        <v>327</v>
      </c>
      <c r="D22" s="25"/>
      <c r="E22" s="25"/>
      <c r="F22" s="25"/>
      <c r="G22" s="25"/>
      <c r="H22" s="516"/>
      <c r="I22" s="516"/>
      <c r="J22" s="516"/>
      <c r="K22" s="516"/>
      <c r="L22" s="25"/>
    </row>
    <row r="23" spans="2:12" ht="15.75" x14ac:dyDescent="0.25">
      <c r="B23" s="25"/>
      <c r="C23" s="253" t="s">
        <v>168</v>
      </c>
      <c r="D23" s="25"/>
      <c r="E23" s="25"/>
      <c r="F23" s="25"/>
      <c r="G23" s="25"/>
      <c r="H23" s="516"/>
      <c r="I23" s="516"/>
      <c r="J23" s="516"/>
      <c r="K23" s="516"/>
      <c r="L23" s="25"/>
    </row>
    <row r="24" spans="2:12" ht="8.25" customHeight="1" x14ac:dyDescent="0.25">
      <c r="B24" s="25"/>
      <c r="C24" s="253"/>
      <c r="D24" s="25"/>
      <c r="E24" s="25"/>
      <c r="F24" s="25"/>
      <c r="G24" s="25"/>
      <c r="H24" s="516"/>
      <c r="I24" s="516"/>
      <c r="J24" s="516"/>
      <c r="K24" s="516"/>
      <c r="L24" s="25"/>
    </row>
    <row r="25" spans="2:12" ht="15.75" x14ac:dyDescent="0.25">
      <c r="B25" s="25"/>
      <c r="C25" s="253" t="s">
        <v>169</v>
      </c>
      <c r="D25" s="25"/>
      <c r="E25" s="25"/>
      <c r="F25" s="25"/>
      <c r="G25" s="25"/>
      <c r="H25" s="516"/>
      <c r="I25" s="516"/>
      <c r="J25" s="516"/>
      <c r="K25" s="516"/>
      <c r="L25" s="25"/>
    </row>
    <row r="26" spans="2:12" ht="7.5" customHeight="1" x14ac:dyDescent="0.25">
      <c r="B26" s="25"/>
      <c r="C26" s="253"/>
      <c r="D26" s="25"/>
      <c r="E26" s="25"/>
      <c r="F26" s="25"/>
      <c r="G26" s="25"/>
      <c r="H26" s="516"/>
      <c r="I26" s="516"/>
      <c r="J26" s="516"/>
      <c r="K26" s="516"/>
      <c r="L26" s="25"/>
    </row>
    <row r="27" spans="2:12" ht="15.75" x14ac:dyDescent="0.25">
      <c r="B27" s="25"/>
      <c r="C27" s="253" t="s">
        <v>328</v>
      </c>
      <c r="D27" s="25"/>
      <c r="E27" s="25"/>
      <c r="F27" s="25"/>
      <c r="G27" s="25"/>
      <c r="H27" s="516"/>
      <c r="I27" s="516"/>
      <c r="J27" s="516"/>
      <c r="K27" s="516"/>
      <c r="L27" s="25"/>
    </row>
    <row r="28" spans="2:12" ht="15.6" customHeight="1" x14ac:dyDescent="0.3">
      <c r="B28" s="25"/>
      <c r="C28" s="253" t="s">
        <v>168</v>
      </c>
      <c r="D28" s="25"/>
      <c r="E28" s="25"/>
      <c r="G28" s="520"/>
      <c r="H28" s="520"/>
      <c r="I28" s="520"/>
      <c r="J28" s="25"/>
      <c r="K28" s="25"/>
      <c r="L28" s="25"/>
    </row>
    <row r="29" spans="2:12" ht="23.25" customHeight="1" x14ac:dyDescent="0.3">
      <c r="B29" s="25"/>
      <c r="C29" s="25"/>
      <c r="D29" s="25"/>
      <c r="E29" s="25"/>
      <c r="F29" s="521" t="s">
        <v>329</v>
      </c>
      <c r="G29" s="520"/>
      <c r="H29" s="520"/>
      <c r="I29" s="520"/>
      <c r="J29" s="25"/>
      <c r="K29" s="517"/>
      <c r="L29" s="25"/>
    </row>
    <row r="30" spans="2:12" ht="19.5" customHeight="1" x14ac:dyDescent="0.3">
      <c r="B30" s="25"/>
      <c r="C30" s="25"/>
      <c r="D30" s="25"/>
      <c r="E30" s="25"/>
      <c r="F30" s="521" t="s">
        <v>433</v>
      </c>
      <c r="G30" s="520"/>
      <c r="H30" s="520"/>
      <c r="I30" s="520"/>
      <c r="J30" s="25"/>
      <c r="K30" s="517"/>
      <c r="L30" s="25"/>
    </row>
    <row r="31" spans="2:12" ht="11.25" customHeight="1" x14ac:dyDescent="0.25">
      <c r="B31" s="25"/>
      <c r="C31" s="25"/>
      <c r="D31" s="25"/>
      <c r="E31" s="25"/>
      <c r="F31" s="25"/>
      <c r="G31" s="25"/>
      <c r="H31" s="25"/>
      <c r="I31" s="25"/>
      <c r="J31" s="25"/>
      <c r="K31" s="517"/>
      <c r="L31" s="25"/>
    </row>
    <row r="32" spans="2:12" s="522" customFormat="1" ht="18.75" x14ac:dyDescent="0.3">
      <c r="B32" s="523" t="s">
        <v>331</v>
      </c>
      <c r="K32" s="524">
        <f>D33</f>
        <v>3028</v>
      </c>
    </row>
    <row r="33" spans="2:12" ht="18.75" x14ac:dyDescent="0.3">
      <c r="B33" s="525" t="s">
        <v>332</v>
      </c>
      <c r="C33" s="25"/>
      <c r="D33" s="526">
        <v>3028</v>
      </c>
      <c r="E33" s="25" t="s">
        <v>333</v>
      </c>
      <c r="F33" s="25"/>
      <c r="G33" s="510"/>
      <c r="H33" s="25"/>
      <c r="I33" s="25"/>
      <c r="J33" s="25"/>
      <c r="K33" s="527">
        <f>K32*1.8</f>
        <v>5450.4000000000005</v>
      </c>
      <c r="L33" s="25"/>
    </row>
    <row r="34" spans="2:12" ht="12" customHeight="1" x14ac:dyDescent="0.25">
      <c r="B34" s="25"/>
      <c r="C34" s="25"/>
      <c r="D34" s="25"/>
      <c r="E34" s="25"/>
      <c r="F34" s="25"/>
      <c r="G34" s="25"/>
      <c r="H34" s="25"/>
      <c r="I34" s="25"/>
      <c r="J34" s="25"/>
      <c r="K34" s="527">
        <f>K33*1.58</f>
        <v>8611.6320000000014</v>
      </c>
      <c r="L34" s="25"/>
    </row>
    <row r="35" spans="2:12" ht="52.5" customHeight="1" x14ac:dyDescent="0.25">
      <c r="B35" s="1974" t="s">
        <v>334</v>
      </c>
      <c r="C35" s="1956" t="s">
        <v>335</v>
      </c>
      <c r="D35" s="1976" t="s">
        <v>336</v>
      </c>
      <c r="E35" s="1977" t="s">
        <v>178</v>
      </c>
      <c r="F35" s="1953" t="s">
        <v>337</v>
      </c>
      <c r="G35" s="1954"/>
      <c r="H35" s="1955"/>
      <c r="I35" s="1956" t="s">
        <v>338</v>
      </c>
      <c r="J35" s="1959" t="s">
        <v>339</v>
      </c>
      <c r="K35" s="1961" t="s">
        <v>340</v>
      </c>
      <c r="L35" s="25"/>
    </row>
    <row r="36" spans="2:12" ht="47.25" x14ac:dyDescent="0.25">
      <c r="B36" s="1975"/>
      <c r="C36" s="1956"/>
      <c r="D36" s="1976"/>
      <c r="E36" s="1977"/>
      <c r="F36" s="528" t="s">
        <v>341</v>
      </c>
      <c r="G36" s="528" t="s">
        <v>342</v>
      </c>
      <c r="H36" s="528" t="s">
        <v>343</v>
      </c>
      <c r="I36" s="1956"/>
      <c r="J36" s="1960"/>
      <c r="K36" s="1962"/>
      <c r="L36" s="25"/>
    </row>
    <row r="37" spans="2:12" ht="18.75" x14ac:dyDescent="0.3">
      <c r="B37" s="529">
        <v>1</v>
      </c>
      <c r="C37" s="529">
        <v>2</v>
      </c>
      <c r="D37" s="530">
        <v>3</v>
      </c>
      <c r="E37" s="529">
        <v>4</v>
      </c>
      <c r="F37" s="529">
        <v>5</v>
      </c>
      <c r="G37" s="529">
        <v>6</v>
      </c>
      <c r="H37" s="529">
        <v>7</v>
      </c>
      <c r="I37" s="529">
        <v>8</v>
      </c>
      <c r="J37" s="529">
        <v>9</v>
      </c>
      <c r="K37" s="529">
        <v>10</v>
      </c>
      <c r="L37" s="25"/>
    </row>
    <row r="38" spans="2:12" ht="19.5" x14ac:dyDescent="0.35">
      <c r="B38" s="529">
        <v>1</v>
      </c>
      <c r="C38" s="1963" t="s">
        <v>344</v>
      </c>
      <c r="D38" s="1964"/>
      <c r="E38" s="1964"/>
      <c r="F38" s="1978"/>
      <c r="G38" s="1978"/>
      <c r="H38" s="1978"/>
      <c r="I38" s="1964"/>
      <c r="J38" s="1964"/>
      <c r="K38" s="1965"/>
      <c r="L38" s="25"/>
    </row>
    <row r="39" spans="2:12" ht="44.25" customHeight="1" x14ac:dyDescent="0.3">
      <c r="B39" s="531" t="s">
        <v>345</v>
      </c>
      <c r="C39" s="532" t="s">
        <v>146</v>
      </c>
      <c r="D39" s="530">
        <v>1210.0999999999999</v>
      </c>
      <c r="E39" s="533"/>
      <c r="F39" s="533">
        <v>2</v>
      </c>
      <c r="G39" s="534">
        <v>1.58</v>
      </c>
      <c r="H39" s="535" t="s">
        <v>346</v>
      </c>
      <c r="I39" s="536">
        <f>ROUND(K$32*F39*G39*4.5,0)</f>
        <v>43058</v>
      </c>
      <c r="J39" s="529">
        <v>1</v>
      </c>
      <c r="K39" s="529">
        <f t="shared" ref="K39:K54" si="0">I39*J39</f>
        <v>43058</v>
      </c>
      <c r="L39" s="25"/>
    </row>
    <row r="40" spans="2:12" ht="22.5" customHeight="1" x14ac:dyDescent="0.3">
      <c r="B40" s="531" t="s">
        <v>347</v>
      </c>
      <c r="C40" s="532" t="s">
        <v>348</v>
      </c>
      <c r="D40" s="530">
        <v>1223.0999999999999</v>
      </c>
      <c r="E40" s="532"/>
      <c r="F40" s="532">
        <f>F$39</f>
        <v>2</v>
      </c>
      <c r="G40" s="532">
        <v>1.58</v>
      </c>
      <c r="H40" s="529">
        <v>3.6</v>
      </c>
      <c r="I40" s="537">
        <f t="shared" ref="I40:I52" si="1">ROUND(K$32*F40*G40*H40,0)</f>
        <v>34447</v>
      </c>
      <c r="J40" s="529">
        <v>1</v>
      </c>
      <c r="K40" s="529">
        <f>I40*J40</f>
        <v>34447</v>
      </c>
      <c r="L40" s="25"/>
    </row>
    <row r="41" spans="2:12" ht="22.5" customHeight="1" x14ac:dyDescent="0.3">
      <c r="B41" s="531" t="s">
        <v>349</v>
      </c>
      <c r="C41" s="532" t="s">
        <v>350</v>
      </c>
      <c r="D41" s="530">
        <v>1210.0999999999999</v>
      </c>
      <c r="E41" s="532"/>
      <c r="F41" s="532">
        <f t="shared" ref="F41:F54" si="2">F$39</f>
        <v>2</v>
      </c>
      <c r="G41" s="532">
        <v>1.58</v>
      </c>
      <c r="H41" s="529">
        <v>3.38</v>
      </c>
      <c r="I41" s="537">
        <f t="shared" si="1"/>
        <v>32341</v>
      </c>
      <c r="J41" s="529">
        <v>1</v>
      </c>
      <c r="K41" s="529">
        <f>I41*J41</f>
        <v>32341</v>
      </c>
      <c r="L41" s="25"/>
    </row>
    <row r="42" spans="2:12" ht="22.5" customHeight="1" x14ac:dyDescent="0.3">
      <c r="B42" s="531" t="s">
        <v>351</v>
      </c>
      <c r="C42" s="532" t="s">
        <v>352</v>
      </c>
      <c r="D42" s="530">
        <v>1231</v>
      </c>
      <c r="E42" s="532"/>
      <c r="F42" s="532">
        <f t="shared" si="2"/>
        <v>2</v>
      </c>
      <c r="G42" s="532">
        <v>1.58</v>
      </c>
      <c r="H42" s="529">
        <v>3.38</v>
      </c>
      <c r="I42" s="537">
        <f t="shared" si="1"/>
        <v>32341</v>
      </c>
      <c r="J42" s="529">
        <v>1</v>
      </c>
      <c r="K42" s="529">
        <f t="shared" si="0"/>
        <v>32341</v>
      </c>
      <c r="L42" s="25"/>
    </row>
    <row r="43" spans="2:12" ht="23.25" customHeight="1" x14ac:dyDescent="0.3">
      <c r="B43" s="531" t="s">
        <v>353</v>
      </c>
      <c r="C43" s="532" t="s">
        <v>217</v>
      </c>
      <c r="D43" s="530">
        <v>3433</v>
      </c>
      <c r="E43" s="532"/>
      <c r="F43" s="532">
        <f t="shared" si="2"/>
        <v>2</v>
      </c>
      <c r="G43" s="532">
        <v>1.58</v>
      </c>
      <c r="H43" s="538">
        <v>2</v>
      </c>
      <c r="I43" s="537">
        <f t="shared" si="1"/>
        <v>19137</v>
      </c>
      <c r="J43" s="529">
        <v>4</v>
      </c>
      <c r="K43" s="529">
        <f>I43*J43</f>
        <v>76548</v>
      </c>
      <c r="L43" s="25"/>
    </row>
    <row r="44" spans="2:12" ht="22.5" customHeight="1" x14ac:dyDescent="0.3">
      <c r="B44" s="531" t="s">
        <v>354</v>
      </c>
      <c r="C44" s="532" t="s">
        <v>218</v>
      </c>
      <c r="D44" s="530">
        <v>1231</v>
      </c>
      <c r="E44" s="532"/>
      <c r="F44" s="532">
        <f t="shared" si="2"/>
        <v>2</v>
      </c>
      <c r="G44" s="532">
        <v>1.58</v>
      </c>
      <c r="H44" s="529">
        <v>3.15</v>
      </c>
      <c r="I44" s="537">
        <f t="shared" si="1"/>
        <v>30141</v>
      </c>
      <c r="J44" s="529">
        <v>1</v>
      </c>
      <c r="K44" s="529">
        <f t="shared" si="0"/>
        <v>30141</v>
      </c>
      <c r="L44" s="25"/>
    </row>
    <row r="45" spans="2:12" ht="21.6" customHeight="1" x14ac:dyDescent="0.3">
      <c r="B45" s="531" t="s">
        <v>355</v>
      </c>
      <c r="C45" s="532" t="s">
        <v>356</v>
      </c>
      <c r="D45" s="530">
        <v>2441.1999999999998</v>
      </c>
      <c r="E45" s="529"/>
      <c r="F45" s="532">
        <f t="shared" si="2"/>
        <v>2</v>
      </c>
      <c r="G45" s="532">
        <v>1.58</v>
      </c>
      <c r="H45" s="529">
        <v>2.2000000000000002</v>
      </c>
      <c r="I45" s="537">
        <f t="shared" si="1"/>
        <v>21051</v>
      </c>
      <c r="J45" s="529">
        <v>1</v>
      </c>
      <c r="K45" s="529">
        <f t="shared" si="0"/>
        <v>21051</v>
      </c>
      <c r="L45" s="25"/>
    </row>
    <row r="46" spans="2:12" ht="23.25" customHeight="1" x14ac:dyDescent="0.3">
      <c r="B46" s="531" t="s">
        <v>357</v>
      </c>
      <c r="C46" s="532" t="s">
        <v>220</v>
      </c>
      <c r="D46" s="530">
        <v>1239</v>
      </c>
      <c r="E46" s="532"/>
      <c r="F46" s="532">
        <f t="shared" si="2"/>
        <v>2</v>
      </c>
      <c r="G46" s="532">
        <v>1.58</v>
      </c>
      <c r="H46" s="529">
        <v>2.8</v>
      </c>
      <c r="I46" s="537">
        <f t="shared" si="1"/>
        <v>26792</v>
      </c>
      <c r="J46" s="529">
        <v>1</v>
      </c>
      <c r="K46" s="529">
        <f>I46*J46</f>
        <v>26792</v>
      </c>
      <c r="L46" s="25"/>
    </row>
    <row r="47" spans="2:12" ht="23.25" customHeight="1" x14ac:dyDescent="0.3">
      <c r="B47" s="531" t="s">
        <v>358</v>
      </c>
      <c r="C47" s="532" t="s">
        <v>221</v>
      </c>
      <c r="D47" s="530">
        <v>2429</v>
      </c>
      <c r="E47" s="532"/>
      <c r="F47" s="532">
        <f t="shared" si="2"/>
        <v>2</v>
      </c>
      <c r="G47" s="532">
        <v>1.58</v>
      </c>
      <c r="H47" s="538">
        <v>2.2000000000000002</v>
      </c>
      <c r="I47" s="537">
        <f t="shared" si="1"/>
        <v>21051</v>
      </c>
      <c r="J47" s="529">
        <v>1</v>
      </c>
      <c r="K47" s="529">
        <f t="shared" si="0"/>
        <v>21051</v>
      </c>
      <c r="L47" s="25"/>
    </row>
    <row r="48" spans="2:12" ht="23.25" customHeight="1" x14ac:dyDescent="0.3">
      <c r="B48" s="531" t="s">
        <v>359</v>
      </c>
      <c r="C48" s="532" t="s">
        <v>222</v>
      </c>
      <c r="D48" s="530">
        <v>2419.1999999999998</v>
      </c>
      <c r="E48" s="532"/>
      <c r="F48" s="532">
        <f t="shared" si="2"/>
        <v>2</v>
      </c>
      <c r="G48" s="532">
        <v>1.58</v>
      </c>
      <c r="H48" s="538">
        <v>2.2000000000000002</v>
      </c>
      <c r="I48" s="537">
        <f>ROUND(K$32*F48*G48*H48,0)</f>
        <v>21051</v>
      </c>
      <c r="J48" s="529">
        <v>1</v>
      </c>
      <c r="K48" s="529">
        <f>I48*J48</f>
        <v>21051</v>
      </c>
      <c r="L48" s="25"/>
    </row>
    <row r="49" spans="2:18" ht="23.25" customHeight="1" x14ac:dyDescent="0.3">
      <c r="B49" s="531" t="s">
        <v>360</v>
      </c>
      <c r="C49" s="532" t="s">
        <v>223</v>
      </c>
      <c r="D49" s="530">
        <v>2149.1999999999998</v>
      </c>
      <c r="E49" s="532"/>
      <c r="F49" s="532">
        <f t="shared" si="2"/>
        <v>2</v>
      </c>
      <c r="G49" s="532">
        <v>1.58</v>
      </c>
      <c r="H49" s="538">
        <v>2.2000000000000002</v>
      </c>
      <c r="I49" s="537">
        <f t="shared" si="1"/>
        <v>21051</v>
      </c>
      <c r="J49" s="529">
        <v>1</v>
      </c>
      <c r="K49" s="529">
        <f t="shared" si="0"/>
        <v>21051</v>
      </c>
      <c r="L49" s="25"/>
    </row>
    <row r="50" spans="2:18" ht="23.25" customHeight="1" x14ac:dyDescent="0.3">
      <c r="B50" s="531" t="s">
        <v>361</v>
      </c>
      <c r="C50" s="532" t="s">
        <v>362</v>
      </c>
      <c r="D50" s="530">
        <v>3423</v>
      </c>
      <c r="E50" s="532"/>
      <c r="F50" s="532">
        <f t="shared" si="2"/>
        <v>2</v>
      </c>
      <c r="G50" s="532">
        <v>1.58</v>
      </c>
      <c r="H50" s="538">
        <v>2</v>
      </c>
      <c r="I50" s="537">
        <f t="shared" si="1"/>
        <v>19137</v>
      </c>
      <c r="J50" s="529">
        <v>1</v>
      </c>
      <c r="K50" s="529">
        <f t="shared" si="0"/>
        <v>19137</v>
      </c>
      <c r="L50" s="25"/>
    </row>
    <row r="51" spans="2:18" ht="23.25" customHeight="1" x14ac:dyDescent="0.3">
      <c r="B51" s="531" t="s">
        <v>363</v>
      </c>
      <c r="C51" s="532" t="s">
        <v>364</v>
      </c>
      <c r="D51" s="530">
        <v>4131</v>
      </c>
      <c r="E51" s="532"/>
      <c r="F51" s="532">
        <f t="shared" si="2"/>
        <v>2</v>
      </c>
      <c r="G51" s="532">
        <v>1.58</v>
      </c>
      <c r="H51" s="529">
        <v>1.26</v>
      </c>
      <c r="I51" s="537">
        <f t="shared" si="1"/>
        <v>12056</v>
      </c>
      <c r="J51" s="529">
        <v>1</v>
      </c>
      <c r="K51" s="529">
        <f t="shared" si="0"/>
        <v>12056</v>
      </c>
      <c r="L51" s="25"/>
    </row>
    <row r="52" spans="2:18" ht="23.25" customHeight="1" x14ac:dyDescent="0.3">
      <c r="B52" s="531" t="s">
        <v>365</v>
      </c>
      <c r="C52" s="532" t="s">
        <v>366</v>
      </c>
      <c r="D52" s="530">
        <v>4211</v>
      </c>
      <c r="E52" s="532"/>
      <c r="F52" s="532">
        <f t="shared" si="2"/>
        <v>2</v>
      </c>
      <c r="G52" s="532">
        <v>1.58</v>
      </c>
      <c r="H52" s="529">
        <v>1.7</v>
      </c>
      <c r="I52" s="537">
        <f t="shared" si="1"/>
        <v>16266</v>
      </c>
      <c r="J52" s="529">
        <v>1</v>
      </c>
      <c r="K52" s="529">
        <f t="shared" si="0"/>
        <v>16266</v>
      </c>
      <c r="L52" s="25"/>
    </row>
    <row r="53" spans="2:18" ht="23.25" customHeight="1" x14ac:dyDescent="0.3">
      <c r="B53" s="531" t="s">
        <v>367</v>
      </c>
      <c r="C53" s="532" t="s">
        <v>368</v>
      </c>
      <c r="D53" s="530">
        <v>4115</v>
      </c>
      <c r="E53" s="532"/>
      <c r="F53" s="532">
        <f t="shared" si="2"/>
        <v>2</v>
      </c>
      <c r="G53" s="532">
        <v>1.58</v>
      </c>
      <c r="H53" s="529">
        <v>1.6</v>
      </c>
      <c r="I53" s="537">
        <f>ROUND(K$32*F53*G53*H53,0)</f>
        <v>15310</v>
      </c>
      <c r="J53" s="529">
        <v>1</v>
      </c>
      <c r="K53" s="529">
        <f>I53*J53</f>
        <v>15310</v>
      </c>
      <c r="L53" s="25"/>
    </row>
    <row r="54" spans="2:18" ht="21.6" customHeight="1" x14ac:dyDescent="0.3">
      <c r="B54" s="531" t="s">
        <v>369</v>
      </c>
      <c r="C54" s="532" t="s">
        <v>228</v>
      </c>
      <c r="D54" s="530">
        <v>9132</v>
      </c>
      <c r="E54" s="529"/>
      <c r="F54" s="532">
        <f t="shared" si="2"/>
        <v>2</v>
      </c>
      <c r="G54" s="532">
        <v>1</v>
      </c>
      <c r="H54" s="529">
        <v>1.1000000000000001</v>
      </c>
      <c r="I54" s="537">
        <f>ROUND(K$32*F54*H54,0)</f>
        <v>6662</v>
      </c>
      <c r="J54" s="529">
        <v>1</v>
      </c>
      <c r="K54" s="529">
        <f t="shared" si="0"/>
        <v>6662</v>
      </c>
      <c r="L54" s="25"/>
    </row>
    <row r="55" spans="2:18" ht="21.75" customHeight="1" x14ac:dyDescent="0.3">
      <c r="B55" s="1966" t="s">
        <v>370</v>
      </c>
      <c r="C55" s="1967"/>
      <c r="D55" s="1967"/>
      <c r="E55" s="1967"/>
      <c r="F55" s="1967"/>
      <c r="G55" s="1967"/>
      <c r="H55" s="1967"/>
      <c r="I55" s="1967"/>
      <c r="J55" s="539">
        <f>SUM(J39:J54)</f>
        <v>19</v>
      </c>
      <c r="K55" s="540">
        <f>SUM(K39:K54)</f>
        <v>429303</v>
      </c>
      <c r="L55" s="25"/>
    </row>
    <row r="56" spans="2:18" ht="34.5" customHeight="1" x14ac:dyDescent="0.3">
      <c r="B56" s="529" t="s">
        <v>371</v>
      </c>
      <c r="C56" s="541" t="s">
        <v>372</v>
      </c>
      <c r="D56" s="530"/>
      <c r="E56" s="532"/>
      <c r="F56" s="532"/>
      <c r="G56" s="532"/>
      <c r="H56" s="529"/>
      <c r="I56" s="529"/>
      <c r="J56" s="529"/>
      <c r="K56" s="529"/>
      <c r="L56" s="25"/>
    </row>
    <row r="57" spans="2:18" ht="21.95" customHeight="1" x14ac:dyDescent="0.3">
      <c r="B57" s="531" t="s">
        <v>373</v>
      </c>
      <c r="C57" s="532" t="s">
        <v>234</v>
      </c>
      <c r="D57" s="530">
        <v>1222.2</v>
      </c>
      <c r="E57" s="532"/>
      <c r="F57" s="532">
        <f>F$39</f>
        <v>2</v>
      </c>
      <c r="G57" s="532">
        <v>1.58</v>
      </c>
      <c r="H57" s="529">
        <v>2.2999999999999998</v>
      </c>
      <c r="I57" s="537">
        <f t="shared" ref="I57:I62" si="3">ROUND(K$32*F57*G57*H57,0)</f>
        <v>22008</v>
      </c>
      <c r="J57" s="529">
        <v>1</v>
      </c>
      <c r="K57" s="529">
        <f t="shared" ref="K57:K62" si="4">I57*J57</f>
        <v>22008</v>
      </c>
      <c r="L57" s="25"/>
    </row>
    <row r="58" spans="2:18" ht="21.95" customHeight="1" x14ac:dyDescent="0.3">
      <c r="B58" s="531" t="s">
        <v>374</v>
      </c>
      <c r="C58" s="532" t="s">
        <v>235</v>
      </c>
      <c r="D58" s="530">
        <v>3113</v>
      </c>
      <c r="E58" s="532"/>
      <c r="F58" s="532">
        <f>F$39</f>
        <v>2</v>
      </c>
      <c r="G58" s="532">
        <v>1.58</v>
      </c>
      <c r="H58" s="538">
        <v>2</v>
      </c>
      <c r="I58" s="537">
        <f t="shared" si="3"/>
        <v>19137</v>
      </c>
      <c r="J58" s="529">
        <v>1</v>
      </c>
      <c r="K58" s="529">
        <f t="shared" si="4"/>
        <v>19137</v>
      </c>
      <c r="L58" s="25"/>
    </row>
    <row r="59" spans="2:18" ht="35.25" customHeight="1" x14ac:dyDescent="0.3">
      <c r="B59" s="531" t="s">
        <v>375</v>
      </c>
      <c r="C59" s="542" t="s">
        <v>376</v>
      </c>
      <c r="D59" s="530">
        <v>1222.2</v>
      </c>
      <c r="E59" s="532"/>
      <c r="F59" s="532">
        <f>F$39</f>
        <v>2</v>
      </c>
      <c r="G59" s="532">
        <v>1.58</v>
      </c>
      <c r="H59" s="529">
        <v>1.9</v>
      </c>
      <c r="I59" s="537">
        <f t="shared" si="3"/>
        <v>18180</v>
      </c>
      <c r="J59" s="529">
        <v>1</v>
      </c>
      <c r="K59" s="529">
        <f t="shared" si="4"/>
        <v>18180</v>
      </c>
      <c r="L59" s="25"/>
      <c r="N59" s="148">
        <f>I59*12%</f>
        <v>2181.6</v>
      </c>
      <c r="O59" s="148">
        <f>N59*79.5%</f>
        <v>1734.3720000000001</v>
      </c>
      <c r="Q59" s="148">
        <f>3137+1000</f>
        <v>4137</v>
      </c>
      <c r="R59" s="148">
        <f>Q59+2300</f>
        <v>6437</v>
      </c>
    </row>
    <row r="60" spans="2:18" ht="21.95" customHeight="1" x14ac:dyDescent="0.3">
      <c r="B60" s="531" t="s">
        <v>377</v>
      </c>
      <c r="C60" s="532" t="s">
        <v>237</v>
      </c>
      <c r="D60" s="530">
        <v>1222.2</v>
      </c>
      <c r="E60" s="532"/>
      <c r="F60" s="532">
        <f>F$39</f>
        <v>2</v>
      </c>
      <c r="G60" s="532">
        <v>1.58</v>
      </c>
      <c r="H60" s="529">
        <v>1.9</v>
      </c>
      <c r="I60" s="537">
        <f t="shared" si="3"/>
        <v>18180</v>
      </c>
      <c r="J60" s="529">
        <v>1</v>
      </c>
      <c r="K60" s="529">
        <f t="shared" si="4"/>
        <v>18180</v>
      </c>
      <c r="L60" s="25"/>
    </row>
    <row r="61" spans="2:18" ht="21.95" customHeight="1" x14ac:dyDescent="0.3">
      <c r="B61" s="531" t="s">
        <v>378</v>
      </c>
      <c r="C61" s="532" t="s">
        <v>379</v>
      </c>
      <c r="D61" s="530">
        <v>2149.1999999999998</v>
      </c>
      <c r="E61" s="532"/>
      <c r="F61" s="532">
        <f>F$39</f>
        <v>2</v>
      </c>
      <c r="G61" s="532">
        <v>1.58</v>
      </c>
      <c r="H61" s="538">
        <v>2</v>
      </c>
      <c r="I61" s="537">
        <f t="shared" si="3"/>
        <v>19137</v>
      </c>
      <c r="J61" s="529">
        <v>1</v>
      </c>
      <c r="K61" s="529">
        <f t="shared" si="4"/>
        <v>19137</v>
      </c>
      <c r="L61" s="25"/>
    </row>
    <row r="62" spans="2:18" ht="21.6" customHeight="1" x14ac:dyDescent="0.3">
      <c r="B62" s="531" t="s">
        <v>381</v>
      </c>
      <c r="C62" s="532" t="s">
        <v>242</v>
      </c>
      <c r="D62" s="530">
        <v>4131</v>
      </c>
      <c r="E62" s="529"/>
      <c r="F62" s="532">
        <f t="shared" ref="F62:F71" si="5">F$39</f>
        <v>2</v>
      </c>
      <c r="G62" s="532">
        <v>1.58</v>
      </c>
      <c r="H62" s="538">
        <v>1.7</v>
      </c>
      <c r="I62" s="537">
        <f t="shared" si="3"/>
        <v>16266</v>
      </c>
      <c r="J62" s="529">
        <v>1</v>
      </c>
      <c r="K62" s="529">
        <f t="shared" si="4"/>
        <v>16266</v>
      </c>
      <c r="L62" s="25"/>
    </row>
    <row r="63" spans="2:18" ht="19.5" x14ac:dyDescent="0.35">
      <c r="B63" s="1957" t="s">
        <v>380</v>
      </c>
      <c r="C63" s="1958"/>
      <c r="D63" s="1958"/>
      <c r="E63" s="1958"/>
      <c r="F63" s="1958"/>
      <c r="G63" s="1958"/>
      <c r="H63" s="1958"/>
      <c r="I63" s="1958"/>
      <c r="J63" s="543">
        <f>SUM(J57:J62)</f>
        <v>6</v>
      </c>
      <c r="K63" s="544">
        <f>SUM(K57:K62)</f>
        <v>112908</v>
      </c>
      <c r="L63" s="25"/>
    </row>
    <row r="64" spans="2:18" ht="21.6" customHeight="1" x14ac:dyDescent="0.3">
      <c r="B64" s="531" t="s">
        <v>383</v>
      </c>
      <c r="C64" s="532" t="s">
        <v>382</v>
      </c>
      <c r="D64" s="530">
        <v>7233</v>
      </c>
      <c r="E64" s="529">
        <v>4</v>
      </c>
      <c r="F64" s="532">
        <f t="shared" si="5"/>
        <v>2</v>
      </c>
      <c r="G64" s="532">
        <v>1.58</v>
      </c>
      <c r="H64" s="529">
        <v>1.43</v>
      </c>
      <c r="I64" s="537">
        <f>ROUND(K$32*F64*G64*H64,0)</f>
        <v>13683</v>
      </c>
      <c r="J64" s="529">
        <v>3</v>
      </c>
      <c r="K64" s="529">
        <f t="shared" ref="K64:K71" si="6">I64*J64</f>
        <v>41049</v>
      </c>
      <c r="L64" s="25"/>
    </row>
    <row r="65" spans="2:12" ht="21.6" customHeight="1" x14ac:dyDescent="0.3">
      <c r="B65" s="531" t="s">
        <v>384</v>
      </c>
      <c r="C65" s="532" t="s">
        <v>382</v>
      </c>
      <c r="D65" s="530">
        <v>7233</v>
      </c>
      <c r="E65" s="529">
        <v>4</v>
      </c>
      <c r="F65" s="532">
        <f t="shared" si="5"/>
        <v>2</v>
      </c>
      <c r="G65" s="532">
        <v>1.58</v>
      </c>
      <c r="H65" s="529">
        <v>1.43</v>
      </c>
      <c r="I65" s="537">
        <f>ROUND(K$32*F65*G65*H65,0)</f>
        <v>13683</v>
      </c>
      <c r="J65" s="529">
        <v>8</v>
      </c>
      <c r="K65" s="529">
        <f t="shared" si="6"/>
        <v>109464</v>
      </c>
      <c r="L65" s="25"/>
    </row>
    <row r="66" spans="2:12" ht="21.6" customHeight="1" x14ac:dyDescent="0.3">
      <c r="B66" s="531" t="s">
        <v>385</v>
      </c>
      <c r="C66" s="532" t="s">
        <v>382</v>
      </c>
      <c r="D66" s="530">
        <v>7233</v>
      </c>
      <c r="E66" s="529">
        <v>5</v>
      </c>
      <c r="F66" s="532">
        <f t="shared" si="5"/>
        <v>2</v>
      </c>
      <c r="G66" s="532">
        <v>1.58</v>
      </c>
      <c r="H66" s="529">
        <v>1.67</v>
      </c>
      <c r="I66" s="537">
        <f>ROUND(K$32*F66*G66*H66,0)</f>
        <v>15979</v>
      </c>
      <c r="J66" s="529">
        <v>3</v>
      </c>
      <c r="K66" s="529">
        <f t="shared" si="6"/>
        <v>47937</v>
      </c>
      <c r="L66" s="25"/>
    </row>
    <row r="67" spans="2:12" ht="21.6" customHeight="1" x14ac:dyDescent="0.3">
      <c r="B67" s="531" t="s">
        <v>386</v>
      </c>
      <c r="C67" s="532" t="s">
        <v>382</v>
      </c>
      <c r="D67" s="530">
        <v>7233</v>
      </c>
      <c r="E67" s="529">
        <v>5</v>
      </c>
      <c r="F67" s="532">
        <f t="shared" si="5"/>
        <v>2</v>
      </c>
      <c r="G67" s="532">
        <v>1.58</v>
      </c>
      <c r="H67" s="529">
        <v>1.67</v>
      </c>
      <c r="I67" s="537">
        <f>ROUND(K$32*F67*G67*H67,0)</f>
        <v>15979</v>
      </c>
      <c r="J67" s="529">
        <v>4</v>
      </c>
      <c r="K67" s="529">
        <f t="shared" si="6"/>
        <v>63916</v>
      </c>
      <c r="L67" s="25"/>
    </row>
    <row r="68" spans="2:12" ht="21.6" customHeight="1" x14ac:dyDescent="0.3">
      <c r="B68" s="531" t="s">
        <v>388</v>
      </c>
      <c r="C68" s="532" t="s">
        <v>387</v>
      </c>
      <c r="D68" s="530">
        <v>7212</v>
      </c>
      <c r="E68" s="529">
        <v>5</v>
      </c>
      <c r="F68" s="532">
        <f t="shared" si="5"/>
        <v>2</v>
      </c>
      <c r="G68" s="532">
        <v>1.58</v>
      </c>
      <c r="H68" s="529">
        <v>1.67</v>
      </c>
      <c r="I68" s="537">
        <f>ROUND(K$32*F68*G68*H68,0)</f>
        <v>15979</v>
      </c>
      <c r="J68" s="529">
        <v>2</v>
      </c>
      <c r="K68" s="529">
        <f t="shared" si="6"/>
        <v>31958</v>
      </c>
      <c r="L68" s="25"/>
    </row>
    <row r="69" spans="2:12" ht="21.6" customHeight="1" x14ac:dyDescent="0.3">
      <c r="B69" s="531" t="s">
        <v>389</v>
      </c>
      <c r="C69" s="532" t="s">
        <v>243</v>
      </c>
      <c r="D69" s="530">
        <v>8322</v>
      </c>
      <c r="E69" s="529"/>
      <c r="F69" s="532">
        <f t="shared" si="5"/>
        <v>2</v>
      </c>
      <c r="G69" s="532">
        <v>1</v>
      </c>
      <c r="H69" s="529">
        <v>1.86</v>
      </c>
      <c r="I69" s="537">
        <f>ROUND(K$32*F69*H69,0)</f>
        <v>11264</v>
      </c>
      <c r="J69" s="529">
        <v>1</v>
      </c>
      <c r="K69" s="529">
        <f t="shared" si="6"/>
        <v>11264</v>
      </c>
      <c r="L69" s="25"/>
    </row>
    <row r="70" spans="2:12" ht="21.6" customHeight="1" x14ac:dyDescent="0.3">
      <c r="B70" s="531" t="s">
        <v>390</v>
      </c>
      <c r="C70" s="532" t="s">
        <v>243</v>
      </c>
      <c r="D70" s="530">
        <v>8322</v>
      </c>
      <c r="E70" s="529"/>
      <c r="F70" s="532">
        <f t="shared" si="5"/>
        <v>2</v>
      </c>
      <c r="G70" s="532">
        <v>1</v>
      </c>
      <c r="H70" s="545">
        <v>1.8</v>
      </c>
      <c r="I70" s="537">
        <f>ROUND(K$32*F70*H70,0)</f>
        <v>10901</v>
      </c>
      <c r="J70" s="529">
        <v>1</v>
      </c>
      <c r="K70" s="529">
        <f>I70*J70</f>
        <v>10901</v>
      </c>
      <c r="L70" s="25"/>
    </row>
    <row r="71" spans="2:12" ht="21.6" customHeight="1" x14ac:dyDescent="0.3">
      <c r="B71" s="531" t="s">
        <v>391</v>
      </c>
      <c r="C71" s="532" t="s">
        <v>392</v>
      </c>
      <c r="D71" s="530">
        <v>8332</v>
      </c>
      <c r="E71" s="529">
        <v>5</v>
      </c>
      <c r="F71" s="532">
        <f t="shared" si="5"/>
        <v>2</v>
      </c>
      <c r="G71" s="532">
        <v>1.58</v>
      </c>
      <c r="H71" s="529">
        <v>1.67</v>
      </c>
      <c r="I71" s="537">
        <f>ROUND(K$32*F71*G71*H71,0)</f>
        <v>15979</v>
      </c>
      <c r="J71" s="529">
        <v>1</v>
      </c>
      <c r="K71" s="529">
        <f t="shared" si="6"/>
        <v>15979</v>
      </c>
      <c r="L71" s="25"/>
    </row>
    <row r="72" spans="2:12" ht="21.75" customHeight="1" x14ac:dyDescent="0.35">
      <c r="B72" s="1957" t="s">
        <v>380</v>
      </c>
      <c r="C72" s="1958"/>
      <c r="D72" s="1958"/>
      <c r="E72" s="1958"/>
      <c r="F72" s="1958"/>
      <c r="G72" s="1958"/>
      <c r="H72" s="1958"/>
      <c r="I72" s="1958"/>
      <c r="J72" s="543">
        <f>SUM(J64:J71)</f>
        <v>23</v>
      </c>
      <c r="K72" s="544">
        <f>SUM(K64:K71)</f>
        <v>332468</v>
      </c>
      <c r="L72" s="25"/>
    </row>
    <row r="73" spans="2:12" ht="21.6" customHeight="1" x14ac:dyDescent="0.35">
      <c r="B73" s="531"/>
      <c r="C73" s="546" t="s">
        <v>393</v>
      </c>
      <c r="D73" s="530"/>
      <c r="E73" s="529"/>
      <c r="F73" s="529"/>
      <c r="G73" s="529"/>
      <c r="H73" s="529"/>
      <c r="I73" s="529"/>
      <c r="J73" s="529"/>
      <c r="K73" s="529"/>
      <c r="L73" s="25"/>
    </row>
    <row r="74" spans="2:12" ht="21.6" customHeight="1" x14ac:dyDescent="0.3">
      <c r="B74" s="531" t="s">
        <v>394</v>
      </c>
      <c r="C74" s="532" t="s">
        <v>395</v>
      </c>
      <c r="D74" s="530">
        <v>8163</v>
      </c>
      <c r="E74" s="529">
        <v>3</v>
      </c>
      <c r="F74" s="532">
        <f t="shared" ref="F74:F79" si="7">F$39</f>
        <v>2</v>
      </c>
      <c r="G74" s="532">
        <v>1.58</v>
      </c>
      <c r="H74" s="529">
        <v>1.25</v>
      </c>
      <c r="I74" s="537">
        <f>ROUND(K$32*F74*G74*H74,0)</f>
        <v>11961</v>
      </c>
      <c r="J74" s="529">
        <v>4</v>
      </c>
      <c r="K74" s="529">
        <f t="shared" ref="K74:K79" si="8">I74*J74</f>
        <v>47844</v>
      </c>
      <c r="L74" s="25"/>
    </row>
    <row r="75" spans="2:12" ht="21.6" customHeight="1" x14ac:dyDescent="0.3">
      <c r="B75" s="531" t="s">
        <v>396</v>
      </c>
      <c r="C75" s="542" t="s">
        <v>397</v>
      </c>
      <c r="D75" s="530">
        <v>7233</v>
      </c>
      <c r="E75" s="529">
        <v>4</v>
      </c>
      <c r="F75" s="532">
        <f t="shared" si="7"/>
        <v>2</v>
      </c>
      <c r="G75" s="532">
        <v>1.58</v>
      </c>
      <c r="H75" s="529">
        <v>1.43</v>
      </c>
      <c r="I75" s="537">
        <f>ROUND(K$32*F75*G75*H75,0)</f>
        <v>13683</v>
      </c>
      <c r="J75" s="529">
        <v>1</v>
      </c>
      <c r="K75" s="529">
        <f t="shared" si="8"/>
        <v>13683</v>
      </c>
      <c r="L75" s="25"/>
    </row>
    <row r="76" spans="2:12" ht="35.25" customHeight="1" x14ac:dyDescent="0.3">
      <c r="B76" s="531" t="s">
        <v>398</v>
      </c>
      <c r="C76" s="542" t="s">
        <v>399</v>
      </c>
      <c r="D76" s="530">
        <v>7241</v>
      </c>
      <c r="E76" s="529">
        <v>5</v>
      </c>
      <c r="F76" s="532">
        <f t="shared" si="7"/>
        <v>2</v>
      </c>
      <c r="G76" s="532">
        <v>1.58</v>
      </c>
      <c r="H76" s="529">
        <v>1.67</v>
      </c>
      <c r="I76" s="537">
        <f>ROUND(K$32*F76*G76*H76,0)</f>
        <v>15979</v>
      </c>
      <c r="J76" s="529">
        <v>1</v>
      </c>
      <c r="K76" s="529">
        <f t="shared" si="8"/>
        <v>15979</v>
      </c>
      <c r="L76" s="25"/>
    </row>
    <row r="77" spans="2:12" ht="37.5" customHeight="1" x14ac:dyDescent="0.3">
      <c r="B77" s="531" t="s">
        <v>400</v>
      </c>
      <c r="C77" s="542" t="s">
        <v>266</v>
      </c>
      <c r="D77" s="530">
        <v>7241</v>
      </c>
      <c r="E77" s="529">
        <v>5</v>
      </c>
      <c r="F77" s="532">
        <f t="shared" si="7"/>
        <v>2</v>
      </c>
      <c r="G77" s="532">
        <v>1.58</v>
      </c>
      <c r="H77" s="529">
        <v>1.67</v>
      </c>
      <c r="I77" s="537">
        <f>ROUND(K$32*F77*G77*H77,0)</f>
        <v>15979</v>
      </c>
      <c r="J77" s="529">
        <v>1</v>
      </c>
      <c r="K77" s="529">
        <f t="shared" si="8"/>
        <v>15979</v>
      </c>
      <c r="L77" s="25"/>
    </row>
    <row r="78" spans="2:12" ht="21.6" customHeight="1" x14ac:dyDescent="0.3">
      <c r="B78" s="531" t="s">
        <v>401</v>
      </c>
      <c r="C78" s="532" t="s">
        <v>252</v>
      </c>
      <c r="D78" s="530">
        <v>8163</v>
      </c>
      <c r="E78" s="529">
        <v>3</v>
      </c>
      <c r="F78" s="532">
        <f t="shared" si="7"/>
        <v>2</v>
      </c>
      <c r="G78" s="532">
        <v>1.58</v>
      </c>
      <c r="H78" s="529">
        <v>1.25</v>
      </c>
      <c r="I78" s="537">
        <f>ROUND(K$32*F78*G78*H78,0)</f>
        <v>11961</v>
      </c>
      <c r="J78" s="529">
        <v>1</v>
      </c>
      <c r="K78" s="529">
        <f t="shared" si="8"/>
        <v>11961</v>
      </c>
      <c r="L78" s="25"/>
    </row>
    <row r="79" spans="2:12" ht="21.6" customHeight="1" x14ac:dyDescent="0.3">
      <c r="B79" s="531" t="s">
        <v>402</v>
      </c>
      <c r="C79" s="532" t="s">
        <v>253</v>
      </c>
      <c r="D79" s="530">
        <v>9162</v>
      </c>
      <c r="E79" s="529"/>
      <c r="F79" s="532">
        <f t="shared" si="7"/>
        <v>2</v>
      </c>
      <c r="G79" s="532">
        <v>1</v>
      </c>
      <c r="H79" s="529">
        <v>1.32</v>
      </c>
      <c r="I79" s="537">
        <f>ROUND(K$32*F79*H79,0)</f>
        <v>7994</v>
      </c>
      <c r="J79" s="529">
        <v>2</v>
      </c>
      <c r="K79" s="529">
        <f t="shared" si="8"/>
        <v>15988</v>
      </c>
      <c r="L79" s="25"/>
    </row>
    <row r="80" spans="2:12" ht="21.6" customHeight="1" x14ac:dyDescent="0.35">
      <c r="B80" s="1957" t="s">
        <v>380</v>
      </c>
      <c r="C80" s="1958"/>
      <c r="D80" s="1958"/>
      <c r="E80" s="1958"/>
      <c r="F80" s="1958"/>
      <c r="G80" s="1958"/>
      <c r="H80" s="1958"/>
      <c r="I80" s="1958"/>
      <c r="J80" s="543">
        <f>SUM(J74:J79)</f>
        <v>10</v>
      </c>
      <c r="K80" s="544">
        <f>SUM(K74:K79)</f>
        <v>121434</v>
      </c>
      <c r="L80" s="25"/>
    </row>
    <row r="81" spans="2:12" ht="21.6" customHeight="1" x14ac:dyDescent="0.35">
      <c r="B81" s="531"/>
      <c r="C81" s="546" t="s">
        <v>403</v>
      </c>
      <c r="D81" s="530"/>
      <c r="E81" s="529"/>
      <c r="F81" s="529"/>
      <c r="G81" s="529"/>
      <c r="H81" s="529"/>
      <c r="I81" s="529"/>
      <c r="J81" s="529"/>
      <c r="K81" s="529"/>
      <c r="L81" s="25"/>
    </row>
    <row r="82" spans="2:12" ht="21.6" customHeight="1" x14ac:dyDescent="0.3">
      <c r="B82" s="531" t="s">
        <v>404</v>
      </c>
      <c r="C82" s="532" t="s">
        <v>395</v>
      </c>
      <c r="D82" s="530">
        <v>8163</v>
      </c>
      <c r="E82" s="529">
        <v>3</v>
      </c>
      <c r="F82" s="532">
        <f>F$39</f>
        <v>2</v>
      </c>
      <c r="G82" s="532">
        <v>1.58</v>
      </c>
      <c r="H82" s="529">
        <v>1.25</v>
      </c>
      <c r="I82" s="537">
        <f>ROUND(K$32*F82*G82*H82,0)</f>
        <v>11961</v>
      </c>
      <c r="J82" s="529">
        <v>9</v>
      </c>
      <c r="K82" s="529">
        <f>I82*J82</f>
        <v>107649</v>
      </c>
      <c r="L82" s="25"/>
    </row>
    <row r="83" spans="2:12" ht="21.6" customHeight="1" x14ac:dyDescent="0.3">
      <c r="B83" s="531" t="s">
        <v>405</v>
      </c>
      <c r="C83" s="542" t="s">
        <v>397</v>
      </c>
      <c r="D83" s="530">
        <v>7233</v>
      </c>
      <c r="E83" s="529">
        <v>4</v>
      </c>
      <c r="F83" s="532">
        <f>F$39</f>
        <v>2</v>
      </c>
      <c r="G83" s="532">
        <v>1.58</v>
      </c>
      <c r="H83" s="529">
        <v>1.43</v>
      </c>
      <c r="I83" s="537">
        <f>ROUND(K$32*F83*G83*H83,0)</f>
        <v>13683</v>
      </c>
      <c r="J83" s="529">
        <v>1</v>
      </c>
      <c r="K83" s="529">
        <f>I83*J83</f>
        <v>13683</v>
      </c>
      <c r="L83" s="25"/>
    </row>
    <row r="84" spans="2:12" ht="41.45" customHeight="1" x14ac:dyDescent="0.3">
      <c r="B84" s="531" t="s">
        <v>406</v>
      </c>
      <c r="C84" s="542" t="s">
        <v>266</v>
      </c>
      <c r="D84" s="530">
        <v>7241</v>
      </c>
      <c r="E84" s="529">
        <v>4</v>
      </c>
      <c r="F84" s="532">
        <f>F$39</f>
        <v>2</v>
      </c>
      <c r="G84" s="532">
        <v>1.58</v>
      </c>
      <c r="H84" s="529">
        <v>1.43</v>
      </c>
      <c r="I84" s="537">
        <f>ROUND(K$32*F84*G84*H84,0)</f>
        <v>13683</v>
      </c>
      <c r="J84" s="529">
        <v>1</v>
      </c>
      <c r="K84" s="529">
        <f>I84*J84</f>
        <v>13683</v>
      </c>
      <c r="L84" s="25"/>
    </row>
    <row r="85" spans="2:12" ht="42.95" customHeight="1" x14ac:dyDescent="0.3">
      <c r="B85" s="531" t="s">
        <v>407</v>
      </c>
      <c r="C85" s="542" t="s">
        <v>399</v>
      </c>
      <c r="D85" s="530">
        <v>7241</v>
      </c>
      <c r="E85" s="529">
        <v>5</v>
      </c>
      <c r="F85" s="532">
        <f>F$39</f>
        <v>2</v>
      </c>
      <c r="G85" s="532">
        <v>1.58</v>
      </c>
      <c r="H85" s="529">
        <v>1.67</v>
      </c>
      <c r="I85" s="537">
        <f>ROUND(K$32*F85*G85*H85,0)</f>
        <v>15979</v>
      </c>
      <c r="J85" s="529">
        <v>1</v>
      </c>
      <c r="K85" s="529">
        <f>I85*J85</f>
        <v>15979</v>
      </c>
      <c r="L85" s="25"/>
    </row>
    <row r="86" spans="2:12" ht="21.6" customHeight="1" x14ac:dyDescent="0.35">
      <c r="B86" s="1957" t="s">
        <v>380</v>
      </c>
      <c r="C86" s="1958"/>
      <c r="D86" s="1958"/>
      <c r="E86" s="1958"/>
      <c r="F86" s="1958"/>
      <c r="G86" s="1958"/>
      <c r="H86" s="1958"/>
      <c r="I86" s="1958"/>
      <c r="J86" s="543">
        <f>SUM(J82:J85)</f>
        <v>12</v>
      </c>
      <c r="K86" s="544">
        <f>SUM(K82:K85)</f>
        <v>150994</v>
      </c>
      <c r="L86" s="25"/>
    </row>
    <row r="87" spans="2:12" ht="21.6" customHeight="1" x14ac:dyDescent="0.3">
      <c r="B87" s="1969" t="s">
        <v>370</v>
      </c>
      <c r="C87" s="1970"/>
      <c r="D87" s="1970"/>
      <c r="E87" s="1970"/>
      <c r="F87" s="1970"/>
      <c r="G87" s="1970"/>
      <c r="H87" s="1970"/>
      <c r="I87" s="1970"/>
      <c r="J87" s="539">
        <f>J86+J80+J72+J63</f>
        <v>51</v>
      </c>
      <c r="K87" s="540">
        <f>K86+K80+K72+K63</f>
        <v>717804</v>
      </c>
      <c r="L87" s="25"/>
    </row>
    <row r="88" spans="2:12" ht="21.6" customHeight="1" x14ac:dyDescent="0.3">
      <c r="B88" s="531" t="s">
        <v>408</v>
      </c>
      <c r="C88" s="547" t="s">
        <v>409</v>
      </c>
      <c r="D88" s="530"/>
      <c r="E88" s="529"/>
      <c r="F88" s="529"/>
      <c r="G88" s="529"/>
      <c r="H88" s="529"/>
      <c r="I88" s="529"/>
      <c r="J88" s="529"/>
      <c r="K88" s="529"/>
      <c r="L88" s="25"/>
    </row>
    <row r="89" spans="2:12" ht="21.6" customHeight="1" x14ac:dyDescent="0.3">
      <c r="B89" s="531" t="s">
        <v>410</v>
      </c>
      <c r="C89" s="532" t="s">
        <v>260</v>
      </c>
      <c r="D89" s="530">
        <v>1233</v>
      </c>
      <c r="E89" s="529"/>
      <c r="F89" s="532">
        <f>F$39</f>
        <v>2</v>
      </c>
      <c r="G89" s="532">
        <v>1.58</v>
      </c>
      <c r="H89" s="529">
        <v>2.35</v>
      </c>
      <c r="I89" s="537">
        <f>ROUND(K$32*F89*G89*H89,0)</f>
        <v>22486</v>
      </c>
      <c r="J89" s="529">
        <v>1</v>
      </c>
      <c r="K89" s="529">
        <f>I89*J89</f>
        <v>22486</v>
      </c>
      <c r="L89" s="25"/>
    </row>
    <row r="90" spans="2:12" ht="21.6" customHeight="1" x14ac:dyDescent="0.3">
      <c r="B90" s="531" t="s">
        <v>411</v>
      </c>
      <c r="C90" s="532" t="s">
        <v>238</v>
      </c>
      <c r="D90" s="530">
        <v>2149.1999999999998</v>
      </c>
      <c r="E90" s="529"/>
      <c r="F90" s="532">
        <f>F$39</f>
        <v>2</v>
      </c>
      <c r="G90" s="532">
        <v>1.58</v>
      </c>
      <c r="H90" s="529">
        <v>1.8</v>
      </c>
      <c r="I90" s="537">
        <f>ROUND(K$32*F90*G90*H90,0)</f>
        <v>17223</v>
      </c>
      <c r="J90" s="529">
        <v>2</v>
      </c>
      <c r="K90" s="529">
        <f>I90*J90</f>
        <v>34446</v>
      </c>
      <c r="L90" s="25"/>
    </row>
    <row r="91" spans="2:12" ht="21.6" customHeight="1" x14ac:dyDescent="0.3">
      <c r="B91" s="531" t="s">
        <v>412</v>
      </c>
      <c r="C91" s="532" t="s">
        <v>413</v>
      </c>
      <c r="D91" s="530">
        <v>7136</v>
      </c>
      <c r="E91" s="529"/>
      <c r="F91" s="532">
        <f>F$39</f>
        <v>2</v>
      </c>
      <c r="G91" s="532">
        <v>1.58</v>
      </c>
      <c r="H91" s="545">
        <f>1.2*1.1</f>
        <v>1.32</v>
      </c>
      <c r="I91" s="537">
        <f>ROUND(K$32*F91*G91*H91,0)</f>
        <v>12630</v>
      </c>
      <c r="J91" s="529">
        <v>1</v>
      </c>
      <c r="K91" s="529">
        <f>I91*J91</f>
        <v>12630</v>
      </c>
      <c r="L91" s="25"/>
    </row>
    <row r="92" spans="2:12" ht="21.6" customHeight="1" x14ac:dyDescent="0.3">
      <c r="B92" s="531" t="s">
        <v>414</v>
      </c>
      <c r="C92" s="532" t="s">
        <v>262</v>
      </c>
      <c r="D92" s="530">
        <v>7136</v>
      </c>
      <c r="E92" s="529">
        <v>3</v>
      </c>
      <c r="F92" s="532">
        <f>F$39</f>
        <v>2</v>
      </c>
      <c r="G92" s="532">
        <v>1.58</v>
      </c>
      <c r="H92" s="529">
        <v>1.2</v>
      </c>
      <c r="I92" s="537">
        <f>ROUND(K$32*F92*G92*H92,0)</f>
        <v>11482</v>
      </c>
      <c r="J92" s="529">
        <v>10</v>
      </c>
      <c r="K92" s="529">
        <f>I92*J92</f>
        <v>114820</v>
      </c>
      <c r="L92" s="25"/>
    </row>
    <row r="93" spans="2:12" ht="21.6" customHeight="1" x14ac:dyDescent="0.35">
      <c r="B93" s="1957" t="s">
        <v>370</v>
      </c>
      <c r="C93" s="1958"/>
      <c r="D93" s="1958"/>
      <c r="E93" s="1958"/>
      <c r="F93" s="1958"/>
      <c r="G93" s="1958"/>
      <c r="H93" s="1958"/>
      <c r="I93" s="1958"/>
      <c r="J93" s="543">
        <f>SUM(J89:J92)</f>
        <v>14</v>
      </c>
      <c r="K93" s="544">
        <f>SUM(K89:K92)</f>
        <v>184382</v>
      </c>
      <c r="L93" s="25"/>
    </row>
    <row r="94" spans="2:12" ht="21.6" customHeight="1" x14ac:dyDescent="0.3">
      <c r="B94" s="531" t="s">
        <v>263</v>
      </c>
      <c r="C94" s="547" t="s">
        <v>264</v>
      </c>
      <c r="D94" s="530"/>
      <c r="E94" s="529"/>
      <c r="F94" s="529"/>
      <c r="G94" s="529"/>
      <c r="H94" s="529"/>
      <c r="I94" s="529"/>
      <c r="J94" s="529"/>
      <c r="K94" s="529"/>
      <c r="L94" s="25"/>
    </row>
    <row r="95" spans="2:12" ht="21.6" customHeight="1" x14ac:dyDescent="0.3">
      <c r="B95" s="531" t="s">
        <v>415</v>
      </c>
      <c r="C95" s="532" t="s">
        <v>416</v>
      </c>
      <c r="D95" s="529">
        <v>1222.2</v>
      </c>
      <c r="E95" s="529"/>
      <c r="F95" s="532">
        <f>F$39</f>
        <v>2</v>
      </c>
      <c r="G95" s="532">
        <v>1.58</v>
      </c>
      <c r="H95" s="529">
        <v>1.9</v>
      </c>
      <c r="I95" s="537">
        <f>ROUND(K$32*F95*G95*H95,0)</f>
        <v>18180</v>
      </c>
      <c r="J95" s="529">
        <v>1</v>
      </c>
      <c r="K95" s="529">
        <f>I95*J95</f>
        <v>18180</v>
      </c>
      <c r="L95" s="25"/>
    </row>
    <row r="96" spans="2:12" ht="40.5" customHeight="1" x14ac:dyDescent="0.3">
      <c r="B96" s="531" t="s">
        <v>417</v>
      </c>
      <c r="C96" s="542" t="s">
        <v>266</v>
      </c>
      <c r="D96" s="529">
        <v>7241</v>
      </c>
      <c r="E96" s="529">
        <v>4</v>
      </c>
      <c r="F96" s="532">
        <f>F$39</f>
        <v>2</v>
      </c>
      <c r="G96" s="532">
        <v>1.58</v>
      </c>
      <c r="H96" s="529">
        <v>1.43</v>
      </c>
      <c r="I96" s="537">
        <f>ROUND(K$32*F96*G96*H96,0)</f>
        <v>13683</v>
      </c>
      <c r="J96" s="529">
        <v>2.25</v>
      </c>
      <c r="K96" s="529">
        <f>I96*J96</f>
        <v>30786.75</v>
      </c>
      <c r="L96" s="25"/>
    </row>
    <row r="97" spans="2:23" ht="21.6" customHeight="1" x14ac:dyDescent="0.3">
      <c r="B97" s="531" t="s">
        <v>418</v>
      </c>
      <c r="C97" s="532" t="s">
        <v>382</v>
      </c>
      <c r="D97" s="530">
        <v>7233</v>
      </c>
      <c r="E97" s="529">
        <v>4</v>
      </c>
      <c r="F97" s="532">
        <f>F$39</f>
        <v>2</v>
      </c>
      <c r="G97" s="532">
        <v>1.58</v>
      </c>
      <c r="H97" s="529">
        <v>1.43</v>
      </c>
      <c r="I97" s="537">
        <f>ROUND(K$32*F97*G97*H97,0)</f>
        <v>13683</v>
      </c>
      <c r="J97" s="529">
        <v>0.25</v>
      </c>
      <c r="K97" s="529">
        <f>I97*J97</f>
        <v>3420.75</v>
      </c>
      <c r="L97" s="25"/>
    </row>
    <row r="98" spans="2:23" ht="21.6" customHeight="1" x14ac:dyDescent="0.3">
      <c r="B98" s="531" t="s">
        <v>419</v>
      </c>
      <c r="C98" s="532" t="s">
        <v>243</v>
      </c>
      <c r="D98" s="530">
        <v>8322</v>
      </c>
      <c r="E98" s="529"/>
      <c r="F98" s="532">
        <f>F$39</f>
        <v>2</v>
      </c>
      <c r="G98" s="532">
        <v>1</v>
      </c>
      <c r="H98" s="529">
        <v>1.95</v>
      </c>
      <c r="I98" s="537">
        <f>ROUND(K$32*F98*H98,0)</f>
        <v>11809</v>
      </c>
      <c r="J98" s="529">
        <v>0.75</v>
      </c>
      <c r="K98" s="529">
        <f>I98*J98</f>
        <v>8856.75</v>
      </c>
      <c r="L98" s="25"/>
    </row>
    <row r="99" spans="2:23" ht="21.6" customHeight="1" x14ac:dyDescent="0.35">
      <c r="B99" s="1957" t="s">
        <v>420</v>
      </c>
      <c r="C99" s="1958"/>
      <c r="D99" s="1958"/>
      <c r="E99" s="1958"/>
      <c r="F99" s="1958"/>
      <c r="G99" s="1958"/>
      <c r="H99" s="1958"/>
      <c r="I99" s="1958"/>
      <c r="J99" s="563">
        <f>SUM(J95:J98)</f>
        <v>4.25</v>
      </c>
      <c r="K99" s="544">
        <f>SUM(K95:K98)</f>
        <v>61244.25</v>
      </c>
      <c r="L99" s="25"/>
    </row>
    <row r="100" spans="2:23" ht="32.25" customHeight="1" x14ac:dyDescent="0.35">
      <c r="B100" s="548" t="s">
        <v>421</v>
      </c>
      <c r="C100" s="547" t="s">
        <v>281</v>
      </c>
      <c r="D100" s="529"/>
      <c r="E100" s="550"/>
      <c r="F100" s="550"/>
      <c r="G100" s="550"/>
      <c r="H100" s="550"/>
      <c r="I100" s="550"/>
      <c r="J100" s="544"/>
      <c r="K100" s="544"/>
      <c r="L100" s="25"/>
    </row>
    <row r="101" spans="2:23" ht="21.6" customHeight="1" x14ac:dyDescent="0.3">
      <c r="B101" s="551" t="s">
        <v>422</v>
      </c>
      <c r="C101" s="548" t="s">
        <v>265</v>
      </c>
      <c r="D101" s="529">
        <v>1222.2</v>
      </c>
      <c r="E101" s="552"/>
      <c r="F101" s="532">
        <f>F$39</f>
        <v>2</v>
      </c>
      <c r="G101" s="553">
        <v>1.58</v>
      </c>
      <c r="H101" s="529">
        <v>1.9</v>
      </c>
      <c r="I101" s="537">
        <f>ROUND(K$32*F101*G101*H101,0)</f>
        <v>18180</v>
      </c>
      <c r="J101" s="529">
        <v>1</v>
      </c>
      <c r="K101" s="554">
        <f>I101*J101</f>
        <v>18180</v>
      </c>
      <c r="L101" s="25"/>
    </row>
    <row r="102" spans="2:23" ht="21.6" customHeight="1" x14ac:dyDescent="0.3">
      <c r="B102" s="551" t="s">
        <v>423</v>
      </c>
      <c r="C102" s="555" t="s">
        <v>240</v>
      </c>
      <c r="D102" s="529" t="s">
        <v>424</v>
      </c>
      <c r="E102" s="531">
        <v>4</v>
      </c>
      <c r="F102" s="532">
        <f>F$39</f>
        <v>2</v>
      </c>
      <c r="G102" s="553">
        <v>1.58</v>
      </c>
      <c r="H102" s="529">
        <v>1.43</v>
      </c>
      <c r="I102" s="537">
        <f>ROUND(K$32*F102*G102*H102,0)</f>
        <v>13683</v>
      </c>
      <c r="J102" s="529">
        <v>5</v>
      </c>
      <c r="K102" s="554">
        <f>I102*J102</f>
        <v>68415</v>
      </c>
      <c r="L102" s="25"/>
    </row>
    <row r="103" spans="2:23" ht="21.6" customHeight="1" x14ac:dyDescent="0.3">
      <c r="B103" s="551" t="s">
        <v>425</v>
      </c>
      <c r="C103" s="555" t="s">
        <v>217</v>
      </c>
      <c r="D103" s="529">
        <v>3433</v>
      </c>
      <c r="E103" s="531"/>
      <c r="F103" s="532">
        <f>F$39</f>
        <v>2</v>
      </c>
      <c r="G103" s="553">
        <v>1.58</v>
      </c>
      <c r="H103" s="538">
        <v>2</v>
      </c>
      <c r="I103" s="537">
        <f>ROUND(K$32*F103*G103*H103,0)</f>
        <v>19137</v>
      </c>
      <c r="J103" s="529">
        <v>0.25</v>
      </c>
      <c r="K103" s="554">
        <f>I103*J103</f>
        <v>4784.25</v>
      </c>
      <c r="L103" s="25"/>
    </row>
    <row r="104" spans="2:23" ht="21.6" customHeight="1" x14ac:dyDescent="0.3">
      <c r="B104" s="551" t="s">
        <v>426</v>
      </c>
      <c r="C104" s="548" t="s">
        <v>243</v>
      </c>
      <c r="D104" s="529" t="s">
        <v>427</v>
      </c>
      <c r="E104" s="550"/>
      <c r="F104" s="532">
        <f>F$39</f>
        <v>2</v>
      </c>
      <c r="G104" s="553">
        <v>1</v>
      </c>
      <c r="H104" s="529">
        <v>1.95</v>
      </c>
      <c r="I104" s="537">
        <f>ROUND(K$32*F104*G104*H104,0)</f>
        <v>11809</v>
      </c>
      <c r="J104" s="529">
        <v>0.25</v>
      </c>
      <c r="K104" s="554">
        <f>I104*J104</f>
        <v>2952.25</v>
      </c>
      <c r="L104" s="25"/>
    </row>
    <row r="105" spans="2:23" ht="21.6" customHeight="1" x14ac:dyDescent="0.35">
      <c r="B105" s="1971" t="s">
        <v>420</v>
      </c>
      <c r="C105" s="1972"/>
      <c r="D105" s="1972"/>
      <c r="E105" s="1972"/>
      <c r="F105" s="1972"/>
      <c r="G105" s="1972"/>
      <c r="H105" s="1972"/>
      <c r="I105" s="1973"/>
      <c r="J105" s="544">
        <f>SUM(J101:J104)</f>
        <v>6.5</v>
      </c>
      <c r="K105" s="556">
        <f>SUM(K101:K104)</f>
        <v>94331.5</v>
      </c>
      <c r="L105" s="25"/>
    </row>
    <row r="106" spans="2:23" s="205" customFormat="1" ht="21.6" hidden="1" customHeight="1" x14ac:dyDescent="0.35">
      <c r="B106" s="557"/>
      <c r="C106" s="558" t="s">
        <v>428</v>
      </c>
      <c r="D106" s="558"/>
      <c r="E106" s="558"/>
      <c r="F106" s="558"/>
      <c r="G106" s="558"/>
      <c r="H106" s="559"/>
      <c r="I106" s="560" t="e">
        <f>K106+K107</f>
        <v>#REF!</v>
      </c>
      <c r="J106" s="561" t="e">
        <f>J55+J63+J93-J92-J91-#REF!+J95+J101+J103</f>
        <v>#REF!</v>
      </c>
      <c r="K106" s="561" t="e">
        <f>K55+K63+K93-K92-K91-#REF!+K95+K101+K103</f>
        <v>#REF!</v>
      </c>
      <c r="L106" s="517"/>
    </row>
    <row r="107" spans="2:23" s="205" customFormat="1" ht="21.6" hidden="1" customHeight="1" x14ac:dyDescent="0.35">
      <c r="B107" s="557"/>
      <c r="C107" s="558" t="s">
        <v>429</v>
      </c>
      <c r="D107" s="558"/>
      <c r="E107" s="558"/>
      <c r="F107" s="558"/>
      <c r="G107" s="558"/>
      <c r="H107" s="559"/>
      <c r="I107" s="561" t="e">
        <f>SUM(J106:J107)</f>
        <v>#REF!</v>
      </c>
      <c r="J107" s="562" t="e">
        <f>J72+J80+J86+J92+J91+#REF!+J96+J97+J98+J102+J104</f>
        <v>#REF!</v>
      </c>
      <c r="K107" s="562" t="e">
        <f>K72+K80+K86+K92+K91+#REF!+K96+K97+K98+K102+K104</f>
        <v>#REF!</v>
      </c>
      <c r="L107" s="517"/>
    </row>
    <row r="108" spans="2:23" ht="21.6" customHeight="1" x14ac:dyDescent="0.35">
      <c r="B108" s="1966" t="s">
        <v>430</v>
      </c>
      <c r="C108" s="1968"/>
      <c r="D108" s="1968"/>
      <c r="E108" s="1968"/>
      <c r="F108" s="1968"/>
      <c r="G108" s="1968"/>
      <c r="H108" s="1968"/>
      <c r="I108" s="1968"/>
      <c r="J108" s="563">
        <f>J99+J93+J87+J55+J105</f>
        <v>94.75</v>
      </c>
      <c r="K108" s="556">
        <f>K99+K93+K87+K55+K105</f>
        <v>1487064.75</v>
      </c>
      <c r="L108" s="25"/>
      <c r="N108" s="564">
        <f>'[2]1,24'!J109+J105</f>
        <v>95</v>
      </c>
      <c r="W108" s="566">
        <f>K108-K105-'[1]1,25'!K108+K98/J98*0.25</f>
        <v>0</v>
      </c>
    </row>
    <row r="109" spans="2:23" ht="18.75" x14ac:dyDescent="0.3">
      <c r="B109" s="522"/>
      <c r="C109" s="522"/>
      <c r="D109" s="565"/>
      <c r="E109" s="522"/>
      <c r="F109" s="522"/>
      <c r="G109" s="522"/>
      <c r="H109" s="522"/>
      <c r="I109" s="522"/>
      <c r="J109" s="522"/>
      <c r="K109" s="522"/>
      <c r="L109" s="25"/>
    </row>
    <row r="110" spans="2:23" ht="18.75" x14ac:dyDescent="0.3">
      <c r="B110" s="522"/>
      <c r="C110" s="565" t="s">
        <v>147</v>
      </c>
      <c r="D110" s="565"/>
      <c r="E110" s="522"/>
      <c r="F110" s="522"/>
      <c r="G110" s="522"/>
      <c r="H110" s="522"/>
      <c r="I110" s="522" t="s">
        <v>148</v>
      </c>
      <c r="J110" s="522"/>
      <c r="K110" s="522"/>
      <c r="L110" s="25"/>
    </row>
    <row r="111" spans="2:23" ht="18.75" x14ac:dyDescent="0.3">
      <c r="B111" s="522"/>
      <c r="C111" s="522"/>
      <c r="D111" s="565"/>
      <c r="E111" s="522"/>
      <c r="F111" s="522"/>
      <c r="G111" s="522"/>
      <c r="H111" s="522"/>
      <c r="I111" s="522"/>
      <c r="J111" s="522"/>
      <c r="K111" s="522"/>
      <c r="L111" s="25"/>
    </row>
  </sheetData>
  <mergeCells count="19">
    <mergeCell ref="B72:I72"/>
    <mergeCell ref="B35:B36"/>
    <mergeCell ref="C35:C36"/>
    <mergeCell ref="D35:D36"/>
    <mergeCell ref="E35:E36"/>
    <mergeCell ref="B108:I108"/>
    <mergeCell ref="B80:I80"/>
    <mergeCell ref="B86:I86"/>
    <mergeCell ref="B87:I87"/>
    <mergeCell ref="B93:I93"/>
    <mergeCell ref="B99:I99"/>
    <mergeCell ref="B105:I105"/>
    <mergeCell ref="F35:H35"/>
    <mergeCell ref="I35:I36"/>
    <mergeCell ref="B63:I63"/>
    <mergeCell ref="J35:J36"/>
    <mergeCell ref="K35:K36"/>
    <mergeCell ref="C38:K38"/>
    <mergeCell ref="B55:I55"/>
  </mergeCells>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111"/>
  <sheetViews>
    <sheetView view="pageBreakPreview" zoomScale="60" zoomScaleNormal="100" workbookViewId="0">
      <selection activeCell="X27" sqref="X27"/>
    </sheetView>
  </sheetViews>
  <sheetFormatPr defaultColWidth="8.7109375" defaultRowHeight="12.75" x14ac:dyDescent="0.2"/>
  <cols>
    <col min="1" max="1" width="1.85546875" style="148" customWidth="1"/>
    <col min="2" max="2" width="6.28515625" style="148" customWidth="1"/>
    <col min="3" max="3" width="55.7109375" style="148" customWidth="1"/>
    <col min="4" max="4" width="10.42578125" style="148" customWidth="1"/>
    <col min="5" max="5" width="5.5703125" style="148" customWidth="1"/>
    <col min="6" max="6" width="11.7109375" style="148" customWidth="1"/>
    <col min="7" max="7" width="11.5703125" style="148" customWidth="1"/>
    <col min="8" max="8" width="21.85546875" style="148" customWidth="1"/>
    <col min="9" max="9" width="14.5703125" style="148" customWidth="1"/>
    <col min="10" max="10" width="10.140625" style="148" customWidth="1"/>
    <col min="11" max="11" width="14.85546875" style="148" customWidth="1"/>
    <col min="12" max="12" width="1.42578125" style="148" customWidth="1"/>
    <col min="13" max="13" width="0" style="148" hidden="1" customWidth="1"/>
    <col min="14" max="14" width="11" style="148" hidden="1" customWidth="1"/>
    <col min="15" max="23" width="0" style="148" hidden="1" customWidth="1"/>
    <col min="24" max="256" width="8.7109375" style="148"/>
    <col min="257" max="257" width="1.85546875" style="148" customWidth="1"/>
    <col min="258" max="258" width="6.28515625" style="148" customWidth="1"/>
    <col min="259" max="259" width="55.7109375" style="148" customWidth="1"/>
    <col min="260" max="260" width="10.42578125" style="148" customWidth="1"/>
    <col min="261" max="261" width="5.5703125" style="148" customWidth="1"/>
    <col min="262" max="262" width="11.7109375" style="148" customWidth="1"/>
    <col min="263" max="263" width="11.5703125" style="148" customWidth="1"/>
    <col min="264" max="264" width="21.85546875" style="148" customWidth="1"/>
    <col min="265" max="265" width="14.5703125" style="148" customWidth="1"/>
    <col min="266" max="266" width="10.140625" style="148" customWidth="1"/>
    <col min="267" max="267" width="14.85546875" style="148" customWidth="1"/>
    <col min="268" max="268" width="1.42578125" style="148" customWidth="1"/>
    <col min="269" max="278" width="0" style="148" hidden="1" customWidth="1"/>
    <col min="279" max="512" width="8.7109375" style="148"/>
    <col min="513" max="513" width="1.85546875" style="148" customWidth="1"/>
    <col min="514" max="514" width="6.28515625" style="148" customWidth="1"/>
    <col min="515" max="515" width="55.7109375" style="148" customWidth="1"/>
    <col min="516" max="516" width="10.42578125" style="148" customWidth="1"/>
    <col min="517" max="517" width="5.5703125" style="148" customWidth="1"/>
    <col min="518" max="518" width="11.7109375" style="148" customWidth="1"/>
    <col min="519" max="519" width="11.5703125" style="148" customWidth="1"/>
    <col min="520" max="520" width="21.85546875" style="148" customWidth="1"/>
    <col min="521" max="521" width="14.5703125" style="148" customWidth="1"/>
    <col min="522" max="522" width="10.140625" style="148" customWidth="1"/>
    <col min="523" max="523" width="14.85546875" style="148" customWidth="1"/>
    <col min="524" max="524" width="1.42578125" style="148" customWidth="1"/>
    <col min="525" max="534" width="0" style="148" hidden="1" customWidth="1"/>
    <col min="535" max="768" width="8.7109375" style="148"/>
    <col min="769" max="769" width="1.85546875" style="148" customWidth="1"/>
    <col min="770" max="770" width="6.28515625" style="148" customWidth="1"/>
    <col min="771" max="771" width="55.7109375" style="148" customWidth="1"/>
    <col min="772" max="772" width="10.42578125" style="148" customWidth="1"/>
    <col min="773" max="773" width="5.5703125" style="148" customWidth="1"/>
    <col min="774" max="774" width="11.7109375" style="148" customWidth="1"/>
    <col min="775" max="775" width="11.5703125" style="148" customWidth="1"/>
    <col min="776" max="776" width="21.85546875" style="148" customWidth="1"/>
    <col min="777" max="777" width="14.5703125" style="148" customWidth="1"/>
    <col min="778" max="778" width="10.140625" style="148" customWidth="1"/>
    <col min="779" max="779" width="14.85546875" style="148" customWidth="1"/>
    <col min="780" max="780" width="1.42578125" style="148" customWidth="1"/>
    <col min="781" max="790" width="0" style="148" hidden="1" customWidth="1"/>
    <col min="791" max="1024" width="8.7109375" style="148"/>
    <col min="1025" max="1025" width="1.85546875" style="148" customWidth="1"/>
    <col min="1026" max="1026" width="6.28515625" style="148" customWidth="1"/>
    <col min="1027" max="1027" width="55.7109375" style="148" customWidth="1"/>
    <col min="1028" max="1028" width="10.42578125" style="148" customWidth="1"/>
    <col min="1029" max="1029" width="5.5703125" style="148" customWidth="1"/>
    <col min="1030" max="1030" width="11.7109375" style="148" customWidth="1"/>
    <col min="1031" max="1031" width="11.5703125" style="148" customWidth="1"/>
    <col min="1032" max="1032" width="21.85546875" style="148" customWidth="1"/>
    <col min="1033" max="1033" width="14.5703125" style="148" customWidth="1"/>
    <col min="1034" max="1034" width="10.140625" style="148" customWidth="1"/>
    <col min="1035" max="1035" width="14.85546875" style="148" customWidth="1"/>
    <col min="1036" max="1036" width="1.42578125" style="148" customWidth="1"/>
    <col min="1037" max="1046" width="0" style="148" hidden="1" customWidth="1"/>
    <col min="1047" max="1280" width="8.7109375" style="148"/>
    <col min="1281" max="1281" width="1.85546875" style="148" customWidth="1"/>
    <col min="1282" max="1282" width="6.28515625" style="148" customWidth="1"/>
    <col min="1283" max="1283" width="55.7109375" style="148" customWidth="1"/>
    <col min="1284" max="1284" width="10.42578125" style="148" customWidth="1"/>
    <col min="1285" max="1285" width="5.5703125" style="148" customWidth="1"/>
    <col min="1286" max="1286" width="11.7109375" style="148" customWidth="1"/>
    <col min="1287" max="1287" width="11.5703125" style="148" customWidth="1"/>
    <col min="1288" max="1288" width="21.85546875" style="148" customWidth="1"/>
    <col min="1289" max="1289" width="14.5703125" style="148" customWidth="1"/>
    <col min="1290" max="1290" width="10.140625" style="148" customWidth="1"/>
    <col min="1291" max="1291" width="14.85546875" style="148" customWidth="1"/>
    <col min="1292" max="1292" width="1.42578125" style="148" customWidth="1"/>
    <col min="1293" max="1302" width="0" style="148" hidden="1" customWidth="1"/>
    <col min="1303" max="1536" width="8.7109375" style="148"/>
    <col min="1537" max="1537" width="1.85546875" style="148" customWidth="1"/>
    <col min="1538" max="1538" width="6.28515625" style="148" customWidth="1"/>
    <col min="1539" max="1539" width="55.7109375" style="148" customWidth="1"/>
    <col min="1540" max="1540" width="10.42578125" style="148" customWidth="1"/>
    <col min="1541" max="1541" width="5.5703125" style="148" customWidth="1"/>
    <col min="1542" max="1542" width="11.7109375" style="148" customWidth="1"/>
    <col min="1543" max="1543" width="11.5703125" style="148" customWidth="1"/>
    <col min="1544" max="1544" width="21.85546875" style="148" customWidth="1"/>
    <col min="1545" max="1545" width="14.5703125" style="148" customWidth="1"/>
    <col min="1546" max="1546" width="10.140625" style="148" customWidth="1"/>
    <col min="1547" max="1547" width="14.85546875" style="148" customWidth="1"/>
    <col min="1548" max="1548" width="1.42578125" style="148" customWidth="1"/>
    <col min="1549" max="1558" width="0" style="148" hidden="1" customWidth="1"/>
    <col min="1559" max="1792" width="8.7109375" style="148"/>
    <col min="1793" max="1793" width="1.85546875" style="148" customWidth="1"/>
    <col min="1794" max="1794" width="6.28515625" style="148" customWidth="1"/>
    <col min="1795" max="1795" width="55.7109375" style="148" customWidth="1"/>
    <col min="1796" max="1796" width="10.42578125" style="148" customWidth="1"/>
    <col min="1797" max="1797" width="5.5703125" style="148" customWidth="1"/>
    <col min="1798" max="1798" width="11.7109375" style="148" customWidth="1"/>
    <col min="1799" max="1799" width="11.5703125" style="148" customWidth="1"/>
    <col min="1800" max="1800" width="21.85546875" style="148" customWidth="1"/>
    <col min="1801" max="1801" width="14.5703125" style="148" customWidth="1"/>
    <col min="1802" max="1802" width="10.140625" style="148" customWidth="1"/>
    <col min="1803" max="1803" width="14.85546875" style="148" customWidth="1"/>
    <col min="1804" max="1804" width="1.42578125" style="148" customWidth="1"/>
    <col min="1805" max="1814" width="0" style="148" hidden="1" customWidth="1"/>
    <col min="1815" max="2048" width="8.7109375" style="148"/>
    <col min="2049" max="2049" width="1.85546875" style="148" customWidth="1"/>
    <col min="2050" max="2050" width="6.28515625" style="148" customWidth="1"/>
    <col min="2051" max="2051" width="55.7109375" style="148" customWidth="1"/>
    <col min="2052" max="2052" width="10.42578125" style="148" customWidth="1"/>
    <col min="2053" max="2053" width="5.5703125" style="148" customWidth="1"/>
    <col min="2054" max="2054" width="11.7109375" style="148" customWidth="1"/>
    <col min="2055" max="2055" width="11.5703125" style="148" customWidth="1"/>
    <col min="2056" max="2056" width="21.85546875" style="148" customWidth="1"/>
    <col min="2057" max="2057" width="14.5703125" style="148" customWidth="1"/>
    <col min="2058" max="2058" width="10.140625" style="148" customWidth="1"/>
    <col min="2059" max="2059" width="14.85546875" style="148" customWidth="1"/>
    <col min="2060" max="2060" width="1.42578125" style="148" customWidth="1"/>
    <col min="2061" max="2070" width="0" style="148" hidden="1" customWidth="1"/>
    <col min="2071" max="2304" width="8.7109375" style="148"/>
    <col min="2305" max="2305" width="1.85546875" style="148" customWidth="1"/>
    <col min="2306" max="2306" width="6.28515625" style="148" customWidth="1"/>
    <col min="2307" max="2307" width="55.7109375" style="148" customWidth="1"/>
    <col min="2308" max="2308" width="10.42578125" style="148" customWidth="1"/>
    <col min="2309" max="2309" width="5.5703125" style="148" customWidth="1"/>
    <col min="2310" max="2310" width="11.7109375" style="148" customWidth="1"/>
    <col min="2311" max="2311" width="11.5703125" style="148" customWidth="1"/>
    <col min="2312" max="2312" width="21.85546875" style="148" customWidth="1"/>
    <col min="2313" max="2313" width="14.5703125" style="148" customWidth="1"/>
    <col min="2314" max="2314" width="10.140625" style="148" customWidth="1"/>
    <col min="2315" max="2315" width="14.85546875" style="148" customWidth="1"/>
    <col min="2316" max="2316" width="1.42578125" style="148" customWidth="1"/>
    <col min="2317" max="2326" width="0" style="148" hidden="1" customWidth="1"/>
    <col min="2327" max="2560" width="8.7109375" style="148"/>
    <col min="2561" max="2561" width="1.85546875" style="148" customWidth="1"/>
    <col min="2562" max="2562" width="6.28515625" style="148" customWidth="1"/>
    <col min="2563" max="2563" width="55.7109375" style="148" customWidth="1"/>
    <col min="2564" max="2564" width="10.42578125" style="148" customWidth="1"/>
    <col min="2565" max="2565" width="5.5703125" style="148" customWidth="1"/>
    <col min="2566" max="2566" width="11.7109375" style="148" customWidth="1"/>
    <col min="2567" max="2567" width="11.5703125" style="148" customWidth="1"/>
    <col min="2568" max="2568" width="21.85546875" style="148" customWidth="1"/>
    <col min="2569" max="2569" width="14.5703125" style="148" customWidth="1"/>
    <col min="2570" max="2570" width="10.140625" style="148" customWidth="1"/>
    <col min="2571" max="2571" width="14.85546875" style="148" customWidth="1"/>
    <col min="2572" max="2572" width="1.42578125" style="148" customWidth="1"/>
    <col min="2573" max="2582" width="0" style="148" hidden="1" customWidth="1"/>
    <col min="2583" max="2816" width="8.7109375" style="148"/>
    <col min="2817" max="2817" width="1.85546875" style="148" customWidth="1"/>
    <col min="2818" max="2818" width="6.28515625" style="148" customWidth="1"/>
    <col min="2819" max="2819" width="55.7109375" style="148" customWidth="1"/>
    <col min="2820" max="2820" width="10.42578125" style="148" customWidth="1"/>
    <col min="2821" max="2821" width="5.5703125" style="148" customWidth="1"/>
    <col min="2822" max="2822" width="11.7109375" style="148" customWidth="1"/>
    <col min="2823" max="2823" width="11.5703125" style="148" customWidth="1"/>
    <col min="2824" max="2824" width="21.85546875" style="148" customWidth="1"/>
    <col min="2825" max="2825" width="14.5703125" style="148" customWidth="1"/>
    <col min="2826" max="2826" width="10.140625" style="148" customWidth="1"/>
    <col min="2827" max="2827" width="14.85546875" style="148" customWidth="1"/>
    <col min="2828" max="2828" width="1.42578125" style="148" customWidth="1"/>
    <col min="2829" max="2838" width="0" style="148" hidden="1" customWidth="1"/>
    <col min="2839" max="3072" width="8.7109375" style="148"/>
    <col min="3073" max="3073" width="1.85546875" style="148" customWidth="1"/>
    <col min="3074" max="3074" width="6.28515625" style="148" customWidth="1"/>
    <col min="3075" max="3075" width="55.7109375" style="148" customWidth="1"/>
    <col min="3076" max="3076" width="10.42578125" style="148" customWidth="1"/>
    <col min="3077" max="3077" width="5.5703125" style="148" customWidth="1"/>
    <col min="3078" max="3078" width="11.7109375" style="148" customWidth="1"/>
    <col min="3079" max="3079" width="11.5703125" style="148" customWidth="1"/>
    <col min="3080" max="3080" width="21.85546875" style="148" customWidth="1"/>
    <col min="3081" max="3081" width="14.5703125" style="148" customWidth="1"/>
    <col min="3082" max="3082" width="10.140625" style="148" customWidth="1"/>
    <col min="3083" max="3083" width="14.85546875" style="148" customWidth="1"/>
    <col min="3084" max="3084" width="1.42578125" style="148" customWidth="1"/>
    <col min="3085" max="3094" width="0" style="148" hidden="1" customWidth="1"/>
    <col min="3095" max="3328" width="8.7109375" style="148"/>
    <col min="3329" max="3329" width="1.85546875" style="148" customWidth="1"/>
    <col min="3330" max="3330" width="6.28515625" style="148" customWidth="1"/>
    <col min="3331" max="3331" width="55.7109375" style="148" customWidth="1"/>
    <col min="3332" max="3332" width="10.42578125" style="148" customWidth="1"/>
    <col min="3333" max="3333" width="5.5703125" style="148" customWidth="1"/>
    <col min="3334" max="3334" width="11.7109375" style="148" customWidth="1"/>
    <col min="3335" max="3335" width="11.5703125" style="148" customWidth="1"/>
    <col min="3336" max="3336" width="21.85546875" style="148" customWidth="1"/>
    <col min="3337" max="3337" width="14.5703125" style="148" customWidth="1"/>
    <col min="3338" max="3338" width="10.140625" style="148" customWidth="1"/>
    <col min="3339" max="3339" width="14.85546875" style="148" customWidth="1"/>
    <col min="3340" max="3340" width="1.42578125" style="148" customWidth="1"/>
    <col min="3341" max="3350" width="0" style="148" hidden="1" customWidth="1"/>
    <col min="3351" max="3584" width="8.7109375" style="148"/>
    <col min="3585" max="3585" width="1.85546875" style="148" customWidth="1"/>
    <col min="3586" max="3586" width="6.28515625" style="148" customWidth="1"/>
    <col min="3587" max="3587" width="55.7109375" style="148" customWidth="1"/>
    <col min="3588" max="3588" width="10.42578125" style="148" customWidth="1"/>
    <col min="3589" max="3589" width="5.5703125" style="148" customWidth="1"/>
    <col min="3590" max="3590" width="11.7109375" style="148" customWidth="1"/>
    <col min="3591" max="3591" width="11.5703125" style="148" customWidth="1"/>
    <col min="3592" max="3592" width="21.85546875" style="148" customWidth="1"/>
    <col min="3593" max="3593" width="14.5703125" style="148" customWidth="1"/>
    <col min="3594" max="3594" width="10.140625" style="148" customWidth="1"/>
    <col min="3595" max="3595" width="14.85546875" style="148" customWidth="1"/>
    <col min="3596" max="3596" width="1.42578125" style="148" customWidth="1"/>
    <col min="3597" max="3606" width="0" style="148" hidden="1" customWidth="1"/>
    <col min="3607" max="3840" width="8.7109375" style="148"/>
    <col min="3841" max="3841" width="1.85546875" style="148" customWidth="1"/>
    <col min="3842" max="3842" width="6.28515625" style="148" customWidth="1"/>
    <col min="3843" max="3843" width="55.7109375" style="148" customWidth="1"/>
    <col min="3844" max="3844" width="10.42578125" style="148" customWidth="1"/>
    <col min="3845" max="3845" width="5.5703125" style="148" customWidth="1"/>
    <col min="3846" max="3846" width="11.7109375" style="148" customWidth="1"/>
    <col min="3847" max="3847" width="11.5703125" style="148" customWidth="1"/>
    <col min="3848" max="3848" width="21.85546875" style="148" customWidth="1"/>
    <col min="3849" max="3849" width="14.5703125" style="148" customWidth="1"/>
    <col min="3850" max="3850" width="10.140625" style="148" customWidth="1"/>
    <col min="3851" max="3851" width="14.85546875" style="148" customWidth="1"/>
    <col min="3852" max="3852" width="1.42578125" style="148" customWidth="1"/>
    <col min="3853" max="3862" width="0" style="148" hidden="1" customWidth="1"/>
    <col min="3863" max="4096" width="8.7109375" style="148"/>
    <col min="4097" max="4097" width="1.85546875" style="148" customWidth="1"/>
    <col min="4098" max="4098" width="6.28515625" style="148" customWidth="1"/>
    <col min="4099" max="4099" width="55.7109375" style="148" customWidth="1"/>
    <col min="4100" max="4100" width="10.42578125" style="148" customWidth="1"/>
    <col min="4101" max="4101" width="5.5703125" style="148" customWidth="1"/>
    <col min="4102" max="4102" width="11.7109375" style="148" customWidth="1"/>
    <col min="4103" max="4103" width="11.5703125" style="148" customWidth="1"/>
    <col min="4104" max="4104" width="21.85546875" style="148" customWidth="1"/>
    <col min="4105" max="4105" width="14.5703125" style="148" customWidth="1"/>
    <col min="4106" max="4106" width="10.140625" style="148" customWidth="1"/>
    <col min="4107" max="4107" width="14.85546875" style="148" customWidth="1"/>
    <col min="4108" max="4108" width="1.42578125" style="148" customWidth="1"/>
    <col min="4109" max="4118" width="0" style="148" hidden="1" customWidth="1"/>
    <col min="4119" max="4352" width="8.7109375" style="148"/>
    <col min="4353" max="4353" width="1.85546875" style="148" customWidth="1"/>
    <col min="4354" max="4354" width="6.28515625" style="148" customWidth="1"/>
    <col min="4355" max="4355" width="55.7109375" style="148" customWidth="1"/>
    <col min="4356" max="4356" width="10.42578125" style="148" customWidth="1"/>
    <col min="4357" max="4357" width="5.5703125" style="148" customWidth="1"/>
    <col min="4358" max="4358" width="11.7109375" style="148" customWidth="1"/>
    <col min="4359" max="4359" width="11.5703125" style="148" customWidth="1"/>
    <col min="4360" max="4360" width="21.85546875" style="148" customWidth="1"/>
    <col min="4361" max="4361" width="14.5703125" style="148" customWidth="1"/>
    <col min="4362" max="4362" width="10.140625" style="148" customWidth="1"/>
    <col min="4363" max="4363" width="14.85546875" style="148" customWidth="1"/>
    <col min="4364" max="4364" width="1.42578125" style="148" customWidth="1"/>
    <col min="4365" max="4374" width="0" style="148" hidden="1" customWidth="1"/>
    <col min="4375" max="4608" width="8.7109375" style="148"/>
    <col min="4609" max="4609" width="1.85546875" style="148" customWidth="1"/>
    <col min="4610" max="4610" width="6.28515625" style="148" customWidth="1"/>
    <col min="4611" max="4611" width="55.7109375" style="148" customWidth="1"/>
    <col min="4612" max="4612" width="10.42578125" style="148" customWidth="1"/>
    <col min="4613" max="4613" width="5.5703125" style="148" customWidth="1"/>
    <col min="4614" max="4614" width="11.7109375" style="148" customWidth="1"/>
    <col min="4615" max="4615" width="11.5703125" style="148" customWidth="1"/>
    <col min="4616" max="4616" width="21.85546875" style="148" customWidth="1"/>
    <col min="4617" max="4617" width="14.5703125" style="148" customWidth="1"/>
    <col min="4618" max="4618" width="10.140625" style="148" customWidth="1"/>
    <col min="4619" max="4619" width="14.85546875" style="148" customWidth="1"/>
    <col min="4620" max="4620" width="1.42578125" style="148" customWidth="1"/>
    <col min="4621" max="4630" width="0" style="148" hidden="1" customWidth="1"/>
    <col min="4631" max="4864" width="8.7109375" style="148"/>
    <col min="4865" max="4865" width="1.85546875" style="148" customWidth="1"/>
    <col min="4866" max="4866" width="6.28515625" style="148" customWidth="1"/>
    <col min="4867" max="4867" width="55.7109375" style="148" customWidth="1"/>
    <col min="4868" max="4868" width="10.42578125" style="148" customWidth="1"/>
    <col min="4869" max="4869" width="5.5703125" style="148" customWidth="1"/>
    <col min="4870" max="4870" width="11.7109375" style="148" customWidth="1"/>
    <col min="4871" max="4871" width="11.5703125" style="148" customWidth="1"/>
    <col min="4872" max="4872" width="21.85546875" style="148" customWidth="1"/>
    <col min="4873" max="4873" width="14.5703125" style="148" customWidth="1"/>
    <col min="4874" max="4874" width="10.140625" style="148" customWidth="1"/>
    <col min="4875" max="4875" width="14.85546875" style="148" customWidth="1"/>
    <col min="4876" max="4876" width="1.42578125" style="148" customWidth="1"/>
    <col min="4877" max="4886" width="0" style="148" hidden="1" customWidth="1"/>
    <col min="4887" max="5120" width="8.7109375" style="148"/>
    <col min="5121" max="5121" width="1.85546875" style="148" customWidth="1"/>
    <col min="5122" max="5122" width="6.28515625" style="148" customWidth="1"/>
    <col min="5123" max="5123" width="55.7109375" style="148" customWidth="1"/>
    <col min="5124" max="5124" width="10.42578125" style="148" customWidth="1"/>
    <col min="5125" max="5125" width="5.5703125" style="148" customWidth="1"/>
    <col min="5126" max="5126" width="11.7109375" style="148" customWidth="1"/>
    <col min="5127" max="5127" width="11.5703125" style="148" customWidth="1"/>
    <col min="5128" max="5128" width="21.85546875" style="148" customWidth="1"/>
    <col min="5129" max="5129" width="14.5703125" style="148" customWidth="1"/>
    <col min="5130" max="5130" width="10.140625" style="148" customWidth="1"/>
    <col min="5131" max="5131" width="14.85546875" style="148" customWidth="1"/>
    <col min="5132" max="5132" width="1.42578125" style="148" customWidth="1"/>
    <col min="5133" max="5142" width="0" style="148" hidden="1" customWidth="1"/>
    <col min="5143" max="5376" width="8.7109375" style="148"/>
    <col min="5377" max="5377" width="1.85546875" style="148" customWidth="1"/>
    <col min="5378" max="5378" width="6.28515625" style="148" customWidth="1"/>
    <col min="5379" max="5379" width="55.7109375" style="148" customWidth="1"/>
    <col min="5380" max="5380" width="10.42578125" style="148" customWidth="1"/>
    <col min="5381" max="5381" width="5.5703125" style="148" customWidth="1"/>
    <col min="5382" max="5382" width="11.7109375" style="148" customWidth="1"/>
    <col min="5383" max="5383" width="11.5703125" style="148" customWidth="1"/>
    <col min="5384" max="5384" width="21.85546875" style="148" customWidth="1"/>
    <col min="5385" max="5385" width="14.5703125" style="148" customWidth="1"/>
    <col min="5386" max="5386" width="10.140625" style="148" customWidth="1"/>
    <col min="5387" max="5387" width="14.85546875" style="148" customWidth="1"/>
    <col min="5388" max="5388" width="1.42578125" style="148" customWidth="1"/>
    <col min="5389" max="5398" width="0" style="148" hidden="1" customWidth="1"/>
    <col min="5399" max="5632" width="8.7109375" style="148"/>
    <col min="5633" max="5633" width="1.85546875" style="148" customWidth="1"/>
    <col min="5634" max="5634" width="6.28515625" style="148" customWidth="1"/>
    <col min="5635" max="5635" width="55.7109375" style="148" customWidth="1"/>
    <col min="5636" max="5636" width="10.42578125" style="148" customWidth="1"/>
    <col min="5637" max="5637" width="5.5703125" style="148" customWidth="1"/>
    <col min="5638" max="5638" width="11.7109375" style="148" customWidth="1"/>
    <col min="5639" max="5639" width="11.5703125" style="148" customWidth="1"/>
    <col min="5640" max="5640" width="21.85546875" style="148" customWidth="1"/>
    <col min="5641" max="5641" width="14.5703125" style="148" customWidth="1"/>
    <col min="5642" max="5642" width="10.140625" style="148" customWidth="1"/>
    <col min="5643" max="5643" width="14.85546875" style="148" customWidth="1"/>
    <col min="5644" max="5644" width="1.42578125" style="148" customWidth="1"/>
    <col min="5645" max="5654" width="0" style="148" hidden="1" customWidth="1"/>
    <col min="5655" max="5888" width="8.7109375" style="148"/>
    <col min="5889" max="5889" width="1.85546875" style="148" customWidth="1"/>
    <col min="5890" max="5890" width="6.28515625" style="148" customWidth="1"/>
    <col min="5891" max="5891" width="55.7109375" style="148" customWidth="1"/>
    <col min="5892" max="5892" width="10.42578125" style="148" customWidth="1"/>
    <col min="5893" max="5893" width="5.5703125" style="148" customWidth="1"/>
    <col min="5894" max="5894" width="11.7109375" style="148" customWidth="1"/>
    <col min="5895" max="5895" width="11.5703125" style="148" customWidth="1"/>
    <col min="5896" max="5896" width="21.85546875" style="148" customWidth="1"/>
    <col min="5897" max="5897" width="14.5703125" style="148" customWidth="1"/>
    <col min="5898" max="5898" width="10.140625" style="148" customWidth="1"/>
    <col min="5899" max="5899" width="14.85546875" style="148" customWidth="1"/>
    <col min="5900" max="5900" width="1.42578125" style="148" customWidth="1"/>
    <col min="5901" max="5910" width="0" style="148" hidden="1" customWidth="1"/>
    <col min="5911" max="6144" width="8.7109375" style="148"/>
    <col min="6145" max="6145" width="1.85546875" style="148" customWidth="1"/>
    <col min="6146" max="6146" width="6.28515625" style="148" customWidth="1"/>
    <col min="6147" max="6147" width="55.7109375" style="148" customWidth="1"/>
    <col min="6148" max="6148" width="10.42578125" style="148" customWidth="1"/>
    <col min="6149" max="6149" width="5.5703125" style="148" customWidth="1"/>
    <col min="6150" max="6150" width="11.7109375" style="148" customWidth="1"/>
    <col min="6151" max="6151" width="11.5703125" style="148" customWidth="1"/>
    <col min="6152" max="6152" width="21.85546875" style="148" customWidth="1"/>
    <col min="6153" max="6153" width="14.5703125" style="148" customWidth="1"/>
    <col min="6154" max="6154" width="10.140625" style="148" customWidth="1"/>
    <col min="6155" max="6155" width="14.85546875" style="148" customWidth="1"/>
    <col min="6156" max="6156" width="1.42578125" style="148" customWidth="1"/>
    <col min="6157" max="6166" width="0" style="148" hidden="1" customWidth="1"/>
    <col min="6167" max="6400" width="8.7109375" style="148"/>
    <col min="6401" max="6401" width="1.85546875" style="148" customWidth="1"/>
    <col min="6402" max="6402" width="6.28515625" style="148" customWidth="1"/>
    <col min="6403" max="6403" width="55.7109375" style="148" customWidth="1"/>
    <col min="6404" max="6404" width="10.42578125" style="148" customWidth="1"/>
    <col min="6405" max="6405" width="5.5703125" style="148" customWidth="1"/>
    <col min="6406" max="6406" width="11.7109375" style="148" customWidth="1"/>
    <col min="6407" max="6407" width="11.5703125" style="148" customWidth="1"/>
    <col min="6408" max="6408" width="21.85546875" style="148" customWidth="1"/>
    <col min="6409" max="6409" width="14.5703125" style="148" customWidth="1"/>
    <col min="6410" max="6410" width="10.140625" style="148" customWidth="1"/>
    <col min="6411" max="6411" width="14.85546875" style="148" customWidth="1"/>
    <col min="6412" max="6412" width="1.42578125" style="148" customWidth="1"/>
    <col min="6413" max="6422" width="0" style="148" hidden="1" customWidth="1"/>
    <col min="6423" max="6656" width="8.7109375" style="148"/>
    <col min="6657" max="6657" width="1.85546875" style="148" customWidth="1"/>
    <col min="6658" max="6658" width="6.28515625" style="148" customWidth="1"/>
    <col min="6659" max="6659" width="55.7109375" style="148" customWidth="1"/>
    <col min="6660" max="6660" width="10.42578125" style="148" customWidth="1"/>
    <col min="6661" max="6661" width="5.5703125" style="148" customWidth="1"/>
    <col min="6662" max="6662" width="11.7109375" style="148" customWidth="1"/>
    <col min="6663" max="6663" width="11.5703125" style="148" customWidth="1"/>
    <col min="6664" max="6664" width="21.85546875" style="148" customWidth="1"/>
    <col min="6665" max="6665" width="14.5703125" style="148" customWidth="1"/>
    <col min="6666" max="6666" width="10.140625" style="148" customWidth="1"/>
    <col min="6667" max="6667" width="14.85546875" style="148" customWidth="1"/>
    <col min="6668" max="6668" width="1.42578125" style="148" customWidth="1"/>
    <col min="6669" max="6678" width="0" style="148" hidden="1" customWidth="1"/>
    <col min="6679" max="6912" width="8.7109375" style="148"/>
    <col min="6913" max="6913" width="1.85546875" style="148" customWidth="1"/>
    <col min="6914" max="6914" width="6.28515625" style="148" customWidth="1"/>
    <col min="6915" max="6915" width="55.7109375" style="148" customWidth="1"/>
    <col min="6916" max="6916" width="10.42578125" style="148" customWidth="1"/>
    <col min="6917" max="6917" width="5.5703125" style="148" customWidth="1"/>
    <col min="6918" max="6918" width="11.7109375" style="148" customWidth="1"/>
    <col min="6919" max="6919" width="11.5703125" style="148" customWidth="1"/>
    <col min="6920" max="6920" width="21.85546875" style="148" customWidth="1"/>
    <col min="6921" max="6921" width="14.5703125" style="148" customWidth="1"/>
    <col min="6922" max="6922" width="10.140625" style="148" customWidth="1"/>
    <col min="6923" max="6923" width="14.85546875" style="148" customWidth="1"/>
    <col min="6924" max="6924" width="1.42578125" style="148" customWidth="1"/>
    <col min="6925" max="6934" width="0" style="148" hidden="1" customWidth="1"/>
    <col min="6935" max="7168" width="8.7109375" style="148"/>
    <col min="7169" max="7169" width="1.85546875" style="148" customWidth="1"/>
    <col min="7170" max="7170" width="6.28515625" style="148" customWidth="1"/>
    <col min="7171" max="7171" width="55.7109375" style="148" customWidth="1"/>
    <col min="7172" max="7172" width="10.42578125" style="148" customWidth="1"/>
    <col min="7173" max="7173" width="5.5703125" style="148" customWidth="1"/>
    <col min="7174" max="7174" width="11.7109375" style="148" customWidth="1"/>
    <col min="7175" max="7175" width="11.5703125" style="148" customWidth="1"/>
    <col min="7176" max="7176" width="21.85546875" style="148" customWidth="1"/>
    <col min="7177" max="7177" width="14.5703125" style="148" customWidth="1"/>
    <col min="7178" max="7178" width="10.140625" style="148" customWidth="1"/>
    <col min="7179" max="7179" width="14.85546875" style="148" customWidth="1"/>
    <col min="7180" max="7180" width="1.42578125" style="148" customWidth="1"/>
    <col min="7181" max="7190" width="0" style="148" hidden="1" customWidth="1"/>
    <col min="7191" max="7424" width="8.7109375" style="148"/>
    <col min="7425" max="7425" width="1.85546875" style="148" customWidth="1"/>
    <col min="7426" max="7426" width="6.28515625" style="148" customWidth="1"/>
    <col min="7427" max="7427" width="55.7109375" style="148" customWidth="1"/>
    <col min="7428" max="7428" width="10.42578125" style="148" customWidth="1"/>
    <col min="7429" max="7429" width="5.5703125" style="148" customWidth="1"/>
    <col min="7430" max="7430" width="11.7109375" style="148" customWidth="1"/>
    <col min="7431" max="7431" width="11.5703125" style="148" customWidth="1"/>
    <col min="7432" max="7432" width="21.85546875" style="148" customWidth="1"/>
    <col min="7433" max="7433" width="14.5703125" style="148" customWidth="1"/>
    <col min="7434" max="7434" width="10.140625" style="148" customWidth="1"/>
    <col min="7435" max="7435" width="14.85546875" style="148" customWidth="1"/>
    <col min="7436" max="7436" width="1.42578125" style="148" customWidth="1"/>
    <col min="7437" max="7446" width="0" style="148" hidden="1" customWidth="1"/>
    <col min="7447" max="7680" width="8.7109375" style="148"/>
    <col min="7681" max="7681" width="1.85546875" style="148" customWidth="1"/>
    <col min="7682" max="7682" width="6.28515625" style="148" customWidth="1"/>
    <col min="7683" max="7683" width="55.7109375" style="148" customWidth="1"/>
    <col min="7684" max="7684" width="10.42578125" style="148" customWidth="1"/>
    <col min="7685" max="7685" width="5.5703125" style="148" customWidth="1"/>
    <col min="7686" max="7686" width="11.7109375" style="148" customWidth="1"/>
    <col min="7687" max="7687" width="11.5703125" style="148" customWidth="1"/>
    <col min="7688" max="7688" width="21.85546875" style="148" customWidth="1"/>
    <col min="7689" max="7689" width="14.5703125" style="148" customWidth="1"/>
    <col min="7690" max="7690" width="10.140625" style="148" customWidth="1"/>
    <col min="7691" max="7691" width="14.85546875" style="148" customWidth="1"/>
    <col min="7692" max="7692" width="1.42578125" style="148" customWidth="1"/>
    <col min="7693" max="7702" width="0" style="148" hidden="1" customWidth="1"/>
    <col min="7703" max="7936" width="8.7109375" style="148"/>
    <col min="7937" max="7937" width="1.85546875" style="148" customWidth="1"/>
    <col min="7938" max="7938" width="6.28515625" style="148" customWidth="1"/>
    <col min="7939" max="7939" width="55.7109375" style="148" customWidth="1"/>
    <col min="7940" max="7940" width="10.42578125" style="148" customWidth="1"/>
    <col min="7941" max="7941" width="5.5703125" style="148" customWidth="1"/>
    <col min="7942" max="7942" width="11.7109375" style="148" customWidth="1"/>
    <col min="7943" max="7943" width="11.5703125" style="148" customWidth="1"/>
    <col min="7944" max="7944" width="21.85546875" style="148" customWidth="1"/>
    <col min="7945" max="7945" width="14.5703125" style="148" customWidth="1"/>
    <col min="7946" max="7946" width="10.140625" style="148" customWidth="1"/>
    <col min="7947" max="7947" width="14.85546875" style="148" customWidth="1"/>
    <col min="7948" max="7948" width="1.42578125" style="148" customWidth="1"/>
    <col min="7949" max="7958" width="0" style="148" hidden="1" customWidth="1"/>
    <col min="7959" max="8192" width="8.7109375" style="148"/>
    <col min="8193" max="8193" width="1.85546875" style="148" customWidth="1"/>
    <col min="8194" max="8194" width="6.28515625" style="148" customWidth="1"/>
    <col min="8195" max="8195" width="55.7109375" style="148" customWidth="1"/>
    <col min="8196" max="8196" width="10.42578125" style="148" customWidth="1"/>
    <col min="8197" max="8197" width="5.5703125" style="148" customWidth="1"/>
    <col min="8198" max="8198" width="11.7109375" style="148" customWidth="1"/>
    <col min="8199" max="8199" width="11.5703125" style="148" customWidth="1"/>
    <col min="8200" max="8200" width="21.85546875" style="148" customWidth="1"/>
    <col min="8201" max="8201" width="14.5703125" style="148" customWidth="1"/>
    <col min="8202" max="8202" width="10.140625" style="148" customWidth="1"/>
    <col min="8203" max="8203" width="14.85546875" style="148" customWidth="1"/>
    <col min="8204" max="8204" width="1.42578125" style="148" customWidth="1"/>
    <col min="8205" max="8214" width="0" style="148" hidden="1" customWidth="1"/>
    <col min="8215" max="8448" width="8.7109375" style="148"/>
    <col min="8449" max="8449" width="1.85546875" style="148" customWidth="1"/>
    <col min="8450" max="8450" width="6.28515625" style="148" customWidth="1"/>
    <col min="8451" max="8451" width="55.7109375" style="148" customWidth="1"/>
    <col min="8452" max="8452" width="10.42578125" style="148" customWidth="1"/>
    <col min="8453" max="8453" width="5.5703125" style="148" customWidth="1"/>
    <col min="8454" max="8454" width="11.7109375" style="148" customWidth="1"/>
    <col min="8455" max="8455" width="11.5703125" style="148" customWidth="1"/>
    <col min="8456" max="8456" width="21.85546875" style="148" customWidth="1"/>
    <col min="8457" max="8457" width="14.5703125" style="148" customWidth="1"/>
    <col min="8458" max="8458" width="10.140625" style="148" customWidth="1"/>
    <col min="8459" max="8459" width="14.85546875" style="148" customWidth="1"/>
    <col min="8460" max="8460" width="1.42578125" style="148" customWidth="1"/>
    <col min="8461" max="8470" width="0" style="148" hidden="1" customWidth="1"/>
    <col min="8471" max="8704" width="8.7109375" style="148"/>
    <col min="8705" max="8705" width="1.85546875" style="148" customWidth="1"/>
    <col min="8706" max="8706" width="6.28515625" style="148" customWidth="1"/>
    <col min="8707" max="8707" width="55.7109375" style="148" customWidth="1"/>
    <col min="8708" max="8708" width="10.42578125" style="148" customWidth="1"/>
    <col min="8709" max="8709" width="5.5703125" style="148" customWidth="1"/>
    <col min="8710" max="8710" width="11.7109375" style="148" customWidth="1"/>
    <col min="8711" max="8711" width="11.5703125" style="148" customWidth="1"/>
    <col min="8712" max="8712" width="21.85546875" style="148" customWidth="1"/>
    <col min="8713" max="8713" width="14.5703125" style="148" customWidth="1"/>
    <col min="8714" max="8714" width="10.140625" style="148" customWidth="1"/>
    <col min="8715" max="8715" width="14.85546875" style="148" customWidth="1"/>
    <col min="8716" max="8716" width="1.42578125" style="148" customWidth="1"/>
    <col min="8717" max="8726" width="0" style="148" hidden="1" customWidth="1"/>
    <col min="8727" max="8960" width="8.7109375" style="148"/>
    <col min="8961" max="8961" width="1.85546875" style="148" customWidth="1"/>
    <col min="8962" max="8962" width="6.28515625" style="148" customWidth="1"/>
    <col min="8963" max="8963" width="55.7109375" style="148" customWidth="1"/>
    <col min="8964" max="8964" width="10.42578125" style="148" customWidth="1"/>
    <col min="8965" max="8965" width="5.5703125" style="148" customWidth="1"/>
    <col min="8966" max="8966" width="11.7109375" style="148" customWidth="1"/>
    <col min="8967" max="8967" width="11.5703125" style="148" customWidth="1"/>
    <col min="8968" max="8968" width="21.85546875" style="148" customWidth="1"/>
    <col min="8969" max="8969" width="14.5703125" style="148" customWidth="1"/>
    <col min="8970" max="8970" width="10.140625" style="148" customWidth="1"/>
    <col min="8971" max="8971" width="14.85546875" style="148" customWidth="1"/>
    <col min="8972" max="8972" width="1.42578125" style="148" customWidth="1"/>
    <col min="8973" max="8982" width="0" style="148" hidden="1" customWidth="1"/>
    <col min="8983" max="9216" width="8.7109375" style="148"/>
    <col min="9217" max="9217" width="1.85546875" style="148" customWidth="1"/>
    <col min="9218" max="9218" width="6.28515625" style="148" customWidth="1"/>
    <col min="9219" max="9219" width="55.7109375" style="148" customWidth="1"/>
    <col min="9220" max="9220" width="10.42578125" style="148" customWidth="1"/>
    <col min="9221" max="9221" width="5.5703125" style="148" customWidth="1"/>
    <col min="9222" max="9222" width="11.7109375" style="148" customWidth="1"/>
    <col min="9223" max="9223" width="11.5703125" style="148" customWidth="1"/>
    <col min="9224" max="9224" width="21.85546875" style="148" customWidth="1"/>
    <col min="9225" max="9225" width="14.5703125" style="148" customWidth="1"/>
    <col min="9226" max="9226" width="10.140625" style="148" customWidth="1"/>
    <col min="9227" max="9227" width="14.85546875" style="148" customWidth="1"/>
    <col min="9228" max="9228" width="1.42578125" style="148" customWidth="1"/>
    <col min="9229" max="9238" width="0" style="148" hidden="1" customWidth="1"/>
    <col min="9239" max="9472" width="8.7109375" style="148"/>
    <col min="9473" max="9473" width="1.85546875" style="148" customWidth="1"/>
    <col min="9474" max="9474" width="6.28515625" style="148" customWidth="1"/>
    <col min="9475" max="9475" width="55.7109375" style="148" customWidth="1"/>
    <col min="9476" max="9476" width="10.42578125" style="148" customWidth="1"/>
    <col min="9477" max="9477" width="5.5703125" style="148" customWidth="1"/>
    <col min="9478" max="9478" width="11.7109375" style="148" customWidth="1"/>
    <col min="9479" max="9479" width="11.5703125" style="148" customWidth="1"/>
    <col min="9480" max="9480" width="21.85546875" style="148" customWidth="1"/>
    <col min="9481" max="9481" width="14.5703125" style="148" customWidth="1"/>
    <col min="9482" max="9482" width="10.140625" style="148" customWidth="1"/>
    <col min="9483" max="9483" width="14.85546875" style="148" customWidth="1"/>
    <col min="9484" max="9484" width="1.42578125" style="148" customWidth="1"/>
    <col min="9485" max="9494" width="0" style="148" hidden="1" customWidth="1"/>
    <col min="9495" max="9728" width="8.7109375" style="148"/>
    <col min="9729" max="9729" width="1.85546875" style="148" customWidth="1"/>
    <col min="9730" max="9730" width="6.28515625" style="148" customWidth="1"/>
    <col min="9731" max="9731" width="55.7109375" style="148" customWidth="1"/>
    <col min="9732" max="9732" width="10.42578125" style="148" customWidth="1"/>
    <col min="9733" max="9733" width="5.5703125" style="148" customWidth="1"/>
    <col min="9734" max="9734" width="11.7109375" style="148" customWidth="1"/>
    <col min="9735" max="9735" width="11.5703125" style="148" customWidth="1"/>
    <col min="9736" max="9736" width="21.85546875" style="148" customWidth="1"/>
    <col min="9737" max="9737" width="14.5703125" style="148" customWidth="1"/>
    <col min="9738" max="9738" width="10.140625" style="148" customWidth="1"/>
    <col min="9739" max="9739" width="14.85546875" style="148" customWidth="1"/>
    <col min="9740" max="9740" width="1.42578125" style="148" customWidth="1"/>
    <col min="9741" max="9750" width="0" style="148" hidden="1" customWidth="1"/>
    <col min="9751" max="9984" width="8.7109375" style="148"/>
    <col min="9985" max="9985" width="1.85546875" style="148" customWidth="1"/>
    <col min="9986" max="9986" width="6.28515625" style="148" customWidth="1"/>
    <col min="9987" max="9987" width="55.7109375" style="148" customWidth="1"/>
    <col min="9988" max="9988" width="10.42578125" style="148" customWidth="1"/>
    <col min="9989" max="9989" width="5.5703125" style="148" customWidth="1"/>
    <col min="9990" max="9990" width="11.7109375" style="148" customWidth="1"/>
    <col min="9991" max="9991" width="11.5703125" style="148" customWidth="1"/>
    <col min="9992" max="9992" width="21.85546875" style="148" customWidth="1"/>
    <col min="9993" max="9993" width="14.5703125" style="148" customWidth="1"/>
    <col min="9994" max="9994" width="10.140625" style="148" customWidth="1"/>
    <col min="9995" max="9995" width="14.85546875" style="148" customWidth="1"/>
    <col min="9996" max="9996" width="1.42578125" style="148" customWidth="1"/>
    <col min="9997" max="10006" width="0" style="148" hidden="1" customWidth="1"/>
    <col min="10007" max="10240" width="8.7109375" style="148"/>
    <col min="10241" max="10241" width="1.85546875" style="148" customWidth="1"/>
    <col min="10242" max="10242" width="6.28515625" style="148" customWidth="1"/>
    <col min="10243" max="10243" width="55.7109375" style="148" customWidth="1"/>
    <col min="10244" max="10244" width="10.42578125" style="148" customWidth="1"/>
    <col min="10245" max="10245" width="5.5703125" style="148" customWidth="1"/>
    <col min="10246" max="10246" width="11.7109375" style="148" customWidth="1"/>
    <col min="10247" max="10247" width="11.5703125" style="148" customWidth="1"/>
    <col min="10248" max="10248" width="21.85546875" style="148" customWidth="1"/>
    <col min="10249" max="10249" width="14.5703125" style="148" customWidth="1"/>
    <col min="10250" max="10250" width="10.140625" style="148" customWidth="1"/>
    <col min="10251" max="10251" width="14.85546875" style="148" customWidth="1"/>
    <col min="10252" max="10252" width="1.42578125" style="148" customWidth="1"/>
    <col min="10253" max="10262" width="0" style="148" hidden="1" customWidth="1"/>
    <col min="10263" max="10496" width="8.7109375" style="148"/>
    <col min="10497" max="10497" width="1.85546875" style="148" customWidth="1"/>
    <col min="10498" max="10498" width="6.28515625" style="148" customWidth="1"/>
    <col min="10499" max="10499" width="55.7109375" style="148" customWidth="1"/>
    <col min="10500" max="10500" width="10.42578125" style="148" customWidth="1"/>
    <col min="10501" max="10501" width="5.5703125" style="148" customWidth="1"/>
    <col min="10502" max="10502" width="11.7109375" style="148" customWidth="1"/>
    <col min="10503" max="10503" width="11.5703125" style="148" customWidth="1"/>
    <col min="10504" max="10504" width="21.85546875" style="148" customWidth="1"/>
    <col min="10505" max="10505" width="14.5703125" style="148" customWidth="1"/>
    <col min="10506" max="10506" width="10.140625" style="148" customWidth="1"/>
    <col min="10507" max="10507" width="14.85546875" style="148" customWidth="1"/>
    <col min="10508" max="10508" width="1.42578125" style="148" customWidth="1"/>
    <col min="10509" max="10518" width="0" style="148" hidden="1" customWidth="1"/>
    <col min="10519" max="10752" width="8.7109375" style="148"/>
    <col min="10753" max="10753" width="1.85546875" style="148" customWidth="1"/>
    <col min="10754" max="10754" width="6.28515625" style="148" customWidth="1"/>
    <col min="10755" max="10755" width="55.7109375" style="148" customWidth="1"/>
    <col min="10756" max="10756" width="10.42578125" style="148" customWidth="1"/>
    <col min="10757" max="10757" width="5.5703125" style="148" customWidth="1"/>
    <col min="10758" max="10758" width="11.7109375" style="148" customWidth="1"/>
    <col min="10759" max="10759" width="11.5703125" style="148" customWidth="1"/>
    <col min="10760" max="10760" width="21.85546875" style="148" customWidth="1"/>
    <col min="10761" max="10761" width="14.5703125" style="148" customWidth="1"/>
    <col min="10762" max="10762" width="10.140625" style="148" customWidth="1"/>
    <col min="10763" max="10763" width="14.85546875" style="148" customWidth="1"/>
    <col min="10764" max="10764" width="1.42578125" style="148" customWidth="1"/>
    <col min="10765" max="10774" width="0" style="148" hidden="1" customWidth="1"/>
    <col min="10775" max="11008" width="8.7109375" style="148"/>
    <col min="11009" max="11009" width="1.85546875" style="148" customWidth="1"/>
    <col min="11010" max="11010" width="6.28515625" style="148" customWidth="1"/>
    <col min="11011" max="11011" width="55.7109375" style="148" customWidth="1"/>
    <col min="11012" max="11012" width="10.42578125" style="148" customWidth="1"/>
    <col min="11013" max="11013" width="5.5703125" style="148" customWidth="1"/>
    <col min="11014" max="11014" width="11.7109375" style="148" customWidth="1"/>
    <col min="11015" max="11015" width="11.5703125" style="148" customWidth="1"/>
    <col min="11016" max="11016" width="21.85546875" style="148" customWidth="1"/>
    <col min="11017" max="11017" width="14.5703125" style="148" customWidth="1"/>
    <col min="11018" max="11018" width="10.140625" style="148" customWidth="1"/>
    <col min="11019" max="11019" width="14.85546875" style="148" customWidth="1"/>
    <col min="11020" max="11020" width="1.42578125" style="148" customWidth="1"/>
    <col min="11021" max="11030" width="0" style="148" hidden="1" customWidth="1"/>
    <col min="11031" max="11264" width="8.7109375" style="148"/>
    <col min="11265" max="11265" width="1.85546875" style="148" customWidth="1"/>
    <col min="11266" max="11266" width="6.28515625" style="148" customWidth="1"/>
    <col min="11267" max="11267" width="55.7109375" style="148" customWidth="1"/>
    <col min="11268" max="11268" width="10.42578125" style="148" customWidth="1"/>
    <col min="11269" max="11269" width="5.5703125" style="148" customWidth="1"/>
    <col min="11270" max="11270" width="11.7109375" style="148" customWidth="1"/>
    <col min="11271" max="11271" width="11.5703125" style="148" customWidth="1"/>
    <col min="11272" max="11272" width="21.85546875" style="148" customWidth="1"/>
    <col min="11273" max="11273" width="14.5703125" style="148" customWidth="1"/>
    <col min="11274" max="11274" width="10.140625" style="148" customWidth="1"/>
    <col min="11275" max="11275" width="14.85546875" style="148" customWidth="1"/>
    <col min="11276" max="11276" width="1.42578125" style="148" customWidth="1"/>
    <col min="11277" max="11286" width="0" style="148" hidden="1" customWidth="1"/>
    <col min="11287" max="11520" width="8.7109375" style="148"/>
    <col min="11521" max="11521" width="1.85546875" style="148" customWidth="1"/>
    <col min="11522" max="11522" width="6.28515625" style="148" customWidth="1"/>
    <col min="11523" max="11523" width="55.7109375" style="148" customWidth="1"/>
    <col min="11524" max="11524" width="10.42578125" style="148" customWidth="1"/>
    <col min="11525" max="11525" width="5.5703125" style="148" customWidth="1"/>
    <col min="11526" max="11526" width="11.7109375" style="148" customWidth="1"/>
    <col min="11527" max="11527" width="11.5703125" style="148" customWidth="1"/>
    <col min="11528" max="11528" width="21.85546875" style="148" customWidth="1"/>
    <col min="11529" max="11529" width="14.5703125" style="148" customWidth="1"/>
    <col min="11530" max="11530" width="10.140625" style="148" customWidth="1"/>
    <col min="11531" max="11531" width="14.85546875" style="148" customWidth="1"/>
    <col min="11532" max="11532" width="1.42578125" style="148" customWidth="1"/>
    <col min="11533" max="11542" width="0" style="148" hidden="1" customWidth="1"/>
    <col min="11543" max="11776" width="8.7109375" style="148"/>
    <col min="11777" max="11777" width="1.85546875" style="148" customWidth="1"/>
    <col min="11778" max="11778" width="6.28515625" style="148" customWidth="1"/>
    <col min="11779" max="11779" width="55.7109375" style="148" customWidth="1"/>
    <col min="11780" max="11780" width="10.42578125" style="148" customWidth="1"/>
    <col min="11781" max="11781" width="5.5703125" style="148" customWidth="1"/>
    <col min="11782" max="11782" width="11.7109375" style="148" customWidth="1"/>
    <col min="11783" max="11783" width="11.5703125" style="148" customWidth="1"/>
    <col min="11784" max="11784" width="21.85546875" style="148" customWidth="1"/>
    <col min="11785" max="11785" width="14.5703125" style="148" customWidth="1"/>
    <col min="11786" max="11786" width="10.140625" style="148" customWidth="1"/>
    <col min="11787" max="11787" width="14.85546875" style="148" customWidth="1"/>
    <col min="11788" max="11788" width="1.42578125" style="148" customWidth="1"/>
    <col min="11789" max="11798" width="0" style="148" hidden="1" customWidth="1"/>
    <col min="11799" max="12032" width="8.7109375" style="148"/>
    <col min="12033" max="12033" width="1.85546875" style="148" customWidth="1"/>
    <col min="12034" max="12034" width="6.28515625" style="148" customWidth="1"/>
    <col min="12035" max="12035" width="55.7109375" style="148" customWidth="1"/>
    <col min="12036" max="12036" width="10.42578125" style="148" customWidth="1"/>
    <col min="12037" max="12037" width="5.5703125" style="148" customWidth="1"/>
    <col min="12038" max="12038" width="11.7109375" style="148" customWidth="1"/>
    <col min="12039" max="12039" width="11.5703125" style="148" customWidth="1"/>
    <col min="12040" max="12040" width="21.85546875" style="148" customWidth="1"/>
    <col min="12041" max="12041" width="14.5703125" style="148" customWidth="1"/>
    <col min="12042" max="12042" width="10.140625" style="148" customWidth="1"/>
    <col min="12043" max="12043" width="14.85546875" style="148" customWidth="1"/>
    <col min="12044" max="12044" width="1.42578125" style="148" customWidth="1"/>
    <col min="12045" max="12054" width="0" style="148" hidden="1" customWidth="1"/>
    <col min="12055" max="12288" width="8.7109375" style="148"/>
    <col min="12289" max="12289" width="1.85546875" style="148" customWidth="1"/>
    <col min="12290" max="12290" width="6.28515625" style="148" customWidth="1"/>
    <col min="12291" max="12291" width="55.7109375" style="148" customWidth="1"/>
    <col min="12292" max="12292" width="10.42578125" style="148" customWidth="1"/>
    <col min="12293" max="12293" width="5.5703125" style="148" customWidth="1"/>
    <col min="12294" max="12294" width="11.7109375" style="148" customWidth="1"/>
    <col min="12295" max="12295" width="11.5703125" style="148" customWidth="1"/>
    <col min="12296" max="12296" width="21.85546875" style="148" customWidth="1"/>
    <col min="12297" max="12297" width="14.5703125" style="148" customWidth="1"/>
    <col min="12298" max="12298" width="10.140625" style="148" customWidth="1"/>
    <col min="12299" max="12299" width="14.85546875" style="148" customWidth="1"/>
    <col min="12300" max="12300" width="1.42578125" style="148" customWidth="1"/>
    <col min="12301" max="12310" width="0" style="148" hidden="1" customWidth="1"/>
    <col min="12311" max="12544" width="8.7109375" style="148"/>
    <col min="12545" max="12545" width="1.85546875" style="148" customWidth="1"/>
    <col min="12546" max="12546" width="6.28515625" style="148" customWidth="1"/>
    <col min="12547" max="12547" width="55.7109375" style="148" customWidth="1"/>
    <col min="12548" max="12548" width="10.42578125" style="148" customWidth="1"/>
    <col min="12549" max="12549" width="5.5703125" style="148" customWidth="1"/>
    <col min="12550" max="12550" width="11.7109375" style="148" customWidth="1"/>
    <col min="12551" max="12551" width="11.5703125" style="148" customWidth="1"/>
    <col min="12552" max="12552" width="21.85546875" style="148" customWidth="1"/>
    <col min="12553" max="12553" width="14.5703125" style="148" customWidth="1"/>
    <col min="12554" max="12554" width="10.140625" style="148" customWidth="1"/>
    <col min="12555" max="12555" width="14.85546875" style="148" customWidth="1"/>
    <col min="12556" max="12556" width="1.42578125" style="148" customWidth="1"/>
    <col min="12557" max="12566" width="0" style="148" hidden="1" customWidth="1"/>
    <col min="12567" max="12800" width="8.7109375" style="148"/>
    <col min="12801" max="12801" width="1.85546875" style="148" customWidth="1"/>
    <col min="12802" max="12802" width="6.28515625" style="148" customWidth="1"/>
    <col min="12803" max="12803" width="55.7109375" style="148" customWidth="1"/>
    <col min="12804" max="12804" width="10.42578125" style="148" customWidth="1"/>
    <col min="12805" max="12805" width="5.5703125" style="148" customWidth="1"/>
    <col min="12806" max="12806" width="11.7109375" style="148" customWidth="1"/>
    <col min="12807" max="12807" width="11.5703125" style="148" customWidth="1"/>
    <col min="12808" max="12808" width="21.85546875" style="148" customWidth="1"/>
    <col min="12809" max="12809" width="14.5703125" style="148" customWidth="1"/>
    <col min="12810" max="12810" width="10.140625" style="148" customWidth="1"/>
    <col min="12811" max="12811" width="14.85546875" style="148" customWidth="1"/>
    <col min="12812" max="12812" width="1.42578125" style="148" customWidth="1"/>
    <col min="12813" max="12822" width="0" style="148" hidden="1" customWidth="1"/>
    <col min="12823" max="13056" width="8.7109375" style="148"/>
    <col min="13057" max="13057" width="1.85546875" style="148" customWidth="1"/>
    <col min="13058" max="13058" width="6.28515625" style="148" customWidth="1"/>
    <col min="13059" max="13059" width="55.7109375" style="148" customWidth="1"/>
    <col min="13060" max="13060" width="10.42578125" style="148" customWidth="1"/>
    <col min="13061" max="13061" width="5.5703125" style="148" customWidth="1"/>
    <col min="13062" max="13062" width="11.7109375" style="148" customWidth="1"/>
    <col min="13063" max="13063" width="11.5703125" style="148" customWidth="1"/>
    <col min="13064" max="13064" width="21.85546875" style="148" customWidth="1"/>
    <col min="13065" max="13065" width="14.5703125" style="148" customWidth="1"/>
    <col min="13066" max="13066" width="10.140625" style="148" customWidth="1"/>
    <col min="13067" max="13067" width="14.85546875" style="148" customWidth="1"/>
    <col min="13068" max="13068" width="1.42578125" style="148" customWidth="1"/>
    <col min="13069" max="13078" width="0" style="148" hidden="1" customWidth="1"/>
    <col min="13079" max="13312" width="8.7109375" style="148"/>
    <col min="13313" max="13313" width="1.85546875" style="148" customWidth="1"/>
    <col min="13314" max="13314" width="6.28515625" style="148" customWidth="1"/>
    <col min="13315" max="13315" width="55.7109375" style="148" customWidth="1"/>
    <col min="13316" max="13316" width="10.42578125" style="148" customWidth="1"/>
    <col min="13317" max="13317" width="5.5703125" style="148" customWidth="1"/>
    <col min="13318" max="13318" width="11.7109375" style="148" customWidth="1"/>
    <col min="13319" max="13319" width="11.5703125" style="148" customWidth="1"/>
    <col min="13320" max="13320" width="21.85546875" style="148" customWidth="1"/>
    <col min="13321" max="13321" width="14.5703125" style="148" customWidth="1"/>
    <col min="13322" max="13322" width="10.140625" style="148" customWidth="1"/>
    <col min="13323" max="13323" width="14.85546875" style="148" customWidth="1"/>
    <col min="13324" max="13324" width="1.42578125" style="148" customWidth="1"/>
    <col min="13325" max="13334" width="0" style="148" hidden="1" customWidth="1"/>
    <col min="13335" max="13568" width="8.7109375" style="148"/>
    <col min="13569" max="13569" width="1.85546875" style="148" customWidth="1"/>
    <col min="13570" max="13570" width="6.28515625" style="148" customWidth="1"/>
    <col min="13571" max="13571" width="55.7109375" style="148" customWidth="1"/>
    <col min="13572" max="13572" width="10.42578125" style="148" customWidth="1"/>
    <col min="13573" max="13573" width="5.5703125" style="148" customWidth="1"/>
    <col min="13574" max="13574" width="11.7109375" style="148" customWidth="1"/>
    <col min="13575" max="13575" width="11.5703125" style="148" customWidth="1"/>
    <col min="13576" max="13576" width="21.85546875" style="148" customWidth="1"/>
    <col min="13577" max="13577" width="14.5703125" style="148" customWidth="1"/>
    <col min="13578" max="13578" width="10.140625" style="148" customWidth="1"/>
    <col min="13579" max="13579" width="14.85546875" style="148" customWidth="1"/>
    <col min="13580" max="13580" width="1.42578125" style="148" customWidth="1"/>
    <col min="13581" max="13590" width="0" style="148" hidden="1" customWidth="1"/>
    <col min="13591" max="13824" width="8.7109375" style="148"/>
    <col min="13825" max="13825" width="1.85546875" style="148" customWidth="1"/>
    <col min="13826" max="13826" width="6.28515625" style="148" customWidth="1"/>
    <col min="13827" max="13827" width="55.7109375" style="148" customWidth="1"/>
    <col min="13828" max="13828" width="10.42578125" style="148" customWidth="1"/>
    <col min="13829" max="13829" width="5.5703125" style="148" customWidth="1"/>
    <col min="13830" max="13830" width="11.7109375" style="148" customWidth="1"/>
    <col min="13831" max="13831" width="11.5703125" style="148" customWidth="1"/>
    <col min="13832" max="13832" width="21.85546875" style="148" customWidth="1"/>
    <col min="13833" max="13833" width="14.5703125" style="148" customWidth="1"/>
    <col min="13834" max="13834" width="10.140625" style="148" customWidth="1"/>
    <col min="13835" max="13835" width="14.85546875" style="148" customWidth="1"/>
    <col min="13836" max="13836" width="1.42578125" style="148" customWidth="1"/>
    <col min="13837" max="13846" width="0" style="148" hidden="1" customWidth="1"/>
    <col min="13847" max="14080" width="8.7109375" style="148"/>
    <col min="14081" max="14081" width="1.85546875" style="148" customWidth="1"/>
    <col min="14082" max="14082" width="6.28515625" style="148" customWidth="1"/>
    <col min="14083" max="14083" width="55.7109375" style="148" customWidth="1"/>
    <col min="14084" max="14084" width="10.42578125" style="148" customWidth="1"/>
    <col min="14085" max="14085" width="5.5703125" style="148" customWidth="1"/>
    <col min="14086" max="14086" width="11.7109375" style="148" customWidth="1"/>
    <col min="14087" max="14087" width="11.5703125" style="148" customWidth="1"/>
    <col min="14088" max="14088" width="21.85546875" style="148" customWidth="1"/>
    <col min="14089" max="14089" width="14.5703125" style="148" customWidth="1"/>
    <col min="14090" max="14090" width="10.140625" style="148" customWidth="1"/>
    <col min="14091" max="14091" width="14.85546875" style="148" customWidth="1"/>
    <col min="14092" max="14092" width="1.42578125" style="148" customWidth="1"/>
    <col min="14093" max="14102" width="0" style="148" hidden="1" customWidth="1"/>
    <col min="14103" max="14336" width="8.7109375" style="148"/>
    <col min="14337" max="14337" width="1.85546875" style="148" customWidth="1"/>
    <col min="14338" max="14338" width="6.28515625" style="148" customWidth="1"/>
    <col min="14339" max="14339" width="55.7109375" style="148" customWidth="1"/>
    <col min="14340" max="14340" width="10.42578125" style="148" customWidth="1"/>
    <col min="14341" max="14341" width="5.5703125" style="148" customWidth="1"/>
    <col min="14342" max="14342" width="11.7109375" style="148" customWidth="1"/>
    <col min="14343" max="14343" width="11.5703125" style="148" customWidth="1"/>
    <col min="14344" max="14344" width="21.85546875" style="148" customWidth="1"/>
    <col min="14345" max="14345" width="14.5703125" style="148" customWidth="1"/>
    <col min="14346" max="14346" width="10.140625" style="148" customWidth="1"/>
    <col min="14347" max="14347" width="14.85546875" style="148" customWidth="1"/>
    <col min="14348" max="14348" width="1.42578125" style="148" customWidth="1"/>
    <col min="14349" max="14358" width="0" style="148" hidden="1" customWidth="1"/>
    <col min="14359" max="14592" width="8.7109375" style="148"/>
    <col min="14593" max="14593" width="1.85546875" style="148" customWidth="1"/>
    <col min="14594" max="14594" width="6.28515625" style="148" customWidth="1"/>
    <col min="14595" max="14595" width="55.7109375" style="148" customWidth="1"/>
    <col min="14596" max="14596" width="10.42578125" style="148" customWidth="1"/>
    <col min="14597" max="14597" width="5.5703125" style="148" customWidth="1"/>
    <col min="14598" max="14598" width="11.7109375" style="148" customWidth="1"/>
    <col min="14599" max="14599" width="11.5703125" style="148" customWidth="1"/>
    <col min="14600" max="14600" width="21.85546875" style="148" customWidth="1"/>
    <col min="14601" max="14601" width="14.5703125" style="148" customWidth="1"/>
    <col min="14602" max="14602" width="10.140625" style="148" customWidth="1"/>
    <col min="14603" max="14603" width="14.85546875" style="148" customWidth="1"/>
    <col min="14604" max="14604" width="1.42578125" style="148" customWidth="1"/>
    <col min="14605" max="14614" width="0" style="148" hidden="1" customWidth="1"/>
    <col min="14615" max="14848" width="8.7109375" style="148"/>
    <col min="14849" max="14849" width="1.85546875" style="148" customWidth="1"/>
    <col min="14850" max="14850" width="6.28515625" style="148" customWidth="1"/>
    <col min="14851" max="14851" width="55.7109375" style="148" customWidth="1"/>
    <col min="14852" max="14852" width="10.42578125" style="148" customWidth="1"/>
    <col min="14853" max="14853" width="5.5703125" style="148" customWidth="1"/>
    <col min="14854" max="14854" width="11.7109375" style="148" customWidth="1"/>
    <col min="14855" max="14855" width="11.5703125" style="148" customWidth="1"/>
    <col min="14856" max="14856" width="21.85546875" style="148" customWidth="1"/>
    <col min="14857" max="14857" width="14.5703125" style="148" customWidth="1"/>
    <col min="14858" max="14858" width="10.140625" style="148" customWidth="1"/>
    <col min="14859" max="14859" width="14.85546875" style="148" customWidth="1"/>
    <col min="14860" max="14860" width="1.42578125" style="148" customWidth="1"/>
    <col min="14861" max="14870" width="0" style="148" hidden="1" customWidth="1"/>
    <col min="14871" max="15104" width="8.7109375" style="148"/>
    <col min="15105" max="15105" width="1.85546875" style="148" customWidth="1"/>
    <col min="15106" max="15106" width="6.28515625" style="148" customWidth="1"/>
    <col min="15107" max="15107" width="55.7109375" style="148" customWidth="1"/>
    <col min="15108" max="15108" width="10.42578125" style="148" customWidth="1"/>
    <col min="15109" max="15109" width="5.5703125" style="148" customWidth="1"/>
    <col min="15110" max="15110" width="11.7109375" style="148" customWidth="1"/>
    <col min="15111" max="15111" width="11.5703125" style="148" customWidth="1"/>
    <col min="15112" max="15112" width="21.85546875" style="148" customWidth="1"/>
    <col min="15113" max="15113" width="14.5703125" style="148" customWidth="1"/>
    <col min="15114" max="15114" width="10.140625" style="148" customWidth="1"/>
    <col min="15115" max="15115" width="14.85546875" style="148" customWidth="1"/>
    <col min="15116" max="15116" width="1.42578125" style="148" customWidth="1"/>
    <col min="15117" max="15126" width="0" style="148" hidden="1" customWidth="1"/>
    <col min="15127" max="15360" width="8.7109375" style="148"/>
    <col min="15361" max="15361" width="1.85546875" style="148" customWidth="1"/>
    <col min="15362" max="15362" width="6.28515625" style="148" customWidth="1"/>
    <col min="15363" max="15363" width="55.7109375" style="148" customWidth="1"/>
    <col min="15364" max="15364" width="10.42578125" style="148" customWidth="1"/>
    <col min="15365" max="15365" width="5.5703125" style="148" customWidth="1"/>
    <col min="15366" max="15366" width="11.7109375" style="148" customWidth="1"/>
    <col min="15367" max="15367" width="11.5703125" style="148" customWidth="1"/>
    <col min="15368" max="15368" width="21.85546875" style="148" customWidth="1"/>
    <col min="15369" max="15369" width="14.5703125" style="148" customWidth="1"/>
    <col min="15370" max="15370" width="10.140625" style="148" customWidth="1"/>
    <col min="15371" max="15371" width="14.85546875" style="148" customWidth="1"/>
    <col min="15372" max="15372" width="1.42578125" style="148" customWidth="1"/>
    <col min="15373" max="15382" width="0" style="148" hidden="1" customWidth="1"/>
    <col min="15383" max="15616" width="8.7109375" style="148"/>
    <col min="15617" max="15617" width="1.85546875" style="148" customWidth="1"/>
    <col min="15618" max="15618" width="6.28515625" style="148" customWidth="1"/>
    <col min="15619" max="15619" width="55.7109375" style="148" customWidth="1"/>
    <col min="15620" max="15620" width="10.42578125" style="148" customWidth="1"/>
    <col min="15621" max="15621" width="5.5703125" style="148" customWidth="1"/>
    <col min="15622" max="15622" width="11.7109375" style="148" customWidth="1"/>
    <col min="15623" max="15623" width="11.5703125" style="148" customWidth="1"/>
    <col min="15624" max="15624" width="21.85546875" style="148" customWidth="1"/>
    <col min="15625" max="15625" width="14.5703125" style="148" customWidth="1"/>
    <col min="15626" max="15626" width="10.140625" style="148" customWidth="1"/>
    <col min="15627" max="15627" width="14.85546875" style="148" customWidth="1"/>
    <col min="15628" max="15628" width="1.42578125" style="148" customWidth="1"/>
    <col min="15629" max="15638" width="0" style="148" hidden="1" customWidth="1"/>
    <col min="15639" max="15872" width="8.7109375" style="148"/>
    <col min="15873" max="15873" width="1.85546875" style="148" customWidth="1"/>
    <col min="15874" max="15874" width="6.28515625" style="148" customWidth="1"/>
    <col min="15875" max="15875" width="55.7109375" style="148" customWidth="1"/>
    <col min="15876" max="15876" width="10.42578125" style="148" customWidth="1"/>
    <col min="15877" max="15877" width="5.5703125" style="148" customWidth="1"/>
    <col min="15878" max="15878" width="11.7109375" style="148" customWidth="1"/>
    <col min="15879" max="15879" width="11.5703125" style="148" customWidth="1"/>
    <col min="15880" max="15880" width="21.85546875" style="148" customWidth="1"/>
    <col min="15881" max="15881" width="14.5703125" style="148" customWidth="1"/>
    <col min="15882" max="15882" width="10.140625" style="148" customWidth="1"/>
    <col min="15883" max="15883" width="14.85546875" style="148" customWidth="1"/>
    <col min="15884" max="15884" width="1.42578125" style="148" customWidth="1"/>
    <col min="15885" max="15894" width="0" style="148" hidden="1" customWidth="1"/>
    <col min="15895" max="16128" width="8.7109375" style="148"/>
    <col min="16129" max="16129" width="1.85546875" style="148" customWidth="1"/>
    <col min="16130" max="16130" width="6.28515625" style="148" customWidth="1"/>
    <col min="16131" max="16131" width="55.7109375" style="148" customWidth="1"/>
    <col min="16132" max="16132" width="10.42578125" style="148" customWidth="1"/>
    <col min="16133" max="16133" width="5.5703125" style="148" customWidth="1"/>
    <col min="16134" max="16134" width="11.7109375" style="148" customWidth="1"/>
    <col min="16135" max="16135" width="11.5703125" style="148" customWidth="1"/>
    <col min="16136" max="16136" width="21.85546875" style="148" customWidth="1"/>
    <col min="16137" max="16137" width="14.5703125" style="148" customWidth="1"/>
    <col min="16138" max="16138" width="10.140625" style="148" customWidth="1"/>
    <col min="16139" max="16139" width="14.85546875" style="148" customWidth="1"/>
    <col min="16140" max="16140" width="1.42578125" style="148" customWidth="1"/>
    <col min="16141" max="16150" width="0" style="148" hidden="1" customWidth="1"/>
    <col min="16151" max="16384" width="8.7109375" style="148"/>
  </cols>
  <sheetData>
    <row r="2" spans="1:14" ht="20.25" x14ac:dyDescent="0.3">
      <c r="A2" s="508" t="s">
        <v>304</v>
      </c>
      <c r="B2" s="25"/>
      <c r="C2" s="243" t="s">
        <v>305</v>
      </c>
      <c r="D2" s="25"/>
      <c r="E2" s="25"/>
      <c r="F2" s="25"/>
      <c r="G2" s="25"/>
      <c r="H2" s="25"/>
      <c r="I2" s="243" t="s">
        <v>431</v>
      </c>
      <c r="K2" s="25"/>
      <c r="L2" s="25"/>
    </row>
    <row r="3" spans="1:14" ht="29.25" customHeight="1" x14ac:dyDescent="0.25">
      <c r="B3" s="25"/>
      <c r="C3" s="25"/>
      <c r="D3" s="25"/>
      <c r="E3" s="25"/>
      <c r="F3" s="25"/>
      <c r="G3" s="25"/>
      <c r="H3" s="25" t="s">
        <v>307</v>
      </c>
      <c r="I3" s="510">
        <f>J108</f>
        <v>88.5</v>
      </c>
      <c r="J3" s="422" t="s">
        <v>308</v>
      </c>
      <c r="K3" s="510"/>
    </row>
    <row r="4" spans="1:14" ht="16.5" customHeight="1" x14ac:dyDescent="0.25">
      <c r="B4" s="25"/>
      <c r="C4" s="253" t="s">
        <v>309</v>
      </c>
      <c r="D4" s="25"/>
      <c r="E4" s="25"/>
      <c r="F4" s="25"/>
      <c r="G4" s="25"/>
      <c r="H4" s="25" t="s">
        <v>310</v>
      </c>
      <c r="I4" s="510"/>
      <c r="J4" s="511">
        <f>K108</f>
        <v>1395685.5</v>
      </c>
      <c r="K4" s="510" t="s">
        <v>311</v>
      </c>
      <c r="N4" s="148">
        <f>J108</f>
        <v>88.5</v>
      </c>
    </row>
    <row r="5" spans="1:14" ht="15.75" x14ac:dyDescent="0.25">
      <c r="B5" s="25"/>
      <c r="C5" s="253" t="s">
        <v>312</v>
      </c>
      <c r="D5" s="25"/>
      <c r="E5" s="25"/>
      <c r="F5" s="25"/>
      <c r="G5" s="25"/>
      <c r="H5" s="25"/>
      <c r="I5" s="512" t="s">
        <v>313</v>
      </c>
      <c r="J5" s="510"/>
      <c r="K5" s="510"/>
      <c r="N5" s="148">
        <f>K108</f>
        <v>1395685.5</v>
      </c>
    </row>
    <row r="6" spans="1:14" ht="11.25" customHeight="1" x14ac:dyDescent="0.25">
      <c r="B6" s="25"/>
      <c r="C6" s="253" t="s">
        <v>314</v>
      </c>
      <c r="D6" s="25"/>
      <c r="E6" s="25"/>
      <c r="F6" s="25"/>
      <c r="G6" s="25"/>
      <c r="H6" s="25"/>
      <c r="I6" s="510" t="s">
        <v>315</v>
      </c>
      <c r="J6" s="510"/>
      <c r="K6" s="510"/>
    </row>
    <row r="7" spans="1:14" ht="15.75" x14ac:dyDescent="0.25">
      <c r="B7" s="25"/>
      <c r="C7" s="253" t="s">
        <v>316</v>
      </c>
      <c r="D7" s="25"/>
      <c r="E7" s="25"/>
      <c r="F7" s="25"/>
      <c r="G7" s="25"/>
      <c r="H7" s="25"/>
      <c r="I7" s="510" t="s">
        <v>317</v>
      </c>
      <c r="J7" s="510"/>
      <c r="K7" s="510"/>
    </row>
    <row r="8" spans="1:14" ht="15.75" x14ac:dyDescent="0.25">
      <c r="B8" s="25"/>
      <c r="C8" s="253" t="s">
        <v>159</v>
      </c>
      <c r="D8" s="25"/>
      <c r="E8" s="25"/>
      <c r="F8" s="25"/>
      <c r="G8" s="25"/>
      <c r="I8" s="513" t="s">
        <v>318</v>
      </c>
      <c r="J8" s="513"/>
      <c r="K8" s="510"/>
    </row>
    <row r="9" spans="1:14" ht="15.75" x14ac:dyDescent="0.25">
      <c r="B9" s="25"/>
      <c r="C9" s="25"/>
      <c r="D9" s="25"/>
      <c r="E9" s="25"/>
      <c r="F9" s="25"/>
      <c r="G9" s="25"/>
      <c r="H9" s="25"/>
      <c r="I9" s="510" t="s">
        <v>319</v>
      </c>
      <c r="J9" s="510"/>
      <c r="K9" s="510"/>
    </row>
    <row r="10" spans="1:14" ht="15.75" x14ac:dyDescent="0.25">
      <c r="B10" s="25"/>
      <c r="C10" s="253" t="s">
        <v>320</v>
      </c>
      <c r="D10" s="25"/>
      <c r="E10" s="25"/>
      <c r="F10" s="25"/>
      <c r="G10" s="25"/>
      <c r="H10" s="25"/>
      <c r="I10" s="513" t="s">
        <v>321</v>
      </c>
      <c r="J10" s="510"/>
      <c r="K10" s="510"/>
    </row>
    <row r="11" spans="1:14" ht="15.75" x14ac:dyDescent="0.25">
      <c r="B11" s="25"/>
      <c r="C11" s="253" t="s">
        <v>322</v>
      </c>
      <c r="D11" s="25"/>
      <c r="E11" s="25"/>
      <c r="F11" s="25"/>
      <c r="G11" s="25"/>
      <c r="H11" s="514"/>
      <c r="I11" s="514"/>
      <c r="J11" s="514"/>
      <c r="K11" s="514"/>
      <c r="L11" s="25"/>
    </row>
    <row r="12" spans="1:14" ht="9.75" customHeight="1" x14ac:dyDescent="0.25">
      <c r="B12" s="25"/>
      <c r="C12" s="253" t="s">
        <v>323</v>
      </c>
      <c r="D12" s="25"/>
      <c r="E12" s="25"/>
      <c r="F12" s="25"/>
      <c r="G12" s="25"/>
      <c r="H12" s="515"/>
      <c r="I12" s="515"/>
      <c r="J12" s="515"/>
      <c r="K12" s="515"/>
      <c r="L12" s="25"/>
    </row>
    <row r="13" spans="1:14" ht="15.75" x14ac:dyDescent="0.25">
      <c r="B13" s="25"/>
      <c r="C13" s="253" t="s">
        <v>432</v>
      </c>
      <c r="D13" s="25"/>
      <c r="E13" s="25"/>
      <c r="F13" s="25"/>
      <c r="G13" s="25"/>
      <c r="H13" s="516"/>
      <c r="I13" s="516"/>
      <c r="J13" s="516"/>
      <c r="K13" s="516"/>
      <c r="L13" s="25"/>
    </row>
    <row r="14" spans="1:14" ht="15.75" x14ac:dyDescent="0.25">
      <c r="B14" s="25"/>
      <c r="C14" s="253" t="s">
        <v>165</v>
      </c>
      <c r="D14" s="25"/>
      <c r="E14" s="25"/>
      <c r="F14" s="25"/>
      <c r="G14" s="25"/>
      <c r="H14" s="516"/>
      <c r="I14" s="516"/>
      <c r="J14" s="516"/>
      <c r="K14" s="516"/>
      <c r="L14" s="25"/>
    </row>
    <row r="15" spans="1:14" ht="12.75" customHeight="1" x14ac:dyDescent="0.25">
      <c r="B15" s="25"/>
      <c r="C15" s="25"/>
      <c r="D15" s="25"/>
      <c r="E15" s="25"/>
      <c r="F15" s="25"/>
      <c r="G15" s="25"/>
      <c r="H15" s="516"/>
      <c r="I15" s="516"/>
      <c r="J15" s="516"/>
      <c r="K15" s="516"/>
      <c r="L15" s="25"/>
    </row>
    <row r="16" spans="1:14" s="205" customFormat="1" ht="15.75" hidden="1" x14ac:dyDescent="0.25">
      <c r="B16" s="517"/>
      <c r="C16" s="518" t="s">
        <v>325</v>
      </c>
      <c r="D16" s="517"/>
      <c r="E16" s="517"/>
      <c r="F16" s="517"/>
      <c r="G16" s="517"/>
      <c r="H16" s="516"/>
      <c r="I16" s="519"/>
      <c r="J16" s="519"/>
      <c r="K16" s="519"/>
      <c r="L16" s="517"/>
    </row>
    <row r="17" spans="2:12" s="205" customFormat="1" ht="24" hidden="1" customHeight="1" x14ac:dyDescent="0.25">
      <c r="B17" s="517"/>
      <c r="C17" s="518" t="s">
        <v>326</v>
      </c>
      <c r="D17" s="517"/>
      <c r="E17" s="517"/>
      <c r="F17" s="517"/>
      <c r="G17" s="517"/>
      <c r="H17" s="516"/>
      <c r="I17" s="519"/>
      <c r="J17" s="519"/>
      <c r="K17" s="519"/>
      <c r="L17" s="517"/>
    </row>
    <row r="18" spans="2:12" s="205" customFormat="1" ht="15.75" hidden="1" x14ac:dyDescent="0.25">
      <c r="B18" s="517"/>
      <c r="C18" s="518" t="s">
        <v>159</v>
      </c>
      <c r="D18" s="517"/>
      <c r="E18" s="517"/>
      <c r="F18" s="517"/>
      <c r="G18" s="517"/>
      <c r="H18" s="516"/>
      <c r="I18" s="519"/>
      <c r="J18" s="519"/>
      <c r="K18" s="519"/>
      <c r="L18" s="517"/>
    </row>
    <row r="19" spans="2:12" s="205" customFormat="1" ht="9.75" hidden="1" customHeight="1" x14ac:dyDescent="0.25">
      <c r="B19" s="517"/>
      <c r="C19" s="518"/>
      <c r="D19" s="517"/>
      <c r="E19" s="517"/>
      <c r="F19" s="517"/>
      <c r="G19" s="517"/>
      <c r="H19" s="516"/>
      <c r="I19" s="519"/>
      <c r="J19" s="519"/>
      <c r="K19" s="519"/>
      <c r="L19" s="517"/>
    </row>
    <row r="20" spans="2:12" ht="15.75" x14ac:dyDescent="0.25">
      <c r="B20" s="25"/>
      <c r="C20" s="253" t="s">
        <v>166</v>
      </c>
      <c r="D20" s="25"/>
      <c r="E20" s="25"/>
      <c r="F20" s="25"/>
      <c r="G20" s="25"/>
      <c r="H20" s="516"/>
      <c r="I20" s="516"/>
      <c r="J20" s="516"/>
      <c r="K20" s="516"/>
      <c r="L20" s="25"/>
    </row>
    <row r="21" spans="2:12" ht="9" customHeight="1" x14ac:dyDescent="0.25">
      <c r="B21" s="25"/>
      <c r="C21" s="253"/>
      <c r="D21" s="25"/>
      <c r="E21" s="25"/>
      <c r="F21" s="25"/>
      <c r="G21" s="25"/>
      <c r="H21" s="516"/>
      <c r="I21" s="516"/>
      <c r="J21" s="516"/>
      <c r="K21" s="516"/>
      <c r="L21" s="25"/>
    </row>
    <row r="22" spans="2:12" ht="15.75" x14ac:dyDescent="0.25">
      <c r="B22" s="25"/>
      <c r="C22" s="253" t="s">
        <v>327</v>
      </c>
      <c r="D22" s="25"/>
      <c r="E22" s="25"/>
      <c r="F22" s="25"/>
      <c r="G22" s="25"/>
      <c r="H22" s="516"/>
      <c r="I22" s="516"/>
      <c r="J22" s="516"/>
      <c r="K22" s="516"/>
      <c r="L22" s="25"/>
    </row>
    <row r="23" spans="2:12" ht="15.75" x14ac:dyDescent="0.25">
      <c r="B23" s="25"/>
      <c r="C23" s="253" t="s">
        <v>168</v>
      </c>
      <c r="D23" s="25"/>
      <c r="E23" s="25"/>
      <c r="F23" s="25"/>
      <c r="G23" s="25"/>
      <c r="H23" s="516"/>
      <c r="I23" s="516"/>
      <c r="J23" s="516"/>
      <c r="K23" s="516"/>
      <c r="L23" s="25"/>
    </row>
    <row r="24" spans="2:12" ht="8.25" customHeight="1" x14ac:dyDescent="0.25">
      <c r="B24" s="25"/>
      <c r="C24" s="253"/>
      <c r="D24" s="25"/>
      <c r="E24" s="25"/>
      <c r="F24" s="25"/>
      <c r="G24" s="25"/>
      <c r="H24" s="516"/>
      <c r="I24" s="516"/>
      <c r="J24" s="516"/>
      <c r="K24" s="516"/>
      <c r="L24" s="25"/>
    </row>
    <row r="25" spans="2:12" ht="15.75" x14ac:dyDescent="0.25">
      <c r="B25" s="25"/>
      <c r="C25" s="253" t="s">
        <v>169</v>
      </c>
      <c r="D25" s="25"/>
      <c r="E25" s="25"/>
      <c r="F25" s="25"/>
      <c r="G25" s="25"/>
      <c r="H25" s="516"/>
      <c r="I25" s="516"/>
      <c r="J25" s="516"/>
      <c r="K25" s="516"/>
      <c r="L25" s="25"/>
    </row>
    <row r="26" spans="2:12" ht="7.5" customHeight="1" x14ac:dyDescent="0.25">
      <c r="B26" s="25"/>
      <c r="C26" s="253"/>
      <c r="D26" s="25"/>
      <c r="E26" s="25"/>
      <c r="F26" s="25"/>
      <c r="G26" s="25"/>
      <c r="H26" s="516"/>
      <c r="I26" s="516"/>
      <c r="J26" s="516"/>
      <c r="K26" s="516"/>
      <c r="L26" s="25"/>
    </row>
    <row r="27" spans="2:12" ht="15.75" x14ac:dyDescent="0.25">
      <c r="B27" s="25"/>
      <c r="C27" s="253" t="s">
        <v>328</v>
      </c>
      <c r="D27" s="25"/>
      <c r="E27" s="25"/>
      <c r="F27" s="25"/>
      <c r="G27" s="25"/>
      <c r="H27" s="516"/>
      <c r="I27" s="516"/>
      <c r="J27" s="516"/>
      <c r="K27" s="516"/>
      <c r="L27" s="25"/>
    </row>
    <row r="28" spans="2:12" ht="15.6" customHeight="1" x14ac:dyDescent="0.3">
      <c r="B28" s="25"/>
      <c r="C28" s="253" t="s">
        <v>168</v>
      </c>
      <c r="D28" s="25"/>
      <c r="E28" s="25"/>
      <c r="G28" s="520"/>
      <c r="H28" s="520"/>
      <c r="I28" s="520"/>
      <c r="J28" s="25"/>
      <c r="K28" s="25"/>
      <c r="L28" s="25"/>
    </row>
    <row r="29" spans="2:12" ht="23.25" customHeight="1" x14ac:dyDescent="0.3">
      <c r="B29" s="25"/>
      <c r="C29" s="25"/>
      <c r="D29" s="25"/>
      <c r="E29" s="25"/>
      <c r="F29" s="521" t="s">
        <v>329</v>
      </c>
      <c r="G29" s="520"/>
      <c r="H29" s="520"/>
      <c r="I29" s="520"/>
      <c r="J29" s="25"/>
      <c r="K29" s="517"/>
      <c r="L29" s="25"/>
    </row>
    <row r="30" spans="2:12" ht="19.5" customHeight="1" x14ac:dyDescent="0.3">
      <c r="B30" s="25"/>
      <c r="C30" s="25"/>
      <c r="D30" s="25"/>
      <c r="E30" s="25"/>
      <c r="F30" s="521" t="s">
        <v>434</v>
      </c>
      <c r="G30" s="520"/>
      <c r="H30" s="520"/>
      <c r="I30" s="520"/>
      <c r="J30" s="25"/>
      <c r="K30" s="517"/>
      <c r="L30" s="25"/>
    </row>
    <row r="31" spans="2:12" ht="11.25" customHeight="1" x14ac:dyDescent="0.25">
      <c r="B31" s="25"/>
      <c r="C31" s="25"/>
      <c r="D31" s="25"/>
      <c r="E31" s="25"/>
      <c r="F31" s="25"/>
      <c r="G31" s="25"/>
      <c r="H31" s="25"/>
      <c r="I31" s="25"/>
      <c r="J31" s="25"/>
      <c r="K31" s="517"/>
      <c r="L31" s="25"/>
    </row>
    <row r="32" spans="2:12" s="522" customFormat="1" ht="18.75" x14ac:dyDescent="0.3">
      <c r="B32" s="523" t="s">
        <v>331</v>
      </c>
      <c r="K32" s="524">
        <f>D33</f>
        <v>3028</v>
      </c>
    </row>
    <row r="33" spans="2:12" ht="18.75" x14ac:dyDescent="0.3">
      <c r="B33" s="525" t="s">
        <v>332</v>
      </c>
      <c r="C33" s="25"/>
      <c r="D33" s="526">
        <v>3028</v>
      </c>
      <c r="E33" s="25" t="s">
        <v>333</v>
      </c>
      <c r="F33" s="25"/>
      <c r="G33" s="510"/>
      <c r="H33" s="25"/>
      <c r="I33" s="25"/>
      <c r="J33" s="25"/>
      <c r="K33" s="527">
        <f>K32*1.8</f>
        <v>5450.4000000000005</v>
      </c>
      <c r="L33" s="25"/>
    </row>
    <row r="34" spans="2:12" ht="12" customHeight="1" x14ac:dyDescent="0.25">
      <c r="B34" s="25"/>
      <c r="C34" s="25"/>
      <c r="D34" s="25"/>
      <c r="E34" s="25"/>
      <c r="F34" s="25"/>
      <c r="G34" s="25"/>
      <c r="H34" s="25"/>
      <c r="I34" s="25"/>
      <c r="J34" s="25"/>
      <c r="K34" s="527">
        <f>K33*1.58</f>
        <v>8611.6320000000014</v>
      </c>
      <c r="L34" s="25"/>
    </row>
    <row r="35" spans="2:12" ht="52.5" customHeight="1" x14ac:dyDescent="0.25">
      <c r="B35" s="1974" t="s">
        <v>334</v>
      </c>
      <c r="C35" s="1956" t="s">
        <v>335</v>
      </c>
      <c r="D35" s="1976" t="s">
        <v>336</v>
      </c>
      <c r="E35" s="1977" t="s">
        <v>178</v>
      </c>
      <c r="F35" s="1953" t="s">
        <v>337</v>
      </c>
      <c r="G35" s="1954"/>
      <c r="H35" s="1955"/>
      <c r="I35" s="1956" t="s">
        <v>338</v>
      </c>
      <c r="J35" s="1959" t="s">
        <v>339</v>
      </c>
      <c r="K35" s="1961" t="s">
        <v>340</v>
      </c>
      <c r="L35" s="25"/>
    </row>
    <row r="36" spans="2:12" ht="47.25" x14ac:dyDescent="0.25">
      <c r="B36" s="1975"/>
      <c r="C36" s="1956"/>
      <c r="D36" s="1976"/>
      <c r="E36" s="1977"/>
      <c r="F36" s="528" t="s">
        <v>341</v>
      </c>
      <c r="G36" s="528" t="s">
        <v>342</v>
      </c>
      <c r="H36" s="528" t="s">
        <v>343</v>
      </c>
      <c r="I36" s="1956"/>
      <c r="J36" s="1960"/>
      <c r="K36" s="1962"/>
      <c r="L36" s="25"/>
    </row>
    <row r="37" spans="2:12" ht="18.75" x14ac:dyDescent="0.3">
      <c r="B37" s="529">
        <v>1</v>
      </c>
      <c r="C37" s="529">
        <v>2</v>
      </c>
      <c r="D37" s="530">
        <v>3</v>
      </c>
      <c r="E37" s="529">
        <v>4</v>
      </c>
      <c r="F37" s="529">
        <v>5</v>
      </c>
      <c r="G37" s="529">
        <v>6</v>
      </c>
      <c r="H37" s="529">
        <v>7</v>
      </c>
      <c r="I37" s="529">
        <v>8</v>
      </c>
      <c r="J37" s="529">
        <v>9</v>
      </c>
      <c r="K37" s="529">
        <v>10</v>
      </c>
      <c r="L37" s="25"/>
    </row>
    <row r="38" spans="2:12" ht="19.5" x14ac:dyDescent="0.35">
      <c r="B38" s="529">
        <v>1</v>
      </c>
      <c r="C38" s="1963" t="s">
        <v>344</v>
      </c>
      <c r="D38" s="1964"/>
      <c r="E38" s="1964"/>
      <c r="F38" s="1964"/>
      <c r="G38" s="1964"/>
      <c r="H38" s="1964"/>
      <c r="I38" s="1964"/>
      <c r="J38" s="1964"/>
      <c r="K38" s="1965"/>
      <c r="L38" s="25"/>
    </row>
    <row r="39" spans="2:12" ht="44.25" customHeight="1" x14ac:dyDescent="0.3">
      <c r="B39" s="531" t="s">
        <v>345</v>
      </c>
      <c r="C39" s="532" t="s">
        <v>146</v>
      </c>
      <c r="D39" s="530">
        <v>1210.0999999999999</v>
      </c>
      <c r="E39" s="533"/>
      <c r="F39" s="533">
        <v>2</v>
      </c>
      <c r="G39" s="534">
        <v>1.58</v>
      </c>
      <c r="H39" s="535" t="s">
        <v>346</v>
      </c>
      <c r="I39" s="536">
        <f>ROUND(K$32*F39*G39*4.5,0)</f>
        <v>43058</v>
      </c>
      <c r="J39" s="529">
        <v>1</v>
      </c>
      <c r="K39" s="529">
        <f t="shared" ref="K39:K54" si="0">I39*J39</f>
        <v>43058</v>
      </c>
      <c r="L39" s="25"/>
    </row>
    <row r="40" spans="2:12" ht="22.5" customHeight="1" x14ac:dyDescent="0.3">
      <c r="B40" s="531" t="s">
        <v>347</v>
      </c>
      <c r="C40" s="532" t="s">
        <v>348</v>
      </c>
      <c r="D40" s="530">
        <v>1223.0999999999999</v>
      </c>
      <c r="E40" s="532"/>
      <c r="F40" s="532">
        <f>F$39</f>
        <v>2</v>
      </c>
      <c r="G40" s="532">
        <v>1.58</v>
      </c>
      <c r="H40" s="529">
        <v>3.6</v>
      </c>
      <c r="I40" s="537">
        <f t="shared" ref="I40:I52" si="1">ROUND(K$32*F40*G40*H40,0)</f>
        <v>34447</v>
      </c>
      <c r="J40" s="529">
        <v>1</v>
      </c>
      <c r="K40" s="529">
        <f>I40*J40</f>
        <v>34447</v>
      </c>
      <c r="L40" s="25"/>
    </row>
    <row r="41" spans="2:12" ht="22.5" customHeight="1" x14ac:dyDescent="0.3">
      <c r="B41" s="531" t="s">
        <v>349</v>
      </c>
      <c r="C41" s="532" t="s">
        <v>350</v>
      </c>
      <c r="D41" s="530">
        <v>1210.0999999999999</v>
      </c>
      <c r="E41" s="532"/>
      <c r="F41" s="532">
        <f t="shared" ref="F41:F54" si="2">F$39</f>
        <v>2</v>
      </c>
      <c r="G41" s="532">
        <v>1.58</v>
      </c>
      <c r="H41" s="529">
        <v>3.38</v>
      </c>
      <c r="I41" s="537">
        <f t="shared" si="1"/>
        <v>32341</v>
      </c>
      <c r="J41" s="529">
        <v>1</v>
      </c>
      <c r="K41" s="529">
        <f>I41*J41</f>
        <v>32341</v>
      </c>
      <c r="L41" s="25"/>
    </row>
    <row r="42" spans="2:12" ht="22.5" customHeight="1" x14ac:dyDescent="0.3">
      <c r="B42" s="531" t="s">
        <v>351</v>
      </c>
      <c r="C42" s="532" t="s">
        <v>352</v>
      </c>
      <c r="D42" s="530">
        <v>1231</v>
      </c>
      <c r="E42" s="532"/>
      <c r="F42" s="532">
        <f t="shared" si="2"/>
        <v>2</v>
      </c>
      <c r="G42" s="532">
        <v>1.58</v>
      </c>
      <c r="H42" s="529">
        <v>3.38</v>
      </c>
      <c r="I42" s="537">
        <f t="shared" si="1"/>
        <v>32341</v>
      </c>
      <c r="J42" s="529">
        <v>1</v>
      </c>
      <c r="K42" s="529">
        <f t="shared" si="0"/>
        <v>32341</v>
      </c>
      <c r="L42" s="25"/>
    </row>
    <row r="43" spans="2:12" ht="23.25" customHeight="1" x14ac:dyDescent="0.3">
      <c r="B43" s="531" t="s">
        <v>353</v>
      </c>
      <c r="C43" s="532" t="s">
        <v>217</v>
      </c>
      <c r="D43" s="530">
        <v>3433</v>
      </c>
      <c r="E43" s="532"/>
      <c r="F43" s="532">
        <f t="shared" si="2"/>
        <v>2</v>
      </c>
      <c r="G43" s="532">
        <v>1.58</v>
      </c>
      <c r="H43" s="538">
        <v>2</v>
      </c>
      <c r="I43" s="537">
        <f t="shared" si="1"/>
        <v>19137</v>
      </c>
      <c r="J43" s="529">
        <v>4</v>
      </c>
      <c r="K43" s="529">
        <f>I43*J43</f>
        <v>76548</v>
      </c>
      <c r="L43" s="25"/>
    </row>
    <row r="44" spans="2:12" ht="22.5" customHeight="1" x14ac:dyDescent="0.3">
      <c r="B44" s="531" t="s">
        <v>354</v>
      </c>
      <c r="C44" s="532" t="s">
        <v>218</v>
      </c>
      <c r="D44" s="530">
        <v>1231</v>
      </c>
      <c r="E44" s="532"/>
      <c r="F44" s="532">
        <f t="shared" si="2"/>
        <v>2</v>
      </c>
      <c r="G44" s="532">
        <v>1.58</v>
      </c>
      <c r="H44" s="529">
        <v>3.15</v>
      </c>
      <c r="I44" s="537">
        <f t="shared" si="1"/>
        <v>30141</v>
      </c>
      <c r="J44" s="529">
        <v>1</v>
      </c>
      <c r="K44" s="529">
        <f t="shared" si="0"/>
        <v>30141</v>
      </c>
      <c r="L44" s="25"/>
    </row>
    <row r="45" spans="2:12" ht="21.6" customHeight="1" x14ac:dyDescent="0.3">
      <c r="B45" s="531" t="s">
        <v>355</v>
      </c>
      <c r="C45" s="532" t="s">
        <v>356</v>
      </c>
      <c r="D45" s="530">
        <v>2441.1999999999998</v>
      </c>
      <c r="E45" s="529"/>
      <c r="F45" s="532">
        <f t="shared" si="2"/>
        <v>2</v>
      </c>
      <c r="G45" s="532">
        <v>1.58</v>
      </c>
      <c r="H45" s="529">
        <v>2.2000000000000002</v>
      </c>
      <c r="I45" s="537">
        <f t="shared" si="1"/>
        <v>21051</v>
      </c>
      <c r="J45" s="529">
        <v>1</v>
      </c>
      <c r="K45" s="529">
        <f t="shared" si="0"/>
        <v>21051</v>
      </c>
      <c r="L45" s="25"/>
    </row>
    <row r="46" spans="2:12" ht="23.25" customHeight="1" x14ac:dyDescent="0.3">
      <c r="B46" s="531" t="s">
        <v>357</v>
      </c>
      <c r="C46" s="532" t="s">
        <v>220</v>
      </c>
      <c r="D46" s="530">
        <v>1239</v>
      </c>
      <c r="E46" s="532"/>
      <c r="F46" s="532">
        <f t="shared" si="2"/>
        <v>2</v>
      </c>
      <c r="G46" s="532">
        <v>1.58</v>
      </c>
      <c r="H46" s="529">
        <v>2.8</v>
      </c>
      <c r="I46" s="537">
        <f t="shared" si="1"/>
        <v>26792</v>
      </c>
      <c r="J46" s="529">
        <v>1</v>
      </c>
      <c r="K46" s="529">
        <f>I46*J46</f>
        <v>26792</v>
      </c>
      <c r="L46" s="25"/>
    </row>
    <row r="47" spans="2:12" ht="23.25" customHeight="1" x14ac:dyDescent="0.3">
      <c r="B47" s="531" t="s">
        <v>358</v>
      </c>
      <c r="C47" s="532" t="s">
        <v>221</v>
      </c>
      <c r="D47" s="530">
        <v>2429</v>
      </c>
      <c r="E47" s="532"/>
      <c r="F47" s="532">
        <f t="shared" si="2"/>
        <v>2</v>
      </c>
      <c r="G47" s="532">
        <v>1.58</v>
      </c>
      <c r="H47" s="538">
        <v>2.2000000000000002</v>
      </c>
      <c r="I47" s="537">
        <f t="shared" si="1"/>
        <v>21051</v>
      </c>
      <c r="J47" s="529">
        <v>1</v>
      </c>
      <c r="K47" s="529">
        <f t="shared" si="0"/>
        <v>21051</v>
      </c>
      <c r="L47" s="25"/>
    </row>
    <row r="48" spans="2:12" ht="23.25" customHeight="1" x14ac:dyDescent="0.3">
      <c r="B48" s="531" t="s">
        <v>359</v>
      </c>
      <c r="C48" s="532" t="s">
        <v>222</v>
      </c>
      <c r="D48" s="530">
        <v>2419.1999999999998</v>
      </c>
      <c r="E48" s="532"/>
      <c r="F48" s="532">
        <f t="shared" si="2"/>
        <v>2</v>
      </c>
      <c r="G48" s="532">
        <v>1.58</v>
      </c>
      <c r="H48" s="538">
        <v>2.2000000000000002</v>
      </c>
      <c r="I48" s="537">
        <f>ROUND(K$32*F48*G48*H48,0)</f>
        <v>21051</v>
      </c>
      <c r="J48" s="529">
        <v>1</v>
      </c>
      <c r="K48" s="529">
        <f>I48*J48</f>
        <v>21051</v>
      </c>
      <c r="L48" s="25"/>
    </row>
    <row r="49" spans="2:18" ht="23.25" customHeight="1" x14ac:dyDescent="0.3">
      <c r="B49" s="531" t="s">
        <v>360</v>
      </c>
      <c r="C49" s="532" t="s">
        <v>223</v>
      </c>
      <c r="D49" s="530">
        <v>2149.1999999999998</v>
      </c>
      <c r="E49" s="532"/>
      <c r="F49" s="532">
        <f t="shared" si="2"/>
        <v>2</v>
      </c>
      <c r="G49" s="532">
        <v>1.58</v>
      </c>
      <c r="H49" s="538">
        <v>2.2000000000000002</v>
      </c>
      <c r="I49" s="537">
        <f t="shared" si="1"/>
        <v>21051</v>
      </c>
      <c r="J49" s="529">
        <v>1</v>
      </c>
      <c r="K49" s="529">
        <f t="shared" si="0"/>
        <v>21051</v>
      </c>
      <c r="L49" s="25"/>
    </row>
    <row r="50" spans="2:18" ht="23.25" customHeight="1" x14ac:dyDescent="0.3">
      <c r="B50" s="531" t="s">
        <v>361</v>
      </c>
      <c r="C50" s="532" t="s">
        <v>362</v>
      </c>
      <c r="D50" s="530">
        <v>3423</v>
      </c>
      <c r="E50" s="532"/>
      <c r="F50" s="532">
        <f t="shared" si="2"/>
        <v>2</v>
      </c>
      <c r="G50" s="532">
        <v>1.58</v>
      </c>
      <c r="H50" s="538">
        <v>2</v>
      </c>
      <c r="I50" s="537">
        <f t="shared" si="1"/>
        <v>19137</v>
      </c>
      <c r="J50" s="529">
        <v>1</v>
      </c>
      <c r="K50" s="529">
        <f t="shared" si="0"/>
        <v>19137</v>
      </c>
      <c r="L50" s="25"/>
    </row>
    <row r="51" spans="2:18" ht="23.25" customHeight="1" x14ac:dyDescent="0.3">
      <c r="B51" s="531" t="s">
        <v>363</v>
      </c>
      <c r="C51" s="532" t="s">
        <v>364</v>
      </c>
      <c r="D51" s="530">
        <v>4131</v>
      </c>
      <c r="E51" s="532"/>
      <c r="F51" s="532">
        <f t="shared" si="2"/>
        <v>2</v>
      </c>
      <c r="G51" s="532">
        <v>1.58</v>
      </c>
      <c r="H51" s="529">
        <v>1.26</v>
      </c>
      <c r="I51" s="537">
        <f t="shared" si="1"/>
        <v>12056</v>
      </c>
      <c r="J51" s="529">
        <v>1</v>
      </c>
      <c r="K51" s="529">
        <f t="shared" si="0"/>
        <v>12056</v>
      </c>
      <c r="L51" s="25"/>
    </row>
    <row r="52" spans="2:18" ht="23.25" customHeight="1" x14ac:dyDescent="0.3">
      <c r="B52" s="531" t="s">
        <v>365</v>
      </c>
      <c r="C52" s="532" t="s">
        <v>366</v>
      </c>
      <c r="D52" s="530">
        <v>4211</v>
      </c>
      <c r="E52" s="532"/>
      <c r="F52" s="532">
        <f t="shared" si="2"/>
        <v>2</v>
      </c>
      <c r="G52" s="532">
        <v>1.58</v>
      </c>
      <c r="H52" s="529">
        <v>1.7</v>
      </c>
      <c r="I52" s="537">
        <f t="shared" si="1"/>
        <v>16266</v>
      </c>
      <c r="J52" s="529">
        <v>1</v>
      </c>
      <c r="K52" s="529">
        <f t="shared" si="0"/>
        <v>16266</v>
      </c>
      <c r="L52" s="25"/>
    </row>
    <row r="53" spans="2:18" ht="23.25" customHeight="1" x14ac:dyDescent="0.3">
      <c r="B53" s="531" t="s">
        <v>367</v>
      </c>
      <c r="C53" s="532" t="s">
        <v>368</v>
      </c>
      <c r="D53" s="530">
        <v>4115</v>
      </c>
      <c r="E53" s="532"/>
      <c r="F53" s="532">
        <f t="shared" si="2"/>
        <v>2</v>
      </c>
      <c r="G53" s="532">
        <v>1.58</v>
      </c>
      <c r="H53" s="529">
        <v>1.6</v>
      </c>
      <c r="I53" s="537">
        <f>ROUND(K$32*F53*G53*H53,0)</f>
        <v>15310</v>
      </c>
      <c r="J53" s="529">
        <v>1</v>
      </c>
      <c r="K53" s="529">
        <f>I53*J53</f>
        <v>15310</v>
      </c>
      <c r="L53" s="25"/>
    </row>
    <row r="54" spans="2:18" ht="21.6" customHeight="1" x14ac:dyDescent="0.3">
      <c r="B54" s="531" t="s">
        <v>369</v>
      </c>
      <c r="C54" s="532" t="s">
        <v>228</v>
      </c>
      <c r="D54" s="530">
        <v>9132</v>
      </c>
      <c r="E54" s="529"/>
      <c r="F54" s="532">
        <f t="shared" si="2"/>
        <v>2</v>
      </c>
      <c r="G54" s="532">
        <v>1</v>
      </c>
      <c r="H54" s="529">
        <v>1.1000000000000001</v>
      </c>
      <c r="I54" s="537">
        <f>ROUND(K$32*F54*H54,0)</f>
        <v>6662</v>
      </c>
      <c r="J54" s="529">
        <v>1</v>
      </c>
      <c r="K54" s="529">
        <f t="shared" si="0"/>
        <v>6662</v>
      </c>
      <c r="L54" s="25"/>
    </row>
    <row r="55" spans="2:18" ht="21.75" customHeight="1" x14ac:dyDescent="0.3">
      <c r="B55" s="1966" t="s">
        <v>370</v>
      </c>
      <c r="C55" s="1967"/>
      <c r="D55" s="1967"/>
      <c r="E55" s="1967"/>
      <c r="F55" s="1967"/>
      <c r="G55" s="1967"/>
      <c r="H55" s="1967"/>
      <c r="I55" s="1967"/>
      <c r="J55" s="539">
        <f>SUM(J39:J54)</f>
        <v>19</v>
      </c>
      <c r="K55" s="540">
        <f>SUM(K39:K54)</f>
        <v>429303</v>
      </c>
      <c r="L55" s="25"/>
    </row>
    <row r="56" spans="2:18" ht="34.5" customHeight="1" x14ac:dyDescent="0.3">
      <c r="B56" s="529" t="s">
        <v>371</v>
      </c>
      <c r="C56" s="541" t="s">
        <v>372</v>
      </c>
      <c r="D56" s="530"/>
      <c r="E56" s="532"/>
      <c r="F56" s="532"/>
      <c r="G56" s="532"/>
      <c r="H56" s="529"/>
      <c r="I56" s="529"/>
      <c r="J56" s="529"/>
      <c r="K56" s="529"/>
      <c r="L56" s="25"/>
    </row>
    <row r="57" spans="2:18" ht="21.95" customHeight="1" x14ac:dyDescent="0.3">
      <c r="B57" s="531" t="s">
        <v>373</v>
      </c>
      <c r="C57" s="532" t="s">
        <v>234</v>
      </c>
      <c r="D57" s="530">
        <v>1222.2</v>
      </c>
      <c r="E57" s="532"/>
      <c r="F57" s="532">
        <f>F$39</f>
        <v>2</v>
      </c>
      <c r="G57" s="532">
        <v>1.58</v>
      </c>
      <c r="H57" s="529">
        <v>2.2999999999999998</v>
      </c>
      <c r="I57" s="537">
        <f t="shared" ref="I57:I62" si="3">ROUND(K$32*F57*G57*H57,0)</f>
        <v>22008</v>
      </c>
      <c r="J57" s="529">
        <v>1</v>
      </c>
      <c r="K57" s="529">
        <f t="shared" ref="K57:K62" si="4">I57*J57</f>
        <v>22008</v>
      </c>
      <c r="L57" s="25"/>
    </row>
    <row r="58" spans="2:18" ht="21.95" customHeight="1" x14ac:dyDescent="0.3">
      <c r="B58" s="531" t="s">
        <v>374</v>
      </c>
      <c r="C58" s="532" t="s">
        <v>235</v>
      </c>
      <c r="D58" s="530">
        <v>3113</v>
      </c>
      <c r="E58" s="532"/>
      <c r="F58" s="532">
        <f>F$39</f>
        <v>2</v>
      </c>
      <c r="G58" s="532">
        <v>1.58</v>
      </c>
      <c r="H58" s="538">
        <v>2</v>
      </c>
      <c r="I58" s="537">
        <f t="shared" si="3"/>
        <v>19137</v>
      </c>
      <c r="J58" s="529">
        <v>1</v>
      </c>
      <c r="K58" s="529">
        <f t="shared" si="4"/>
        <v>19137</v>
      </c>
      <c r="L58" s="25"/>
    </row>
    <row r="59" spans="2:18" ht="35.25" customHeight="1" x14ac:dyDescent="0.3">
      <c r="B59" s="531" t="s">
        <v>375</v>
      </c>
      <c r="C59" s="542" t="s">
        <v>376</v>
      </c>
      <c r="D59" s="530">
        <v>1222.2</v>
      </c>
      <c r="E59" s="532"/>
      <c r="F59" s="532">
        <f>F$39</f>
        <v>2</v>
      </c>
      <c r="G59" s="532">
        <v>1.58</v>
      </c>
      <c r="H59" s="529">
        <v>1.9</v>
      </c>
      <c r="I59" s="537">
        <f t="shared" si="3"/>
        <v>18180</v>
      </c>
      <c r="J59" s="529">
        <v>1</v>
      </c>
      <c r="K59" s="529">
        <f t="shared" si="4"/>
        <v>18180</v>
      </c>
      <c r="L59" s="25"/>
      <c r="N59" s="148">
        <f>I59*12%</f>
        <v>2181.6</v>
      </c>
      <c r="O59" s="148">
        <f>N59*79.5%</f>
        <v>1734.3720000000001</v>
      </c>
      <c r="Q59" s="148">
        <f>3137+1000</f>
        <v>4137</v>
      </c>
      <c r="R59" s="148">
        <f>Q59+2300</f>
        <v>6437</v>
      </c>
    </row>
    <row r="60" spans="2:18" ht="21.95" customHeight="1" x14ac:dyDescent="0.3">
      <c r="B60" s="531" t="s">
        <v>377</v>
      </c>
      <c r="C60" s="532" t="s">
        <v>237</v>
      </c>
      <c r="D60" s="530">
        <v>1222.2</v>
      </c>
      <c r="E60" s="532"/>
      <c r="F60" s="532">
        <f>F$39</f>
        <v>2</v>
      </c>
      <c r="G60" s="532">
        <v>1.58</v>
      </c>
      <c r="H60" s="529">
        <v>1.9</v>
      </c>
      <c r="I60" s="537">
        <f t="shared" si="3"/>
        <v>18180</v>
      </c>
      <c r="J60" s="529">
        <v>1</v>
      </c>
      <c r="K60" s="529">
        <f t="shared" si="4"/>
        <v>18180</v>
      </c>
      <c r="L60" s="25"/>
    </row>
    <row r="61" spans="2:18" ht="21.95" customHeight="1" x14ac:dyDescent="0.3">
      <c r="B61" s="531" t="s">
        <v>378</v>
      </c>
      <c r="C61" s="532" t="s">
        <v>379</v>
      </c>
      <c r="D61" s="530">
        <v>2149.1999999999998</v>
      </c>
      <c r="E61" s="532"/>
      <c r="F61" s="532">
        <f>F$39</f>
        <v>2</v>
      </c>
      <c r="G61" s="532">
        <v>1.58</v>
      </c>
      <c r="H61" s="538">
        <v>2</v>
      </c>
      <c r="I61" s="537">
        <f t="shared" si="3"/>
        <v>19137</v>
      </c>
      <c r="J61" s="529">
        <v>1</v>
      </c>
      <c r="K61" s="529">
        <f t="shared" si="4"/>
        <v>19137</v>
      </c>
      <c r="L61" s="25"/>
    </row>
    <row r="62" spans="2:18" ht="21.6" customHeight="1" x14ac:dyDescent="0.3">
      <c r="B62" s="531" t="s">
        <v>381</v>
      </c>
      <c r="C62" s="532" t="s">
        <v>242</v>
      </c>
      <c r="D62" s="530">
        <v>4131</v>
      </c>
      <c r="E62" s="529"/>
      <c r="F62" s="532">
        <f t="shared" ref="F62:F71" si="5">F$39</f>
        <v>2</v>
      </c>
      <c r="G62" s="532">
        <v>1.58</v>
      </c>
      <c r="H62" s="538">
        <v>1.7</v>
      </c>
      <c r="I62" s="537">
        <f t="shared" si="3"/>
        <v>16266</v>
      </c>
      <c r="J62" s="529">
        <v>1</v>
      </c>
      <c r="K62" s="529">
        <f t="shared" si="4"/>
        <v>16266</v>
      </c>
      <c r="L62" s="25"/>
    </row>
    <row r="63" spans="2:18" ht="19.5" x14ac:dyDescent="0.35">
      <c r="B63" s="1957" t="s">
        <v>380</v>
      </c>
      <c r="C63" s="1958"/>
      <c r="D63" s="1958"/>
      <c r="E63" s="1958"/>
      <c r="F63" s="1958"/>
      <c r="G63" s="1958"/>
      <c r="H63" s="1958"/>
      <c r="I63" s="1958"/>
      <c r="J63" s="543">
        <f>SUM(J57:J62)</f>
        <v>6</v>
      </c>
      <c r="K63" s="544">
        <f>SUM(K57:K62)</f>
        <v>112908</v>
      </c>
      <c r="L63" s="25"/>
    </row>
    <row r="64" spans="2:18" ht="21.6" customHeight="1" x14ac:dyDescent="0.3">
      <c r="B64" s="531" t="s">
        <v>383</v>
      </c>
      <c r="C64" s="532" t="s">
        <v>382</v>
      </c>
      <c r="D64" s="530">
        <v>7233</v>
      </c>
      <c r="E64" s="529">
        <v>4</v>
      </c>
      <c r="F64" s="532">
        <f t="shared" si="5"/>
        <v>2</v>
      </c>
      <c r="G64" s="532">
        <v>1.58</v>
      </c>
      <c r="H64" s="529">
        <v>1.43</v>
      </c>
      <c r="I64" s="537">
        <f>ROUND(K$32*F64*G64*H64,0)</f>
        <v>13683</v>
      </c>
      <c r="J64" s="529">
        <v>3</v>
      </c>
      <c r="K64" s="529">
        <f t="shared" ref="K64:K71" si="6">I64*J64</f>
        <v>41049</v>
      </c>
      <c r="L64" s="25"/>
    </row>
    <row r="65" spans="2:12" ht="21.6" customHeight="1" x14ac:dyDescent="0.3">
      <c r="B65" s="531" t="s">
        <v>384</v>
      </c>
      <c r="C65" s="532" t="s">
        <v>382</v>
      </c>
      <c r="D65" s="530">
        <v>7233</v>
      </c>
      <c r="E65" s="529">
        <v>4</v>
      </c>
      <c r="F65" s="532">
        <f t="shared" si="5"/>
        <v>2</v>
      </c>
      <c r="G65" s="532">
        <v>1.58</v>
      </c>
      <c r="H65" s="529">
        <v>1.43</v>
      </c>
      <c r="I65" s="537">
        <f>ROUND(K$32*F65*G65*H65,0)</f>
        <v>13683</v>
      </c>
      <c r="J65" s="529">
        <v>8</v>
      </c>
      <c r="K65" s="529">
        <f t="shared" si="6"/>
        <v>109464</v>
      </c>
      <c r="L65" s="25"/>
    </row>
    <row r="66" spans="2:12" ht="21.6" customHeight="1" x14ac:dyDescent="0.3">
      <c r="B66" s="531" t="s">
        <v>385</v>
      </c>
      <c r="C66" s="532" t="s">
        <v>382</v>
      </c>
      <c r="D66" s="530">
        <v>7233</v>
      </c>
      <c r="E66" s="529">
        <v>5</v>
      </c>
      <c r="F66" s="532">
        <f t="shared" si="5"/>
        <v>2</v>
      </c>
      <c r="G66" s="532">
        <v>1.58</v>
      </c>
      <c r="H66" s="529">
        <v>1.67</v>
      </c>
      <c r="I66" s="537">
        <f>ROUND(K$32*F66*G66*H66,0)</f>
        <v>15979</v>
      </c>
      <c r="J66" s="529">
        <v>3</v>
      </c>
      <c r="K66" s="529">
        <f t="shared" si="6"/>
        <v>47937</v>
      </c>
      <c r="L66" s="25"/>
    </row>
    <row r="67" spans="2:12" ht="21.6" customHeight="1" x14ac:dyDescent="0.3">
      <c r="B67" s="531" t="s">
        <v>386</v>
      </c>
      <c r="C67" s="532" t="s">
        <v>382</v>
      </c>
      <c r="D67" s="530">
        <v>7233</v>
      </c>
      <c r="E67" s="529">
        <v>5</v>
      </c>
      <c r="F67" s="532">
        <f t="shared" si="5"/>
        <v>2</v>
      </c>
      <c r="G67" s="532">
        <v>1.58</v>
      </c>
      <c r="H67" s="529">
        <v>1.67</v>
      </c>
      <c r="I67" s="537">
        <f>ROUND(K$32*F67*G67*H67,0)</f>
        <v>15979</v>
      </c>
      <c r="J67" s="529">
        <v>4</v>
      </c>
      <c r="K67" s="529">
        <f t="shared" si="6"/>
        <v>63916</v>
      </c>
      <c r="L67" s="25"/>
    </row>
    <row r="68" spans="2:12" ht="21.6" customHeight="1" x14ac:dyDescent="0.3">
      <c r="B68" s="531" t="s">
        <v>388</v>
      </c>
      <c r="C68" s="532" t="s">
        <v>387</v>
      </c>
      <c r="D68" s="530">
        <v>7212</v>
      </c>
      <c r="E68" s="529">
        <v>5</v>
      </c>
      <c r="F68" s="532">
        <f t="shared" si="5"/>
        <v>2</v>
      </c>
      <c r="G68" s="532">
        <v>1.58</v>
      </c>
      <c r="H68" s="529">
        <v>1.67</v>
      </c>
      <c r="I68" s="537">
        <f>ROUND(K$32*F68*G68*H68,0)</f>
        <v>15979</v>
      </c>
      <c r="J68" s="529">
        <v>2</v>
      </c>
      <c r="K68" s="529">
        <f t="shared" si="6"/>
        <v>31958</v>
      </c>
      <c r="L68" s="25"/>
    </row>
    <row r="69" spans="2:12" ht="21.6" customHeight="1" x14ac:dyDescent="0.3">
      <c r="B69" s="531" t="s">
        <v>389</v>
      </c>
      <c r="C69" s="532" t="s">
        <v>243</v>
      </c>
      <c r="D69" s="530">
        <v>8322</v>
      </c>
      <c r="E69" s="529"/>
      <c r="F69" s="532">
        <f t="shared" si="5"/>
        <v>2</v>
      </c>
      <c r="G69" s="532">
        <v>1</v>
      </c>
      <c r="H69" s="529">
        <v>1.86</v>
      </c>
      <c r="I69" s="537">
        <f>ROUND(K$32*F69*H69,0)</f>
        <v>11264</v>
      </c>
      <c r="J69" s="529">
        <v>1</v>
      </c>
      <c r="K69" s="529">
        <f t="shared" si="6"/>
        <v>11264</v>
      </c>
      <c r="L69" s="25"/>
    </row>
    <row r="70" spans="2:12" ht="21.6" customHeight="1" x14ac:dyDescent="0.3">
      <c r="B70" s="531" t="s">
        <v>390</v>
      </c>
      <c r="C70" s="532" t="s">
        <v>243</v>
      </c>
      <c r="D70" s="530">
        <v>8322</v>
      </c>
      <c r="E70" s="529"/>
      <c r="F70" s="532">
        <f t="shared" si="5"/>
        <v>2</v>
      </c>
      <c r="G70" s="532">
        <v>1</v>
      </c>
      <c r="H70" s="545">
        <v>1.8</v>
      </c>
      <c r="I70" s="537">
        <f>ROUND(K$32*F70*H70,0)</f>
        <v>10901</v>
      </c>
      <c r="J70" s="529">
        <v>1</v>
      </c>
      <c r="K70" s="529">
        <f>I70*J70</f>
        <v>10901</v>
      </c>
      <c r="L70" s="25"/>
    </row>
    <row r="71" spans="2:12" ht="21.6" customHeight="1" x14ac:dyDescent="0.3">
      <c r="B71" s="531" t="s">
        <v>391</v>
      </c>
      <c r="C71" s="532" t="s">
        <v>392</v>
      </c>
      <c r="D71" s="530">
        <v>8332</v>
      </c>
      <c r="E71" s="529">
        <v>5</v>
      </c>
      <c r="F71" s="532">
        <f t="shared" si="5"/>
        <v>2</v>
      </c>
      <c r="G71" s="532">
        <v>1.58</v>
      </c>
      <c r="H71" s="529">
        <v>1.67</v>
      </c>
      <c r="I71" s="537">
        <f>ROUND(K$32*F71*G71*H71,0)</f>
        <v>15979</v>
      </c>
      <c r="J71" s="529">
        <v>1</v>
      </c>
      <c r="K71" s="529">
        <f t="shared" si="6"/>
        <v>15979</v>
      </c>
      <c r="L71" s="25"/>
    </row>
    <row r="72" spans="2:12" ht="21.75" customHeight="1" x14ac:dyDescent="0.35">
      <c r="B72" s="1957" t="s">
        <v>380</v>
      </c>
      <c r="C72" s="1958"/>
      <c r="D72" s="1958"/>
      <c r="E72" s="1958"/>
      <c r="F72" s="1958"/>
      <c r="G72" s="1958"/>
      <c r="H72" s="1958"/>
      <c r="I72" s="1958"/>
      <c r="J72" s="543">
        <f>SUM(J64:J71)</f>
        <v>23</v>
      </c>
      <c r="K72" s="544">
        <f>SUM(K64:K71)</f>
        <v>332468</v>
      </c>
      <c r="L72" s="25"/>
    </row>
    <row r="73" spans="2:12" ht="21.6" customHeight="1" x14ac:dyDescent="0.35">
      <c r="B73" s="531"/>
      <c r="C73" s="546" t="s">
        <v>393</v>
      </c>
      <c r="D73" s="530"/>
      <c r="E73" s="529"/>
      <c r="F73" s="529"/>
      <c r="G73" s="529"/>
      <c r="H73" s="529"/>
      <c r="I73" s="529"/>
      <c r="J73" s="529"/>
      <c r="K73" s="529"/>
      <c r="L73" s="25"/>
    </row>
    <row r="74" spans="2:12" ht="21.6" customHeight="1" x14ac:dyDescent="0.3">
      <c r="B74" s="531" t="s">
        <v>394</v>
      </c>
      <c r="C74" s="532" t="s">
        <v>395</v>
      </c>
      <c r="D74" s="530">
        <v>8163</v>
      </c>
      <c r="E74" s="529">
        <v>3</v>
      </c>
      <c r="F74" s="532">
        <f t="shared" ref="F74:F79" si="7">F$39</f>
        <v>2</v>
      </c>
      <c r="G74" s="532">
        <v>1.58</v>
      </c>
      <c r="H74" s="529">
        <v>1.25</v>
      </c>
      <c r="I74" s="537">
        <f>ROUND(K$32*F74*G74*H74,0)</f>
        <v>11961</v>
      </c>
      <c r="J74" s="529">
        <v>4</v>
      </c>
      <c r="K74" s="529">
        <f t="shared" ref="K74:K79" si="8">I74*J74</f>
        <v>47844</v>
      </c>
      <c r="L74" s="25"/>
    </row>
    <row r="75" spans="2:12" ht="21.6" customHeight="1" x14ac:dyDescent="0.3">
      <c r="B75" s="531" t="s">
        <v>396</v>
      </c>
      <c r="C75" s="542" t="s">
        <v>397</v>
      </c>
      <c r="D75" s="530">
        <v>7233</v>
      </c>
      <c r="E75" s="529">
        <v>4</v>
      </c>
      <c r="F75" s="532">
        <f t="shared" si="7"/>
        <v>2</v>
      </c>
      <c r="G75" s="532">
        <v>1.58</v>
      </c>
      <c r="H75" s="529">
        <v>1.43</v>
      </c>
      <c r="I75" s="537">
        <f>ROUND(K$32*F75*G75*H75,0)</f>
        <v>13683</v>
      </c>
      <c r="J75" s="529">
        <v>1</v>
      </c>
      <c r="K75" s="529">
        <f t="shared" si="8"/>
        <v>13683</v>
      </c>
      <c r="L75" s="25"/>
    </row>
    <row r="76" spans="2:12" ht="35.25" customHeight="1" x14ac:dyDescent="0.3">
      <c r="B76" s="531" t="s">
        <v>398</v>
      </c>
      <c r="C76" s="542" t="s">
        <v>399</v>
      </c>
      <c r="D76" s="530">
        <v>7241</v>
      </c>
      <c r="E76" s="529">
        <v>5</v>
      </c>
      <c r="F76" s="532">
        <f t="shared" si="7"/>
        <v>2</v>
      </c>
      <c r="G76" s="532">
        <v>1.58</v>
      </c>
      <c r="H76" s="529">
        <v>1.67</v>
      </c>
      <c r="I76" s="537">
        <f>ROUND(K$32*F76*G76*H76,0)</f>
        <v>15979</v>
      </c>
      <c r="J76" s="529">
        <v>1</v>
      </c>
      <c r="K76" s="529">
        <f t="shared" si="8"/>
        <v>15979</v>
      </c>
      <c r="L76" s="25"/>
    </row>
    <row r="77" spans="2:12" ht="37.5" customHeight="1" x14ac:dyDescent="0.3">
      <c r="B77" s="531" t="s">
        <v>400</v>
      </c>
      <c r="C77" s="542" t="s">
        <v>266</v>
      </c>
      <c r="D77" s="530">
        <v>7241</v>
      </c>
      <c r="E77" s="529">
        <v>5</v>
      </c>
      <c r="F77" s="532">
        <f t="shared" si="7"/>
        <v>2</v>
      </c>
      <c r="G77" s="532">
        <v>1.58</v>
      </c>
      <c r="H77" s="529">
        <v>1.67</v>
      </c>
      <c r="I77" s="537">
        <f>ROUND(K$32*F77*G77*H77,0)</f>
        <v>15979</v>
      </c>
      <c r="J77" s="529">
        <v>1</v>
      </c>
      <c r="K77" s="529">
        <f t="shared" si="8"/>
        <v>15979</v>
      </c>
      <c r="L77" s="25"/>
    </row>
    <row r="78" spans="2:12" ht="21.6" customHeight="1" x14ac:dyDescent="0.3">
      <c r="B78" s="531" t="s">
        <v>401</v>
      </c>
      <c r="C78" s="532" t="s">
        <v>252</v>
      </c>
      <c r="D78" s="530">
        <v>8163</v>
      </c>
      <c r="E78" s="529">
        <v>3</v>
      </c>
      <c r="F78" s="532">
        <f t="shared" si="7"/>
        <v>2</v>
      </c>
      <c r="G78" s="532">
        <v>1.58</v>
      </c>
      <c r="H78" s="529">
        <v>1.25</v>
      </c>
      <c r="I78" s="537">
        <f>ROUND(K$32*F78*G78*H78,0)</f>
        <v>11961</v>
      </c>
      <c r="J78" s="529">
        <v>1</v>
      </c>
      <c r="K78" s="529">
        <f t="shared" si="8"/>
        <v>11961</v>
      </c>
      <c r="L78" s="25"/>
    </row>
    <row r="79" spans="2:12" ht="21.6" customHeight="1" x14ac:dyDescent="0.3">
      <c r="B79" s="531" t="s">
        <v>402</v>
      </c>
      <c r="C79" s="532" t="s">
        <v>253</v>
      </c>
      <c r="D79" s="530">
        <v>9162</v>
      </c>
      <c r="E79" s="529"/>
      <c r="F79" s="532">
        <f t="shared" si="7"/>
        <v>2</v>
      </c>
      <c r="G79" s="532">
        <v>1</v>
      </c>
      <c r="H79" s="529">
        <v>1.32</v>
      </c>
      <c r="I79" s="537">
        <f>ROUND(K$32*F79*H79,0)</f>
        <v>7994</v>
      </c>
      <c r="J79" s="529">
        <v>2</v>
      </c>
      <c r="K79" s="529">
        <f t="shared" si="8"/>
        <v>15988</v>
      </c>
      <c r="L79" s="25"/>
    </row>
    <row r="80" spans="2:12" ht="21.6" customHeight="1" x14ac:dyDescent="0.35">
      <c r="B80" s="1957" t="s">
        <v>380</v>
      </c>
      <c r="C80" s="1958"/>
      <c r="D80" s="1958"/>
      <c r="E80" s="1958"/>
      <c r="F80" s="1958"/>
      <c r="G80" s="1958"/>
      <c r="H80" s="1958"/>
      <c r="I80" s="1958"/>
      <c r="J80" s="543">
        <f>SUM(J74:J79)</f>
        <v>10</v>
      </c>
      <c r="K80" s="544">
        <f>SUM(K74:K79)</f>
        <v>121434</v>
      </c>
      <c r="L80" s="25"/>
    </row>
    <row r="81" spans="2:12" ht="21.6" customHeight="1" x14ac:dyDescent="0.35">
      <c r="B81" s="531"/>
      <c r="C81" s="546" t="s">
        <v>403</v>
      </c>
      <c r="D81" s="530"/>
      <c r="E81" s="529"/>
      <c r="F81" s="529"/>
      <c r="G81" s="529"/>
      <c r="H81" s="529"/>
      <c r="I81" s="529"/>
      <c r="J81" s="529"/>
      <c r="K81" s="529"/>
      <c r="L81" s="25"/>
    </row>
    <row r="82" spans="2:12" ht="21.6" customHeight="1" x14ac:dyDescent="0.3">
      <c r="B82" s="531" t="s">
        <v>404</v>
      </c>
      <c r="C82" s="532" t="s">
        <v>395</v>
      </c>
      <c r="D82" s="530">
        <v>8163</v>
      </c>
      <c r="E82" s="529">
        <v>3</v>
      </c>
      <c r="F82" s="532">
        <f>F$39</f>
        <v>2</v>
      </c>
      <c r="G82" s="532">
        <v>1.58</v>
      </c>
      <c r="H82" s="529">
        <v>1.25</v>
      </c>
      <c r="I82" s="537">
        <f>ROUND(K$32*F82*G82*H82,0)</f>
        <v>11961</v>
      </c>
      <c r="J82" s="529">
        <v>9</v>
      </c>
      <c r="K82" s="529">
        <f>I82*J82</f>
        <v>107649</v>
      </c>
      <c r="L82" s="25"/>
    </row>
    <row r="83" spans="2:12" ht="21.6" customHeight="1" x14ac:dyDescent="0.3">
      <c r="B83" s="531" t="s">
        <v>405</v>
      </c>
      <c r="C83" s="542" t="s">
        <v>397</v>
      </c>
      <c r="D83" s="530">
        <v>7233</v>
      </c>
      <c r="E83" s="529">
        <v>4</v>
      </c>
      <c r="F83" s="532">
        <f>F$39</f>
        <v>2</v>
      </c>
      <c r="G83" s="532">
        <v>1.58</v>
      </c>
      <c r="H83" s="529">
        <v>1.43</v>
      </c>
      <c r="I83" s="537">
        <f>ROUND(K$32*F83*G83*H83,0)</f>
        <v>13683</v>
      </c>
      <c r="J83" s="529">
        <v>1</v>
      </c>
      <c r="K83" s="529">
        <f>I83*J83</f>
        <v>13683</v>
      </c>
      <c r="L83" s="25"/>
    </row>
    <row r="84" spans="2:12" ht="41.45" customHeight="1" x14ac:dyDescent="0.3">
      <c r="B84" s="531" t="s">
        <v>406</v>
      </c>
      <c r="C84" s="542" t="s">
        <v>266</v>
      </c>
      <c r="D84" s="530">
        <v>7241</v>
      </c>
      <c r="E84" s="529">
        <v>4</v>
      </c>
      <c r="F84" s="532">
        <f>F$39</f>
        <v>2</v>
      </c>
      <c r="G84" s="532">
        <v>1.58</v>
      </c>
      <c r="H84" s="529">
        <v>1.43</v>
      </c>
      <c r="I84" s="537">
        <f>ROUND(K$32*F84*G84*H84,0)</f>
        <v>13683</v>
      </c>
      <c r="J84" s="529">
        <v>1</v>
      </c>
      <c r="K84" s="529">
        <f>I84*J84</f>
        <v>13683</v>
      </c>
      <c r="L84" s="25"/>
    </row>
    <row r="85" spans="2:12" ht="42.95" customHeight="1" x14ac:dyDescent="0.3">
      <c r="B85" s="531" t="s">
        <v>407</v>
      </c>
      <c r="C85" s="542" t="s">
        <v>399</v>
      </c>
      <c r="D85" s="530">
        <v>7241</v>
      </c>
      <c r="E85" s="529">
        <v>5</v>
      </c>
      <c r="F85" s="532">
        <f>F$39</f>
        <v>2</v>
      </c>
      <c r="G85" s="532">
        <v>1.58</v>
      </c>
      <c r="H85" s="529">
        <v>1.67</v>
      </c>
      <c r="I85" s="537">
        <f>ROUND(K$32*F85*G85*H85,0)</f>
        <v>15979</v>
      </c>
      <c r="J85" s="529">
        <v>1</v>
      </c>
      <c r="K85" s="529">
        <f>I85*J85</f>
        <v>15979</v>
      </c>
      <c r="L85" s="25"/>
    </row>
    <row r="86" spans="2:12" ht="21.6" customHeight="1" x14ac:dyDescent="0.35">
      <c r="B86" s="1957" t="s">
        <v>380</v>
      </c>
      <c r="C86" s="1958"/>
      <c r="D86" s="1958"/>
      <c r="E86" s="1958"/>
      <c r="F86" s="1958"/>
      <c r="G86" s="1958"/>
      <c r="H86" s="1958"/>
      <c r="I86" s="1958"/>
      <c r="J86" s="543">
        <f>SUM(J82:J85)</f>
        <v>12</v>
      </c>
      <c r="K86" s="544">
        <f>SUM(K82:K85)</f>
        <v>150994</v>
      </c>
      <c r="L86" s="25"/>
    </row>
    <row r="87" spans="2:12" ht="21.6" customHeight="1" x14ac:dyDescent="0.3">
      <c r="B87" s="1969" t="s">
        <v>370</v>
      </c>
      <c r="C87" s="1970"/>
      <c r="D87" s="1970"/>
      <c r="E87" s="1970"/>
      <c r="F87" s="1970"/>
      <c r="G87" s="1970"/>
      <c r="H87" s="1970"/>
      <c r="I87" s="1970"/>
      <c r="J87" s="539">
        <f>J86+J80+J72+J63</f>
        <v>51</v>
      </c>
      <c r="K87" s="540">
        <f>K86+K80+K72+K63</f>
        <v>717804</v>
      </c>
      <c r="L87" s="25"/>
    </row>
    <row r="88" spans="2:12" ht="21.6" customHeight="1" x14ac:dyDescent="0.3">
      <c r="B88" s="531" t="s">
        <v>408</v>
      </c>
      <c r="C88" s="547" t="s">
        <v>409</v>
      </c>
      <c r="D88" s="530"/>
      <c r="E88" s="529"/>
      <c r="F88" s="529"/>
      <c r="G88" s="529"/>
      <c r="H88" s="529"/>
      <c r="I88" s="529"/>
      <c r="J88" s="529"/>
      <c r="K88" s="529"/>
      <c r="L88" s="25"/>
    </row>
    <row r="89" spans="2:12" ht="21.6" customHeight="1" x14ac:dyDescent="0.3">
      <c r="B89" s="531" t="s">
        <v>410</v>
      </c>
      <c r="C89" s="532" t="s">
        <v>260</v>
      </c>
      <c r="D89" s="530">
        <v>1233</v>
      </c>
      <c r="E89" s="529"/>
      <c r="F89" s="532">
        <f>F$39</f>
        <v>2</v>
      </c>
      <c r="G89" s="532">
        <v>1.58</v>
      </c>
      <c r="H89" s="529">
        <v>2.35</v>
      </c>
      <c r="I89" s="537">
        <f>ROUND(K$32*F89*G89*H89,0)</f>
        <v>22486</v>
      </c>
      <c r="J89" s="529">
        <v>1</v>
      </c>
      <c r="K89" s="529">
        <f>I89*J89</f>
        <v>22486</v>
      </c>
      <c r="L89" s="25"/>
    </row>
    <row r="90" spans="2:12" ht="21.6" customHeight="1" x14ac:dyDescent="0.3">
      <c r="B90" s="531" t="s">
        <v>411</v>
      </c>
      <c r="C90" s="532" t="s">
        <v>238</v>
      </c>
      <c r="D90" s="530">
        <v>2149.1999999999998</v>
      </c>
      <c r="E90" s="529"/>
      <c r="F90" s="532">
        <f>F$39</f>
        <v>2</v>
      </c>
      <c r="G90" s="532">
        <v>1.58</v>
      </c>
      <c r="H90" s="529">
        <v>1.8</v>
      </c>
      <c r="I90" s="537">
        <f>ROUND(K$32*F90*G90*H90,0)</f>
        <v>17223</v>
      </c>
      <c r="J90" s="529">
        <v>2</v>
      </c>
      <c r="K90" s="529">
        <f>I90*J90</f>
        <v>34446</v>
      </c>
      <c r="L90" s="25"/>
    </row>
    <row r="91" spans="2:12" ht="21.6" customHeight="1" x14ac:dyDescent="0.3">
      <c r="B91" s="531" t="s">
        <v>412</v>
      </c>
      <c r="C91" s="532" t="s">
        <v>413</v>
      </c>
      <c r="D91" s="530">
        <v>7136</v>
      </c>
      <c r="E91" s="529"/>
      <c r="F91" s="532">
        <f>F$39</f>
        <v>2</v>
      </c>
      <c r="G91" s="532">
        <v>1.58</v>
      </c>
      <c r="H91" s="545">
        <f>1.2*1.1</f>
        <v>1.32</v>
      </c>
      <c r="I91" s="537">
        <f>ROUND(K$32*F91*G91*H91,0)</f>
        <v>12630</v>
      </c>
      <c r="J91" s="529">
        <v>1</v>
      </c>
      <c r="K91" s="529">
        <f>I91*J91</f>
        <v>12630</v>
      </c>
      <c r="L91" s="25"/>
    </row>
    <row r="92" spans="2:12" ht="21.6" customHeight="1" x14ac:dyDescent="0.3">
      <c r="B92" s="531" t="s">
        <v>414</v>
      </c>
      <c r="C92" s="532" t="s">
        <v>262</v>
      </c>
      <c r="D92" s="530">
        <v>7136</v>
      </c>
      <c r="E92" s="529">
        <v>3</v>
      </c>
      <c r="F92" s="532">
        <f>F$39</f>
        <v>2</v>
      </c>
      <c r="G92" s="532">
        <v>1.58</v>
      </c>
      <c r="H92" s="529">
        <v>1.2</v>
      </c>
      <c r="I92" s="537">
        <f>ROUND(K$32*F92*G92*H92,0)</f>
        <v>11482</v>
      </c>
      <c r="J92" s="529">
        <v>10</v>
      </c>
      <c r="K92" s="529">
        <f>I92*J92</f>
        <v>114820</v>
      </c>
      <c r="L92" s="25"/>
    </row>
    <row r="93" spans="2:12" ht="21.6" customHeight="1" x14ac:dyDescent="0.35">
      <c r="B93" s="1957" t="s">
        <v>370</v>
      </c>
      <c r="C93" s="1958"/>
      <c r="D93" s="1958"/>
      <c r="E93" s="1958"/>
      <c r="F93" s="1958"/>
      <c r="G93" s="1958"/>
      <c r="H93" s="1958"/>
      <c r="I93" s="1958"/>
      <c r="J93" s="543">
        <f>SUM(J89:J92)</f>
        <v>14</v>
      </c>
      <c r="K93" s="544">
        <f>SUM(K89:K92)</f>
        <v>184382</v>
      </c>
      <c r="L93" s="25"/>
    </row>
    <row r="94" spans="2:12" ht="21.6" customHeight="1" x14ac:dyDescent="0.3">
      <c r="B94" s="531" t="s">
        <v>263</v>
      </c>
      <c r="C94" s="547" t="s">
        <v>264</v>
      </c>
      <c r="D94" s="530"/>
      <c r="E94" s="529"/>
      <c r="F94" s="529"/>
      <c r="G94" s="529"/>
      <c r="H94" s="529"/>
      <c r="I94" s="529"/>
      <c r="J94" s="529"/>
      <c r="K94" s="529"/>
      <c r="L94" s="25"/>
    </row>
    <row r="95" spans="2:12" ht="21.6" customHeight="1" x14ac:dyDescent="0.3">
      <c r="B95" s="531" t="s">
        <v>415</v>
      </c>
      <c r="C95" s="532" t="s">
        <v>416</v>
      </c>
      <c r="D95" s="529">
        <v>1222.2</v>
      </c>
      <c r="E95" s="529"/>
      <c r="F95" s="532">
        <f>F$39</f>
        <v>2</v>
      </c>
      <c r="G95" s="532">
        <v>1.58</v>
      </c>
      <c r="H95" s="529">
        <v>1.9</v>
      </c>
      <c r="I95" s="537">
        <f>ROUND(K$32*F95*G95*H95,0)</f>
        <v>18180</v>
      </c>
      <c r="J95" s="529">
        <v>1</v>
      </c>
      <c r="K95" s="529">
        <f>I95*J95</f>
        <v>18180</v>
      </c>
      <c r="L95" s="25"/>
    </row>
    <row r="96" spans="2:12" ht="40.5" customHeight="1" x14ac:dyDescent="0.3">
      <c r="B96" s="531" t="s">
        <v>417</v>
      </c>
      <c r="C96" s="542" t="s">
        <v>266</v>
      </c>
      <c r="D96" s="529">
        <v>7241</v>
      </c>
      <c r="E96" s="529">
        <v>4</v>
      </c>
      <c r="F96" s="532">
        <f>F$39</f>
        <v>2</v>
      </c>
      <c r="G96" s="532">
        <v>1.58</v>
      </c>
      <c r="H96" s="529">
        <v>1.43</v>
      </c>
      <c r="I96" s="537">
        <f>ROUND(K$32*F96*G96*H96,0)</f>
        <v>13683</v>
      </c>
      <c r="J96" s="529">
        <v>2.25</v>
      </c>
      <c r="K96" s="529">
        <f>I96*J96</f>
        <v>30786.75</v>
      </c>
      <c r="L96" s="25"/>
    </row>
    <row r="97" spans="2:23" ht="21.6" customHeight="1" x14ac:dyDescent="0.3">
      <c r="B97" s="531" t="s">
        <v>418</v>
      </c>
      <c r="C97" s="532" t="s">
        <v>382</v>
      </c>
      <c r="D97" s="530">
        <v>7233</v>
      </c>
      <c r="E97" s="529">
        <v>4</v>
      </c>
      <c r="F97" s="532">
        <f>F$39</f>
        <v>2</v>
      </c>
      <c r="G97" s="532">
        <v>1.58</v>
      </c>
      <c r="H97" s="529">
        <v>1.43</v>
      </c>
      <c r="I97" s="537">
        <f>ROUND(K$32*F97*G97*H97,0)</f>
        <v>13683</v>
      </c>
      <c r="J97" s="529">
        <v>0.25</v>
      </c>
      <c r="K97" s="529">
        <f>I97*J97</f>
        <v>3420.75</v>
      </c>
      <c r="L97" s="25"/>
    </row>
    <row r="98" spans="2:23" ht="21.6" customHeight="1" x14ac:dyDescent="0.3">
      <c r="B98" s="531" t="s">
        <v>419</v>
      </c>
      <c r="C98" s="532" t="s">
        <v>243</v>
      </c>
      <c r="D98" s="530">
        <v>8322</v>
      </c>
      <c r="E98" s="529"/>
      <c r="F98" s="532">
        <f>F$39</f>
        <v>2</v>
      </c>
      <c r="G98" s="532">
        <v>1</v>
      </c>
      <c r="H98" s="529">
        <v>1.95</v>
      </c>
      <c r="I98" s="537">
        <f>ROUND(K$32*F98*H98,0)</f>
        <v>11809</v>
      </c>
      <c r="J98" s="529">
        <v>1</v>
      </c>
      <c r="K98" s="529">
        <f>I98*J98</f>
        <v>11809</v>
      </c>
      <c r="L98" s="25"/>
    </row>
    <row r="99" spans="2:23" ht="21.6" customHeight="1" x14ac:dyDescent="0.35">
      <c r="B99" s="1957" t="s">
        <v>420</v>
      </c>
      <c r="C99" s="1958"/>
      <c r="D99" s="1958"/>
      <c r="E99" s="1958"/>
      <c r="F99" s="1958"/>
      <c r="G99" s="1958"/>
      <c r="H99" s="1958"/>
      <c r="I99" s="1958"/>
      <c r="J99" s="543">
        <f>SUM(J95:J98)</f>
        <v>4.5</v>
      </c>
      <c r="K99" s="544">
        <f>SUM(K95:K98)</f>
        <v>64196.5</v>
      </c>
      <c r="L99" s="25"/>
    </row>
    <row r="100" spans="2:23" ht="42.75" hidden="1" customHeight="1" x14ac:dyDescent="0.35">
      <c r="B100" s="548" t="s">
        <v>421</v>
      </c>
      <c r="C100" s="549" t="s">
        <v>281</v>
      </c>
      <c r="D100" s="529"/>
      <c r="E100" s="550"/>
      <c r="F100" s="550"/>
      <c r="G100" s="550"/>
      <c r="H100" s="550"/>
      <c r="I100" s="550"/>
      <c r="J100" s="544"/>
      <c r="K100" s="544"/>
      <c r="L100" s="25"/>
    </row>
    <row r="101" spans="2:23" ht="21.6" hidden="1" customHeight="1" x14ac:dyDescent="0.3">
      <c r="B101" s="551" t="s">
        <v>422</v>
      </c>
      <c r="C101" s="548" t="s">
        <v>265</v>
      </c>
      <c r="D101" s="529">
        <v>1222.2</v>
      </c>
      <c r="E101" s="552"/>
      <c r="F101" s="532">
        <f>F$39</f>
        <v>2</v>
      </c>
      <c r="G101" s="553">
        <v>1.58</v>
      </c>
      <c r="H101" s="529">
        <v>1.9</v>
      </c>
      <c r="I101" s="537">
        <f>ROUND(K$32*F101*G101*H101,0)</f>
        <v>18180</v>
      </c>
      <c r="J101" s="529"/>
      <c r="K101" s="554">
        <f>I101*J101</f>
        <v>0</v>
      </c>
      <c r="L101" s="25"/>
    </row>
    <row r="102" spans="2:23" ht="21.6" hidden="1" customHeight="1" x14ac:dyDescent="0.3">
      <c r="B102" s="551" t="s">
        <v>423</v>
      </c>
      <c r="C102" s="555" t="s">
        <v>240</v>
      </c>
      <c r="D102" s="529" t="s">
        <v>424</v>
      </c>
      <c r="E102" s="531">
        <v>4</v>
      </c>
      <c r="F102" s="532">
        <f>F$39</f>
        <v>2</v>
      </c>
      <c r="G102" s="553">
        <v>1.58</v>
      </c>
      <c r="H102" s="529">
        <v>1.43</v>
      </c>
      <c r="I102" s="537">
        <f>ROUND(K$32*F102*G102*H102,0)</f>
        <v>13683</v>
      </c>
      <c r="J102" s="529"/>
      <c r="K102" s="554">
        <f>I102*J102</f>
        <v>0</v>
      </c>
      <c r="L102" s="25"/>
    </row>
    <row r="103" spans="2:23" ht="21.6" hidden="1" customHeight="1" x14ac:dyDescent="0.3">
      <c r="B103" s="551" t="s">
        <v>425</v>
      </c>
      <c r="C103" s="555" t="s">
        <v>217</v>
      </c>
      <c r="D103" s="529">
        <v>3433</v>
      </c>
      <c r="E103" s="531"/>
      <c r="F103" s="532">
        <f>F$39</f>
        <v>2</v>
      </c>
      <c r="G103" s="553">
        <v>1.58</v>
      </c>
      <c r="H103" s="538">
        <v>2</v>
      </c>
      <c r="I103" s="537">
        <f>ROUND(K$32*F103*G103*H103,0)</f>
        <v>19137</v>
      </c>
      <c r="J103" s="529"/>
      <c r="K103" s="554">
        <f>I103*J103</f>
        <v>0</v>
      </c>
      <c r="L103" s="25"/>
    </row>
    <row r="104" spans="2:23" ht="21.6" hidden="1" customHeight="1" x14ac:dyDescent="0.3">
      <c r="B104" s="551" t="s">
        <v>426</v>
      </c>
      <c r="C104" s="548" t="s">
        <v>243</v>
      </c>
      <c r="D104" s="529" t="s">
        <v>427</v>
      </c>
      <c r="E104" s="550"/>
      <c r="F104" s="532">
        <f>F$39</f>
        <v>2</v>
      </c>
      <c r="G104" s="553">
        <v>1</v>
      </c>
      <c r="H104" s="529">
        <v>1.95</v>
      </c>
      <c r="I104" s="537">
        <f>ROUND(K$32*F104*G104*H104,0)</f>
        <v>11809</v>
      </c>
      <c r="J104" s="529"/>
      <c r="K104" s="554">
        <f>I104*J104</f>
        <v>0</v>
      </c>
      <c r="L104" s="25"/>
    </row>
    <row r="105" spans="2:23" ht="21.6" hidden="1" customHeight="1" x14ac:dyDescent="0.35">
      <c r="B105" s="1971" t="s">
        <v>420</v>
      </c>
      <c r="C105" s="1972"/>
      <c r="D105" s="1972"/>
      <c r="E105" s="1972"/>
      <c r="F105" s="1972"/>
      <c r="G105" s="1972"/>
      <c r="H105" s="1972"/>
      <c r="I105" s="1973"/>
      <c r="J105" s="544">
        <f>SUM(J101:J104)</f>
        <v>0</v>
      </c>
      <c r="K105" s="556">
        <f>SUM(K101:K104)</f>
        <v>0</v>
      </c>
      <c r="L105" s="25"/>
    </row>
    <row r="106" spans="2:23" s="205" customFormat="1" ht="21.6" hidden="1" customHeight="1" x14ac:dyDescent="0.35">
      <c r="B106" s="557"/>
      <c r="C106" s="558" t="s">
        <v>428</v>
      </c>
      <c r="D106" s="558"/>
      <c r="E106" s="558"/>
      <c r="F106" s="558"/>
      <c r="G106" s="558"/>
      <c r="H106" s="559"/>
      <c r="I106" s="560" t="e">
        <f>K106+K107</f>
        <v>#REF!</v>
      </c>
      <c r="J106" s="561" t="e">
        <f>J55+J63+J93-J92-J91-#REF!+J95+J101+J103</f>
        <v>#REF!</v>
      </c>
      <c r="K106" s="561" t="e">
        <f>K55+K63+K93-K92-K91-#REF!+K95+K101+K103</f>
        <v>#REF!</v>
      </c>
      <c r="L106" s="517"/>
    </row>
    <row r="107" spans="2:23" s="205" customFormat="1" ht="21.6" hidden="1" customHeight="1" x14ac:dyDescent="0.35">
      <c r="B107" s="557"/>
      <c r="C107" s="558" t="s">
        <v>429</v>
      </c>
      <c r="D107" s="558"/>
      <c r="E107" s="558"/>
      <c r="F107" s="558"/>
      <c r="G107" s="558"/>
      <c r="H107" s="559"/>
      <c r="I107" s="561" t="e">
        <f>SUM(J106:J107)</f>
        <v>#REF!</v>
      </c>
      <c r="J107" s="562" t="e">
        <f>J72+J80+J86+J92+J91+#REF!+J96+J97+J98+J102+J104</f>
        <v>#REF!</v>
      </c>
      <c r="K107" s="562" t="e">
        <f>K72+K80+K86+K92+K91+#REF!+K96+K97+K98+K102+K104</f>
        <v>#REF!</v>
      </c>
      <c r="L107" s="517"/>
    </row>
    <row r="108" spans="2:23" ht="21.6" customHeight="1" x14ac:dyDescent="0.35">
      <c r="B108" s="1966" t="s">
        <v>430</v>
      </c>
      <c r="C108" s="1968"/>
      <c r="D108" s="1968"/>
      <c r="E108" s="1968"/>
      <c r="F108" s="1968"/>
      <c r="G108" s="1968"/>
      <c r="H108" s="1968"/>
      <c r="I108" s="1968"/>
      <c r="J108" s="563">
        <f>J99+J93+J87+J55+J105</f>
        <v>88.5</v>
      </c>
      <c r="K108" s="556">
        <f>K99+K93+K87+K55+K105</f>
        <v>1395685.5</v>
      </c>
      <c r="L108" s="25"/>
      <c r="N108" s="564">
        <f>'[1]1,25'!J108+J105</f>
        <v>88.5</v>
      </c>
      <c r="W108" s="567"/>
    </row>
    <row r="109" spans="2:23" ht="18.75" x14ac:dyDescent="0.3">
      <c r="B109" s="522"/>
      <c r="C109" s="522"/>
      <c r="D109" s="565"/>
      <c r="E109" s="522"/>
      <c r="F109" s="522"/>
      <c r="G109" s="522"/>
      <c r="H109" s="522"/>
      <c r="I109" s="522"/>
      <c r="J109" s="522"/>
      <c r="K109" s="522"/>
      <c r="L109" s="25"/>
      <c r="W109" s="567">
        <f>'[1]1,25'!K108-K108</f>
        <v>0</v>
      </c>
    </row>
    <row r="110" spans="2:23" ht="18.75" x14ac:dyDescent="0.3">
      <c r="B110" s="522"/>
      <c r="C110" s="565" t="s">
        <v>147</v>
      </c>
      <c r="D110" s="565"/>
      <c r="E110" s="522"/>
      <c r="F110" s="522"/>
      <c r="G110" s="522"/>
      <c r="H110" s="522"/>
      <c r="I110" s="522" t="s">
        <v>148</v>
      </c>
      <c r="J110" s="522"/>
      <c r="K110" s="522"/>
      <c r="L110" s="25"/>
    </row>
    <row r="111" spans="2:23" ht="18.75" x14ac:dyDescent="0.3">
      <c r="B111" s="522"/>
      <c r="C111" s="522"/>
      <c r="D111" s="565"/>
      <c r="E111" s="522"/>
      <c r="F111" s="522"/>
      <c r="G111" s="522"/>
      <c r="H111" s="522"/>
      <c r="I111" s="522"/>
      <c r="J111" s="522"/>
      <c r="K111" s="522"/>
      <c r="L111" s="25"/>
    </row>
  </sheetData>
  <mergeCells count="19">
    <mergeCell ref="B72:I72"/>
    <mergeCell ref="B35:B36"/>
    <mergeCell ref="C35:C36"/>
    <mergeCell ref="D35:D36"/>
    <mergeCell ref="E35:E36"/>
    <mergeCell ref="B108:I108"/>
    <mergeCell ref="B80:I80"/>
    <mergeCell ref="B86:I86"/>
    <mergeCell ref="B87:I87"/>
    <mergeCell ref="B93:I93"/>
    <mergeCell ref="B99:I99"/>
    <mergeCell ref="B105:I105"/>
    <mergeCell ref="F35:H35"/>
    <mergeCell ref="I35:I36"/>
    <mergeCell ref="B63:I63"/>
    <mergeCell ref="J35:J36"/>
    <mergeCell ref="K35:K36"/>
    <mergeCell ref="C38:K38"/>
    <mergeCell ref="B55:I55"/>
  </mergeCells>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781"/>
  <sheetViews>
    <sheetView view="pageBreakPreview" zoomScale="89" zoomScaleNormal="100" zoomScaleSheetLayoutView="89" workbookViewId="0">
      <selection activeCell="BV20" sqref="BV20"/>
    </sheetView>
  </sheetViews>
  <sheetFormatPr defaultRowHeight="15" x14ac:dyDescent="0.25"/>
  <cols>
    <col min="1" max="1" width="2.140625" style="238" customWidth="1"/>
    <col min="2" max="2" width="41.7109375" style="241" customWidth="1"/>
    <col min="3" max="3" width="6.5703125" style="241" customWidth="1"/>
    <col min="4" max="9" width="3.85546875" style="472" hidden="1" customWidth="1"/>
    <col min="10" max="10" width="4.28515625" style="472" hidden="1" customWidth="1"/>
    <col min="11" max="11" width="2.7109375" style="472" hidden="1" customWidth="1"/>
    <col min="12" max="12" width="2.42578125" style="241" customWidth="1"/>
    <col min="13" max="13" width="5.5703125" style="242" customWidth="1"/>
    <col min="14" max="14" width="4.5703125" style="241" customWidth="1"/>
    <col min="15" max="15" width="5.5703125" style="241" customWidth="1"/>
    <col min="16" max="16" width="5" style="241" customWidth="1"/>
    <col min="17" max="17" width="2.140625" style="241" hidden="1" customWidth="1"/>
    <col min="18" max="18" width="5.42578125" style="242" hidden="1" customWidth="1"/>
    <col min="19" max="19" width="3.85546875" style="242" hidden="1" customWidth="1"/>
    <col min="20" max="20" width="8.85546875" style="241" customWidth="1"/>
    <col min="21" max="21" width="10.42578125" style="241" customWidth="1"/>
    <col min="22" max="22" width="3.42578125" style="241" customWidth="1"/>
    <col min="23" max="23" width="2.85546875" style="241" hidden="1" customWidth="1"/>
    <col min="24" max="24" width="9.5703125" style="241" customWidth="1"/>
    <col min="25" max="25" width="3.140625" style="241" customWidth="1"/>
    <col min="26" max="26" width="3" style="241" hidden="1" customWidth="1"/>
    <col min="27" max="27" width="7.7109375" style="241" customWidth="1"/>
    <col min="28" max="29" width="3.42578125" style="241" hidden="1" customWidth="1"/>
    <col min="30" max="30" width="8" style="241" customWidth="1"/>
    <col min="31" max="31" width="3.42578125" style="241" hidden="1" customWidth="1"/>
    <col min="32" max="32" width="0.28515625" style="241" hidden="1" customWidth="1"/>
    <col min="33" max="33" width="8.140625" style="241" customWidth="1"/>
    <col min="34" max="34" width="4.42578125" style="241" hidden="1" customWidth="1"/>
    <col min="35" max="35" width="4.140625" style="241" hidden="1" customWidth="1"/>
    <col min="36" max="36" width="7.7109375" style="241" customWidth="1"/>
    <col min="37" max="37" width="3.42578125" style="241" customWidth="1"/>
    <col min="38" max="38" width="4.28515625" style="241" hidden="1" customWidth="1"/>
    <col min="39" max="39" width="8.42578125" style="241" customWidth="1"/>
    <col min="40" max="40" width="3.42578125" style="241" customWidth="1"/>
    <col min="41" max="41" width="4.28515625" style="241" hidden="1" customWidth="1"/>
    <col min="42" max="42" width="6.7109375" style="241" customWidth="1"/>
    <col min="43" max="43" width="11" style="241" customWidth="1"/>
    <col min="44" max="44" width="3.85546875" style="241" customWidth="1"/>
    <col min="45" max="45" width="0.42578125" style="241" hidden="1" customWidth="1"/>
    <col min="46" max="46" width="9.28515625" style="242" customWidth="1"/>
    <col min="47" max="47" width="4.42578125" style="241" customWidth="1"/>
    <col min="48" max="48" width="4.5703125" style="241" customWidth="1"/>
    <col min="49" max="49" width="10.28515625" style="241" customWidth="1"/>
    <col min="50" max="50" width="3.7109375" style="241" customWidth="1"/>
    <col min="51" max="51" width="1.28515625" style="241" hidden="1" customWidth="1"/>
    <col min="52" max="52" width="7.5703125" style="242" customWidth="1"/>
    <col min="53" max="53" width="9.7109375" style="241" customWidth="1"/>
    <col min="54" max="54" width="6.28515625" style="241" hidden="1" customWidth="1"/>
    <col min="55" max="55" width="11.5703125" style="241" customWidth="1"/>
    <col min="56" max="58" width="10.140625" style="241" hidden="1" customWidth="1"/>
    <col min="59" max="59" width="9" style="241" hidden="1" customWidth="1"/>
    <col min="60" max="65" width="6.7109375" style="241" hidden="1" customWidth="1"/>
    <col min="66" max="66" width="0" style="241" hidden="1" customWidth="1"/>
    <col min="67" max="67" width="11.42578125" style="241" hidden="1" customWidth="1"/>
    <col min="68" max="68" width="10.85546875" style="241" hidden="1" customWidth="1"/>
    <col min="69" max="69" width="10.42578125" style="241" hidden="1" customWidth="1"/>
    <col min="70" max="71" width="0" style="241" hidden="1" customWidth="1"/>
    <col min="72" max="256" width="9.140625" style="241"/>
    <col min="257" max="257" width="2.140625" style="241" customWidth="1"/>
    <col min="258" max="258" width="41.7109375" style="241" customWidth="1"/>
    <col min="259" max="259" width="6.5703125" style="241" customWidth="1"/>
    <col min="260" max="267" width="0" style="241" hidden="1" customWidth="1"/>
    <col min="268" max="268" width="2.42578125" style="241" customWidth="1"/>
    <col min="269" max="269" width="5.5703125" style="241" customWidth="1"/>
    <col min="270" max="270" width="4.5703125" style="241" customWidth="1"/>
    <col min="271" max="271" width="5.5703125" style="241" customWidth="1"/>
    <col min="272" max="272" width="5" style="241" customWidth="1"/>
    <col min="273" max="275" width="0" style="241" hidden="1" customWidth="1"/>
    <col min="276" max="276" width="8.85546875" style="241" customWidth="1"/>
    <col min="277" max="277" width="10.42578125" style="241" customWidth="1"/>
    <col min="278" max="278" width="3.42578125" style="241" customWidth="1"/>
    <col min="279" max="279" width="0" style="241" hidden="1" customWidth="1"/>
    <col min="280" max="280" width="9.5703125" style="241" customWidth="1"/>
    <col min="281" max="281" width="3.140625" style="241" customWidth="1"/>
    <col min="282" max="282" width="0" style="241" hidden="1" customWidth="1"/>
    <col min="283" max="283" width="7.7109375" style="241" customWidth="1"/>
    <col min="284" max="285" width="0" style="241" hidden="1" customWidth="1"/>
    <col min="286" max="286" width="8" style="241" customWidth="1"/>
    <col min="287" max="288" width="0" style="241" hidden="1" customWidth="1"/>
    <col min="289" max="289" width="8.140625" style="241" customWidth="1"/>
    <col min="290" max="291" width="0" style="241" hidden="1" customWidth="1"/>
    <col min="292" max="292" width="7.7109375" style="241" customWidth="1"/>
    <col min="293" max="293" width="3.42578125" style="241" customWidth="1"/>
    <col min="294" max="294" width="0" style="241" hidden="1" customWidth="1"/>
    <col min="295" max="295" width="8.42578125" style="241" customWidth="1"/>
    <col min="296" max="296" width="3.42578125" style="241" customWidth="1"/>
    <col min="297" max="297" width="0" style="241" hidden="1" customWidth="1"/>
    <col min="298" max="298" width="6.7109375" style="241" customWidth="1"/>
    <col min="299" max="299" width="11" style="241" customWidth="1"/>
    <col min="300" max="300" width="3.85546875" style="241" customWidth="1"/>
    <col min="301" max="301" width="0" style="241" hidden="1" customWidth="1"/>
    <col min="302" max="302" width="9.28515625" style="241" customWidth="1"/>
    <col min="303" max="303" width="4.42578125" style="241" customWidth="1"/>
    <col min="304" max="304" width="4.5703125" style="241" customWidth="1"/>
    <col min="305" max="305" width="10.28515625" style="241" customWidth="1"/>
    <col min="306" max="306" width="3.7109375" style="241" customWidth="1"/>
    <col min="307" max="307" width="0" style="241" hidden="1" customWidth="1"/>
    <col min="308" max="308" width="7.5703125" style="241" customWidth="1"/>
    <col min="309" max="309" width="9.7109375" style="241" customWidth="1"/>
    <col min="310" max="310" width="0" style="241" hidden="1" customWidth="1"/>
    <col min="311" max="311" width="11.5703125" style="241" customWidth="1"/>
    <col min="312" max="322" width="0" style="241" hidden="1" customWidth="1"/>
    <col min="323" max="323" width="11.42578125" style="241" bestFit="1" customWidth="1"/>
    <col min="324" max="324" width="10.85546875" style="241" customWidth="1"/>
    <col min="325" max="325" width="10.42578125" style="241" bestFit="1" customWidth="1"/>
    <col min="326" max="512" width="9.140625" style="241"/>
    <col min="513" max="513" width="2.140625" style="241" customWidth="1"/>
    <col min="514" max="514" width="41.7109375" style="241" customWidth="1"/>
    <col min="515" max="515" width="6.5703125" style="241" customWidth="1"/>
    <col min="516" max="523" width="0" style="241" hidden="1" customWidth="1"/>
    <col min="524" max="524" width="2.42578125" style="241" customWidth="1"/>
    <col min="525" max="525" width="5.5703125" style="241" customWidth="1"/>
    <col min="526" max="526" width="4.5703125" style="241" customWidth="1"/>
    <col min="527" max="527" width="5.5703125" style="241" customWidth="1"/>
    <col min="528" max="528" width="5" style="241" customWidth="1"/>
    <col min="529" max="531" width="0" style="241" hidden="1" customWidth="1"/>
    <col min="532" max="532" width="8.85546875" style="241" customWidth="1"/>
    <col min="533" max="533" width="10.42578125" style="241" customWidth="1"/>
    <col min="534" max="534" width="3.42578125" style="241" customWidth="1"/>
    <col min="535" max="535" width="0" style="241" hidden="1" customWidth="1"/>
    <col min="536" max="536" width="9.5703125" style="241" customWidth="1"/>
    <col min="537" max="537" width="3.140625" style="241" customWidth="1"/>
    <col min="538" max="538" width="0" style="241" hidden="1" customWidth="1"/>
    <col min="539" max="539" width="7.7109375" style="241" customWidth="1"/>
    <col min="540" max="541" width="0" style="241" hidden="1" customWidth="1"/>
    <col min="542" max="542" width="8" style="241" customWidth="1"/>
    <col min="543" max="544" width="0" style="241" hidden="1" customWidth="1"/>
    <col min="545" max="545" width="8.140625" style="241" customWidth="1"/>
    <col min="546" max="547" width="0" style="241" hidden="1" customWidth="1"/>
    <col min="548" max="548" width="7.7109375" style="241" customWidth="1"/>
    <col min="549" max="549" width="3.42578125" style="241" customWidth="1"/>
    <col min="550" max="550" width="0" style="241" hidden="1" customWidth="1"/>
    <col min="551" max="551" width="8.42578125" style="241" customWidth="1"/>
    <col min="552" max="552" width="3.42578125" style="241" customWidth="1"/>
    <col min="553" max="553" width="0" style="241" hidden="1" customWidth="1"/>
    <col min="554" max="554" width="6.7109375" style="241" customWidth="1"/>
    <col min="555" max="555" width="11" style="241" customWidth="1"/>
    <col min="556" max="556" width="3.85546875" style="241" customWidth="1"/>
    <col min="557" max="557" width="0" style="241" hidden="1" customWidth="1"/>
    <col min="558" max="558" width="9.28515625" style="241" customWidth="1"/>
    <col min="559" max="559" width="4.42578125" style="241" customWidth="1"/>
    <col min="560" max="560" width="4.5703125" style="241" customWidth="1"/>
    <col min="561" max="561" width="10.28515625" style="241" customWidth="1"/>
    <col min="562" max="562" width="3.7109375" style="241" customWidth="1"/>
    <col min="563" max="563" width="0" style="241" hidden="1" customWidth="1"/>
    <col min="564" max="564" width="7.5703125" style="241" customWidth="1"/>
    <col min="565" max="565" width="9.7109375" style="241" customWidth="1"/>
    <col min="566" max="566" width="0" style="241" hidden="1" customWidth="1"/>
    <col min="567" max="567" width="11.5703125" style="241" customWidth="1"/>
    <col min="568" max="578" width="0" style="241" hidden="1" customWidth="1"/>
    <col min="579" max="579" width="11.42578125" style="241" bestFit="1" customWidth="1"/>
    <col min="580" max="580" width="10.85546875" style="241" customWidth="1"/>
    <col min="581" max="581" width="10.42578125" style="241" bestFit="1" customWidth="1"/>
    <col min="582" max="768" width="9.140625" style="241"/>
    <col min="769" max="769" width="2.140625" style="241" customWidth="1"/>
    <col min="770" max="770" width="41.7109375" style="241" customWidth="1"/>
    <col min="771" max="771" width="6.5703125" style="241" customWidth="1"/>
    <col min="772" max="779" width="0" style="241" hidden="1" customWidth="1"/>
    <col min="780" max="780" width="2.42578125" style="241" customWidth="1"/>
    <col min="781" max="781" width="5.5703125" style="241" customWidth="1"/>
    <col min="782" max="782" width="4.5703125" style="241" customWidth="1"/>
    <col min="783" max="783" width="5.5703125" style="241" customWidth="1"/>
    <col min="784" max="784" width="5" style="241" customWidth="1"/>
    <col min="785" max="787" width="0" style="241" hidden="1" customWidth="1"/>
    <col min="788" max="788" width="8.85546875" style="241" customWidth="1"/>
    <col min="789" max="789" width="10.42578125" style="241" customWidth="1"/>
    <col min="790" max="790" width="3.42578125" style="241" customWidth="1"/>
    <col min="791" max="791" width="0" style="241" hidden="1" customWidth="1"/>
    <col min="792" max="792" width="9.5703125" style="241" customWidth="1"/>
    <col min="793" max="793" width="3.140625" style="241" customWidth="1"/>
    <col min="794" max="794" width="0" style="241" hidden="1" customWidth="1"/>
    <col min="795" max="795" width="7.7109375" style="241" customWidth="1"/>
    <col min="796" max="797" width="0" style="241" hidden="1" customWidth="1"/>
    <col min="798" max="798" width="8" style="241" customWidth="1"/>
    <col min="799" max="800" width="0" style="241" hidden="1" customWidth="1"/>
    <col min="801" max="801" width="8.140625" style="241" customWidth="1"/>
    <col min="802" max="803" width="0" style="241" hidden="1" customWidth="1"/>
    <col min="804" max="804" width="7.7109375" style="241" customWidth="1"/>
    <col min="805" max="805" width="3.42578125" style="241" customWidth="1"/>
    <col min="806" max="806" width="0" style="241" hidden="1" customWidth="1"/>
    <col min="807" max="807" width="8.42578125" style="241" customWidth="1"/>
    <col min="808" max="808" width="3.42578125" style="241" customWidth="1"/>
    <col min="809" max="809" width="0" style="241" hidden="1" customWidth="1"/>
    <col min="810" max="810" width="6.7109375" style="241" customWidth="1"/>
    <col min="811" max="811" width="11" style="241" customWidth="1"/>
    <col min="812" max="812" width="3.85546875" style="241" customWidth="1"/>
    <col min="813" max="813" width="0" style="241" hidden="1" customWidth="1"/>
    <col min="814" max="814" width="9.28515625" style="241" customWidth="1"/>
    <col min="815" max="815" width="4.42578125" style="241" customWidth="1"/>
    <col min="816" max="816" width="4.5703125" style="241" customWidth="1"/>
    <col min="817" max="817" width="10.28515625" style="241" customWidth="1"/>
    <col min="818" max="818" width="3.7109375" style="241" customWidth="1"/>
    <col min="819" max="819" width="0" style="241" hidden="1" customWidth="1"/>
    <col min="820" max="820" width="7.5703125" style="241" customWidth="1"/>
    <col min="821" max="821" width="9.7109375" style="241" customWidth="1"/>
    <col min="822" max="822" width="0" style="241" hidden="1" customWidth="1"/>
    <col min="823" max="823" width="11.5703125" style="241" customWidth="1"/>
    <col min="824" max="834" width="0" style="241" hidden="1" customWidth="1"/>
    <col min="835" max="835" width="11.42578125" style="241" bestFit="1" customWidth="1"/>
    <col min="836" max="836" width="10.85546875" style="241" customWidth="1"/>
    <col min="837" max="837" width="10.42578125" style="241" bestFit="1" customWidth="1"/>
    <col min="838" max="1024" width="9.140625" style="241"/>
    <col min="1025" max="1025" width="2.140625" style="241" customWidth="1"/>
    <col min="1026" max="1026" width="41.7109375" style="241" customWidth="1"/>
    <col min="1027" max="1027" width="6.5703125" style="241" customWidth="1"/>
    <col min="1028" max="1035" width="0" style="241" hidden="1" customWidth="1"/>
    <col min="1036" max="1036" width="2.42578125" style="241" customWidth="1"/>
    <col min="1037" max="1037" width="5.5703125" style="241" customWidth="1"/>
    <col min="1038" max="1038" width="4.5703125" style="241" customWidth="1"/>
    <col min="1039" max="1039" width="5.5703125" style="241" customWidth="1"/>
    <col min="1040" max="1040" width="5" style="241" customWidth="1"/>
    <col min="1041" max="1043" width="0" style="241" hidden="1" customWidth="1"/>
    <col min="1044" max="1044" width="8.85546875" style="241" customWidth="1"/>
    <col min="1045" max="1045" width="10.42578125" style="241" customWidth="1"/>
    <col min="1046" max="1046" width="3.42578125" style="241" customWidth="1"/>
    <col min="1047" max="1047" width="0" style="241" hidden="1" customWidth="1"/>
    <col min="1048" max="1048" width="9.5703125" style="241" customWidth="1"/>
    <col min="1049" max="1049" width="3.140625" style="241" customWidth="1"/>
    <col min="1050" max="1050" width="0" style="241" hidden="1" customWidth="1"/>
    <col min="1051" max="1051" width="7.7109375" style="241" customWidth="1"/>
    <col min="1052" max="1053" width="0" style="241" hidden="1" customWidth="1"/>
    <col min="1054" max="1054" width="8" style="241" customWidth="1"/>
    <col min="1055" max="1056" width="0" style="241" hidden="1" customWidth="1"/>
    <col min="1057" max="1057" width="8.140625" style="241" customWidth="1"/>
    <col min="1058" max="1059" width="0" style="241" hidden="1" customWidth="1"/>
    <col min="1060" max="1060" width="7.7109375" style="241" customWidth="1"/>
    <col min="1061" max="1061" width="3.42578125" style="241" customWidth="1"/>
    <col min="1062" max="1062" width="0" style="241" hidden="1" customWidth="1"/>
    <col min="1063" max="1063" width="8.42578125" style="241" customWidth="1"/>
    <col min="1064" max="1064" width="3.42578125" style="241" customWidth="1"/>
    <col min="1065" max="1065" width="0" style="241" hidden="1" customWidth="1"/>
    <col min="1066" max="1066" width="6.7109375" style="241" customWidth="1"/>
    <col min="1067" max="1067" width="11" style="241" customWidth="1"/>
    <col min="1068" max="1068" width="3.85546875" style="241" customWidth="1"/>
    <col min="1069" max="1069" width="0" style="241" hidden="1" customWidth="1"/>
    <col min="1070" max="1070" width="9.28515625" style="241" customWidth="1"/>
    <col min="1071" max="1071" width="4.42578125" style="241" customWidth="1"/>
    <col min="1072" max="1072" width="4.5703125" style="241" customWidth="1"/>
    <col min="1073" max="1073" width="10.28515625" style="241" customWidth="1"/>
    <col min="1074" max="1074" width="3.7109375" style="241" customWidth="1"/>
    <col min="1075" max="1075" width="0" style="241" hidden="1" customWidth="1"/>
    <col min="1076" max="1076" width="7.5703125" style="241" customWidth="1"/>
    <col min="1077" max="1077" width="9.7109375" style="241" customWidth="1"/>
    <col min="1078" max="1078" width="0" style="241" hidden="1" customWidth="1"/>
    <col min="1079" max="1079" width="11.5703125" style="241" customWidth="1"/>
    <col min="1080" max="1090" width="0" style="241" hidden="1" customWidth="1"/>
    <col min="1091" max="1091" width="11.42578125" style="241" bestFit="1" customWidth="1"/>
    <col min="1092" max="1092" width="10.85546875" style="241" customWidth="1"/>
    <col min="1093" max="1093" width="10.42578125" style="241" bestFit="1" customWidth="1"/>
    <col min="1094" max="1280" width="9.140625" style="241"/>
    <col min="1281" max="1281" width="2.140625" style="241" customWidth="1"/>
    <col min="1282" max="1282" width="41.7109375" style="241" customWidth="1"/>
    <col min="1283" max="1283" width="6.5703125" style="241" customWidth="1"/>
    <col min="1284" max="1291" width="0" style="241" hidden="1" customWidth="1"/>
    <col min="1292" max="1292" width="2.42578125" style="241" customWidth="1"/>
    <col min="1293" max="1293" width="5.5703125" style="241" customWidth="1"/>
    <col min="1294" max="1294" width="4.5703125" style="241" customWidth="1"/>
    <col min="1295" max="1295" width="5.5703125" style="241" customWidth="1"/>
    <col min="1296" max="1296" width="5" style="241" customWidth="1"/>
    <col min="1297" max="1299" width="0" style="241" hidden="1" customWidth="1"/>
    <col min="1300" max="1300" width="8.85546875" style="241" customWidth="1"/>
    <col min="1301" max="1301" width="10.42578125" style="241" customWidth="1"/>
    <col min="1302" max="1302" width="3.42578125" style="241" customWidth="1"/>
    <col min="1303" max="1303" width="0" style="241" hidden="1" customWidth="1"/>
    <col min="1304" max="1304" width="9.5703125" style="241" customWidth="1"/>
    <col min="1305" max="1305" width="3.140625" style="241" customWidth="1"/>
    <col min="1306" max="1306" width="0" style="241" hidden="1" customWidth="1"/>
    <col min="1307" max="1307" width="7.7109375" style="241" customWidth="1"/>
    <col min="1308" max="1309" width="0" style="241" hidden="1" customWidth="1"/>
    <col min="1310" max="1310" width="8" style="241" customWidth="1"/>
    <col min="1311" max="1312" width="0" style="241" hidden="1" customWidth="1"/>
    <col min="1313" max="1313" width="8.140625" style="241" customWidth="1"/>
    <col min="1314" max="1315" width="0" style="241" hidden="1" customWidth="1"/>
    <col min="1316" max="1316" width="7.7109375" style="241" customWidth="1"/>
    <col min="1317" max="1317" width="3.42578125" style="241" customWidth="1"/>
    <col min="1318" max="1318" width="0" style="241" hidden="1" customWidth="1"/>
    <col min="1319" max="1319" width="8.42578125" style="241" customWidth="1"/>
    <col min="1320" max="1320" width="3.42578125" style="241" customWidth="1"/>
    <col min="1321" max="1321" width="0" style="241" hidden="1" customWidth="1"/>
    <col min="1322" max="1322" width="6.7109375" style="241" customWidth="1"/>
    <col min="1323" max="1323" width="11" style="241" customWidth="1"/>
    <col min="1324" max="1324" width="3.85546875" style="241" customWidth="1"/>
    <col min="1325" max="1325" width="0" style="241" hidden="1" customWidth="1"/>
    <col min="1326" max="1326" width="9.28515625" style="241" customWidth="1"/>
    <col min="1327" max="1327" width="4.42578125" style="241" customWidth="1"/>
    <col min="1328" max="1328" width="4.5703125" style="241" customWidth="1"/>
    <col min="1329" max="1329" width="10.28515625" style="241" customWidth="1"/>
    <col min="1330" max="1330" width="3.7109375" style="241" customWidth="1"/>
    <col min="1331" max="1331" width="0" style="241" hidden="1" customWidth="1"/>
    <col min="1332" max="1332" width="7.5703125" style="241" customWidth="1"/>
    <col min="1333" max="1333" width="9.7109375" style="241" customWidth="1"/>
    <col min="1334" max="1334" width="0" style="241" hidden="1" customWidth="1"/>
    <col min="1335" max="1335" width="11.5703125" style="241" customWidth="1"/>
    <col min="1336" max="1346" width="0" style="241" hidden="1" customWidth="1"/>
    <col min="1347" max="1347" width="11.42578125" style="241" bestFit="1" customWidth="1"/>
    <col min="1348" max="1348" width="10.85546875" style="241" customWidth="1"/>
    <col min="1349" max="1349" width="10.42578125" style="241" bestFit="1" customWidth="1"/>
    <col min="1350" max="1536" width="9.140625" style="241"/>
    <col min="1537" max="1537" width="2.140625" style="241" customWidth="1"/>
    <col min="1538" max="1538" width="41.7109375" style="241" customWidth="1"/>
    <col min="1539" max="1539" width="6.5703125" style="241" customWidth="1"/>
    <col min="1540" max="1547" width="0" style="241" hidden="1" customWidth="1"/>
    <col min="1548" max="1548" width="2.42578125" style="241" customWidth="1"/>
    <col min="1549" max="1549" width="5.5703125" style="241" customWidth="1"/>
    <col min="1550" max="1550" width="4.5703125" style="241" customWidth="1"/>
    <col min="1551" max="1551" width="5.5703125" style="241" customWidth="1"/>
    <col min="1552" max="1552" width="5" style="241" customWidth="1"/>
    <col min="1553" max="1555" width="0" style="241" hidden="1" customWidth="1"/>
    <col min="1556" max="1556" width="8.85546875" style="241" customWidth="1"/>
    <col min="1557" max="1557" width="10.42578125" style="241" customWidth="1"/>
    <col min="1558" max="1558" width="3.42578125" style="241" customWidth="1"/>
    <col min="1559" max="1559" width="0" style="241" hidden="1" customWidth="1"/>
    <col min="1560" max="1560" width="9.5703125" style="241" customWidth="1"/>
    <col min="1561" max="1561" width="3.140625" style="241" customWidth="1"/>
    <col min="1562" max="1562" width="0" style="241" hidden="1" customWidth="1"/>
    <col min="1563" max="1563" width="7.7109375" style="241" customWidth="1"/>
    <col min="1564" max="1565" width="0" style="241" hidden="1" customWidth="1"/>
    <col min="1566" max="1566" width="8" style="241" customWidth="1"/>
    <col min="1567" max="1568" width="0" style="241" hidden="1" customWidth="1"/>
    <col min="1569" max="1569" width="8.140625" style="241" customWidth="1"/>
    <col min="1570" max="1571" width="0" style="241" hidden="1" customWidth="1"/>
    <col min="1572" max="1572" width="7.7109375" style="241" customWidth="1"/>
    <col min="1573" max="1573" width="3.42578125" style="241" customWidth="1"/>
    <col min="1574" max="1574" width="0" style="241" hidden="1" customWidth="1"/>
    <col min="1575" max="1575" width="8.42578125" style="241" customWidth="1"/>
    <col min="1576" max="1576" width="3.42578125" style="241" customWidth="1"/>
    <col min="1577" max="1577" width="0" style="241" hidden="1" customWidth="1"/>
    <col min="1578" max="1578" width="6.7109375" style="241" customWidth="1"/>
    <col min="1579" max="1579" width="11" style="241" customWidth="1"/>
    <col min="1580" max="1580" width="3.85546875" style="241" customWidth="1"/>
    <col min="1581" max="1581" width="0" style="241" hidden="1" customWidth="1"/>
    <col min="1582" max="1582" width="9.28515625" style="241" customWidth="1"/>
    <col min="1583" max="1583" width="4.42578125" style="241" customWidth="1"/>
    <col min="1584" max="1584" width="4.5703125" style="241" customWidth="1"/>
    <col min="1585" max="1585" width="10.28515625" style="241" customWidth="1"/>
    <col min="1586" max="1586" width="3.7109375" style="241" customWidth="1"/>
    <col min="1587" max="1587" width="0" style="241" hidden="1" customWidth="1"/>
    <col min="1588" max="1588" width="7.5703125" style="241" customWidth="1"/>
    <col min="1589" max="1589" width="9.7109375" style="241" customWidth="1"/>
    <col min="1590" max="1590" width="0" style="241" hidden="1" customWidth="1"/>
    <col min="1591" max="1591" width="11.5703125" style="241" customWidth="1"/>
    <col min="1592" max="1602" width="0" style="241" hidden="1" customWidth="1"/>
    <col min="1603" max="1603" width="11.42578125" style="241" bestFit="1" customWidth="1"/>
    <col min="1604" max="1604" width="10.85546875" style="241" customWidth="1"/>
    <col min="1605" max="1605" width="10.42578125" style="241" bestFit="1" customWidth="1"/>
    <col min="1606" max="1792" width="9.140625" style="241"/>
    <col min="1793" max="1793" width="2.140625" style="241" customWidth="1"/>
    <col min="1794" max="1794" width="41.7109375" style="241" customWidth="1"/>
    <col min="1795" max="1795" width="6.5703125" style="241" customWidth="1"/>
    <col min="1796" max="1803" width="0" style="241" hidden="1" customWidth="1"/>
    <col min="1804" max="1804" width="2.42578125" style="241" customWidth="1"/>
    <col min="1805" max="1805" width="5.5703125" style="241" customWidth="1"/>
    <col min="1806" max="1806" width="4.5703125" style="241" customWidth="1"/>
    <col min="1807" max="1807" width="5.5703125" style="241" customWidth="1"/>
    <col min="1808" max="1808" width="5" style="241" customWidth="1"/>
    <col min="1809" max="1811" width="0" style="241" hidden="1" customWidth="1"/>
    <col min="1812" max="1812" width="8.85546875" style="241" customWidth="1"/>
    <col min="1813" max="1813" width="10.42578125" style="241" customWidth="1"/>
    <col min="1814" max="1814" width="3.42578125" style="241" customWidth="1"/>
    <col min="1815" max="1815" width="0" style="241" hidden="1" customWidth="1"/>
    <col min="1816" max="1816" width="9.5703125" style="241" customWidth="1"/>
    <col min="1817" max="1817" width="3.140625" style="241" customWidth="1"/>
    <col min="1818" max="1818" width="0" style="241" hidden="1" customWidth="1"/>
    <col min="1819" max="1819" width="7.7109375" style="241" customWidth="1"/>
    <col min="1820" max="1821" width="0" style="241" hidden="1" customWidth="1"/>
    <col min="1822" max="1822" width="8" style="241" customWidth="1"/>
    <col min="1823" max="1824" width="0" style="241" hidden="1" customWidth="1"/>
    <col min="1825" max="1825" width="8.140625" style="241" customWidth="1"/>
    <col min="1826" max="1827" width="0" style="241" hidden="1" customWidth="1"/>
    <col min="1828" max="1828" width="7.7109375" style="241" customWidth="1"/>
    <col min="1829" max="1829" width="3.42578125" style="241" customWidth="1"/>
    <col min="1830" max="1830" width="0" style="241" hidden="1" customWidth="1"/>
    <col min="1831" max="1831" width="8.42578125" style="241" customWidth="1"/>
    <col min="1832" max="1832" width="3.42578125" style="241" customWidth="1"/>
    <col min="1833" max="1833" width="0" style="241" hidden="1" customWidth="1"/>
    <col min="1834" max="1834" width="6.7109375" style="241" customWidth="1"/>
    <col min="1835" max="1835" width="11" style="241" customWidth="1"/>
    <col min="1836" max="1836" width="3.85546875" style="241" customWidth="1"/>
    <col min="1837" max="1837" width="0" style="241" hidden="1" customWidth="1"/>
    <col min="1838" max="1838" width="9.28515625" style="241" customWidth="1"/>
    <col min="1839" max="1839" width="4.42578125" style="241" customWidth="1"/>
    <col min="1840" max="1840" width="4.5703125" style="241" customWidth="1"/>
    <col min="1841" max="1841" width="10.28515625" style="241" customWidth="1"/>
    <col min="1842" max="1842" width="3.7109375" style="241" customWidth="1"/>
    <col min="1843" max="1843" width="0" style="241" hidden="1" customWidth="1"/>
    <col min="1844" max="1844" width="7.5703125" style="241" customWidth="1"/>
    <col min="1845" max="1845" width="9.7109375" style="241" customWidth="1"/>
    <col min="1846" max="1846" width="0" style="241" hidden="1" customWidth="1"/>
    <col min="1847" max="1847" width="11.5703125" style="241" customWidth="1"/>
    <col min="1848" max="1858" width="0" style="241" hidden="1" customWidth="1"/>
    <col min="1859" max="1859" width="11.42578125" style="241" bestFit="1" customWidth="1"/>
    <col min="1860" max="1860" width="10.85546875" style="241" customWidth="1"/>
    <col min="1861" max="1861" width="10.42578125" style="241" bestFit="1" customWidth="1"/>
    <col min="1862" max="2048" width="9.140625" style="241"/>
    <col min="2049" max="2049" width="2.140625" style="241" customWidth="1"/>
    <col min="2050" max="2050" width="41.7109375" style="241" customWidth="1"/>
    <col min="2051" max="2051" width="6.5703125" style="241" customWidth="1"/>
    <col min="2052" max="2059" width="0" style="241" hidden="1" customWidth="1"/>
    <col min="2060" max="2060" width="2.42578125" style="241" customWidth="1"/>
    <col min="2061" max="2061" width="5.5703125" style="241" customWidth="1"/>
    <col min="2062" max="2062" width="4.5703125" style="241" customWidth="1"/>
    <col min="2063" max="2063" width="5.5703125" style="241" customWidth="1"/>
    <col min="2064" max="2064" width="5" style="241" customWidth="1"/>
    <col min="2065" max="2067" width="0" style="241" hidden="1" customWidth="1"/>
    <col min="2068" max="2068" width="8.85546875" style="241" customWidth="1"/>
    <col min="2069" max="2069" width="10.42578125" style="241" customWidth="1"/>
    <col min="2070" max="2070" width="3.42578125" style="241" customWidth="1"/>
    <col min="2071" max="2071" width="0" style="241" hidden="1" customWidth="1"/>
    <col min="2072" max="2072" width="9.5703125" style="241" customWidth="1"/>
    <col min="2073" max="2073" width="3.140625" style="241" customWidth="1"/>
    <col min="2074" max="2074" width="0" style="241" hidden="1" customWidth="1"/>
    <col min="2075" max="2075" width="7.7109375" style="241" customWidth="1"/>
    <col min="2076" max="2077" width="0" style="241" hidden="1" customWidth="1"/>
    <col min="2078" max="2078" width="8" style="241" customWidth="1"/>
    <col min="2079" max="2080" width="0" style="241" hidden="1" customWidth="1"/>
    <col min="2081" max="2081" width="8.140625" style="241" customWidth="1"/>
    <col min="2082" max="2083" width="0" style="241" hidden="1" customWidth="1"/>
    <col min="2084" max="2084" width="7.7109375" style="241" customWidth="1"/>
    <col min="2085" max="2085" width="3.42578125" style="241" customWidth="1"/>
    <col min="2086" max="2086" width="0" style="241" hidden="1" customWidth="1"/>
    <col min="2087" max="2087" width="8.42578125" style="241" customWidth="1"/>
    <col min="2088" max="2088" width="3.42578125" style="241" customWidth="1"/>
    <col min="2089" max="2089" width="0" style="241" hidden="1" customWidth="1"/>
    <col min="2090" max="2090" width="6.7109375" style="241" customWidth="1"/>
    <col min="2091" max="2091" width="11" style="241" customWidth="1"/>
    <col min="2092" max="2092" width="3.85546875" style="241" customWidth="1"/>
    <col min="2093" max="2093" width="0" style="241" hidden="1" customWidth="1"/>
    <col min="2094" max="2094" width="9.28515625" style="241" customWidth="1"/>
    <col min="2095" max="2095" width="4.42578125" style="241" customWidth="1"/>
    <col min="2096" max="2096" width="4.5703125" style="241" customWidth="1"/>
    <col min="2097" max="2097" width="10.28515625" style="241" customWidth="1"/>
    <col min="2098" max="2098" width="3.7109375" style="241" customWidth="1"/>
    <col min="2099" max="2099" width="0" style="241" hidden="1" customWidth="1"/>
    <col min="2100" max="2100" width="7.5703125" style="241" customWidth="1"/>
    <col min="2101" max="2101" width="9.7109375" style="241" customWidth="1"/>
    <col min="2102" max="2102" width="0" style="241" hidden="1" customWidth="1"/>
    <col min="2103" max="2103" width="11.5703125" style="241" customWidth="1"/>
    <col min="2104" max="2114" width="0" style="241" hidden="1" customWidth="1"/>
    <col min="2115" max="2115" width="11.42578125" style="241" bestFit="1" customWidth="1"/>
    <col min="2116" max="2116" width="10.85546875" style="241" customWidth="1"/>
    <col min="2117" max="2117" width="10.42578125" style="241" bestFit="1" customWidth="1"/>
    <col min="2118" max="2304" width="9.140625" style="241"/>
    <col min="2305" max="2305" width="2.140625" style="241" customWidth="1"/>
    <col min="2306" max="2306" width="41.7109375" style="241" customWidth="1"/>
    <col min="2307" max="2307" width="6.5703125" style="241" customWidth="1"/>
    <col min="2308" max="2315" width="0" style="241" hidden="1" customWidth="1"/>
    <col min="2316" max="2316" width="2.42578125" style="241" customWidth="1"/>
    <col min="2317" max="2317" width="5.5703125" style="241" customWidth="1"/>
    <col min="2318" max="2318" width="4.5703125" style="241" customWidth="1"/>
    <col min="2319" max="2319" width="5.5703125" style="241" customWidth="1"/>
    <col min="2320" max="2320" width="5" style="241" customWidth="1"/>
    <col min="2321" max="2323" width="0" style="241" hidden="1" customWidth="1"/>
    <col min="2324" max="2324" width="8.85546875" style="241" customWidth="1"/>
    <col min="2325" max="2325" width="10.42578125" style="241" customWidth="1"/>
    <col min="2326" max="2326" width="3.42578125" style="241" customWidth="1"/>
    <col min="2327" max="2327" width="0" style="241" hidden="1" customWidth="1"/>
    <col min="2328" max="2328" width="9.5703125" style="241" customWidth="1"/>
    <col min="2329" max="2329" width="3.140625" style="241" customWidth="1"/>
    <col min="2330" max="2330" width="0" style="241" hidden="1" customWidth="1"/>
    <col min="2331" max="2331" width="7.7109375" style="241" customWidth="1"/>
    <col min="2332" max="2333" width="0" style="241" hidden="1" customWidth="1"/>
    <col min="2334" max="2334" width="8" style="241" customWidth="1"/>
    <col min="2335" max="2336" width="0" style="241" hidden="1" customWidth="1"/>
    <col min="2337" max="2337" width="8.140625" style="241" customWidth="1"/>
    <col min="2338" max="2339" width="0" style="241" hidden="1" customWidth="1"/>
    <col min="2340" max="2340" width="7.7109375" style="241" customWidth="1"/>
    <col min="2341" max="2341" width="3.42578125" style="241" customWidth="1"/>
    <col min="2342" max="2342" width="0" style="241" hidden="1" customWidth="1"/>
    <col min="2343" max="2343" width="8.42578125" style="241" customWidth="1"/>
    <col min="2344" max="2344" width="3.42578125" style="241" customWidth="1"/>
    <col min="2345" max="2345" width="0" style="241" hidden="1" customWidth="1"/>
    <col min="2346" max="2346" width="6.7109375" style="241" customWidth="1"/>
    <col min="2347" max="2347" width="11" style="241" customWidth="1"/>
    <col min="2348" max="2348" width="3.85546875" style="241" customWidth="1"/>
    <col min="2349" max="2349" width="0" style="241" hidden="1" customWidth="1"/>
    <col min="2350" max="2350" width="9.28515625" style="241" customWidth="1"/>
    <col min="2351" max="2351" width="4.42578125" style="241" customWidth="1"/>
    <col min="2352" max="2352" width="4.5703125" style="241" customWidth="1"/>
    <col min="2353" max="2353" width="10.28515625" style="241" customWidth="1"/>
    <col min="2354" max="2354" width="3.7109375" style="241" customWidth="1"/>
    <col min="2355" max="2355" width="0" style="241" hidden="1" customWidth="1"/>
    <col min="2356" max="2356" width="7.5703125" style="241" customWidth="1"/>
    <col min="2357" max="2357" width="9.7109375" style="241" customWidth="1"/>
    <col min="2358" max="2358" width="0" style="241" hidden="1" customWidth="1"/>
    <col min="2359" max="2359" width="11.5703125" style="241" customWidth="1"/>
    <col min="2360" max="2370" width="0" style="241" hidden="1" customWidth="1"/>
    <col min="2371" max="2371" width="11.42578125" style="241" bestFit="1" customWidth="1"/>
    <col min="2372" max="2372" width="10.85546875" style="241" customWidth="1"/>
    <col min="2373" max="2373" width="10.42578125" style="241" bestFit="1" customWidth="1"/>
    <col min="2374" max="2560" width="9.140625" style="241"/>
    <col min="2561" max="2561" width="2.140625" style="241" customWidth="1"/>
    <col min="2562" max="2562" width="41.7109375" style="241" customWidth="1"/>
    <col min="2563" max="2563" width="6.5703125" style="241" customWidth="1"/>
    <col min="2564" max="2571" width="0" style="241" hidden="1" customWidth="1"/>
    <col min="2572" max="2572" width="2.42578125" style="241" customWidth="1"/>
    <col min="2573" max="2573" width="5.5703125" style="241" customWidth="1"/>
    <col min="2574" max="2574" width="4.5703125" style="241" customWidth="1"/>
    <col min="2575" max="2575" width="5.5703125" style="241" customWidth="1"/>
    <col min="2576" max="2576" width="5" style="241" customWidth="1"/>
    <col min="2577" max="2579" width="0" style="241" hidden="1" customWidth="1"/>
    <col min="2580" max="2580" width="8.85546875" style="241" customWidth="1"/>
    <col min="2581" max="2581" width="10.42578125" style="241" customWidth="1"/>
    <col min="2582" max="2582" width="3.42578125" style="241" customWidth="1"/>
    <col min="2583" max="2583" width="0" style="241" hidden="1" customWidth="1"/>
    <col min="2584" max="2584" width="9.5703125" style="241" customWidth="1"/>
    <col min="2585" max="2585" width="3.140625" style="241" customWidth="1"/>
    <col min="2586" max="2586" width="0" style="241" hidden="1" customWidth="1"/>
    <col min="2587" max="2587" width="7.7109375" style="241" customWidth="1"/>
    <col min="2588" max="2589" width="0" style="241" hidden="1" customWidth="1"/>
    <col min="2590" max="2590" width="8" style="241" customWidth="1"/>
    <col min="2591" max="2592" width="0" style="241" hidden="1" customWidth="1"/>
    <col min="2593" max="2593" width="8.140625" style="241" customWidth="1"/>
    <col min="2594" max="2595" width="0" style="241" hidden="1" customWidth="1"/>
    <col min="2596" max="2596" width="7.7109375" style="241" customWidth="1"/>
    <col min="2597" max="2597" width="3.42578125" style="241" customWidth="1"/>
    <col min="2598" max="2598" width="0" style="241" hidden="1" customWidth="1"/>
    <col min="2599" max="2599" width="8.42578125" style="241" customWidth="1"/>
    <col min="2600" max="2600" width="3.42578125" style="241" customWidth="1"/>
    <col min="2601" max="2601" width="0" style="241" hidden="1" customWidth="1"/>
    <col min="2602" max="2602" width="6.7109375" style="241" customWidth="1"/>
    <col min="2603" max="2603" width="11" style="241" customWidth="1"/>
    <col min="2604" max="2604" width="3.85546875" style="241" customWidth="1"/>
    <col min="2605" max="2605" width="0" style="241" hidden="1" customWidth="1"/>
    <col min="2606" max="2606" width="9.28515625" style="241" customWidth="1"/>
    <col min="2607" max="2607" width="4.42578125" style="241" customWidth="1"/>
    <col min="2608" max="2608" width="4.5703125" style="241" customWidth="1"/>
    <col min="2609" max="2609" width="10.28515625" style="241" customWidth="1"/>
    <col min="2610" max="2610" width="3.7109375" style="241" customWidth="1"/>
    <col min="2611" max="2611" width="0" style="241" hidden="1" customWidth="1"/>
    <col min="2612" max="2612" width="7.5703125" style="241" customWidth="1"/>
    <col min="2613" max="2613" width="9.7109375" style="241" customWidth="1"/>
    <col min="2614" max="2614" width="0" style="241" hidden="1" customWidth="1"/>
    <col min="2615" max="2615" width="11.5703125" style="241" customWidth="1"/>
    <col min="2616" max="2626" width="0" style="241" hidden="1" customWidth="1"/>
    <col min="2627" max="2627" width="11.42578125" style="241" bestFit="1" customWidth="1"/>
    <col min="2628" max="2628" width="10.85546875" style="241" customWidth="1"/>
    <col min="2629" max="2629" width="10.42578125" style="241" bestFit="1" customWidth="1"/>
    <col min="2630" max="2816" width="9.140625" style="241"/>
    <col min="2817" max="2817" width="2.140625" style="241" customWidth="1"/>
    <col min="2818" max="2818" width="41.7109375" style="241" customWidth="1"/>
    <col min="2819" max="2819" width="6.5703125" style="241" customWidth="1"/>
    <col min="2820" max="2827" width="0" style="241" hidden="1" customWidth="1"/>
    <col min="2828" max="2828" width="2.42578125" style="241" customWidth="1"/>
    <col min="2829" max="2829" width="5.5703125" style="241" customWidth="1"/>
    <col min="2830" max="2830" width="4.5703125" style="241" customWidth="1"/>
    <col min="2831" max="2831" width="5.5703125" style="241" customWidth="1"/>
    <col min="2832" max="2832" width="5" style="241" customWidth="1"/>
    <col min="2833" max="2835" width="0" style="241" hidden="1" customWidth="1"/>
    <col min="2836" max="2836" width="8.85546875" style="241" customWidth="1"/>
    <col min="2837" max="2837" width="10.42578125" style="241" customWidth="1"/>
    <col min="2838" max="2838" width="3.42578125" style="241" customWidth="1"/>
    <col min="2839" max="2839" width="0" style="241" hidden="1" customWidth="1"/>
    <col min="2840" max="2840" width="9.5703125" style="241" customWidth="1"/>
    <col min="2841" max="2841" width="3.140625" style="241" customWidth="1"/>
    <col min="2842" max="2842" width="0" style="241" hidden="1" customWidth="1"/>
    <col min="2843" max="2843" width="7.7109375" style="241" customWidth="1"/>
    <col min="2844" max="2845" width="0" style="241" hidden="1" customWidth="1"/>
    <col min="2846" max="2846" width="8" style="241" customWidth="1"/>
    <col min="2847" max="2848" width="0" style="241" hidden="1" customWidth="1"/>
    <col min="2849" max="2849" width="8.140625" style="241" customWidth="1"/>
    <col min="2850" max="2851" width="0" style="241" hidden="1" customWidth="1"/>
    <col min="2852" max="2852" width="7.7109375" style="241" customWidth="1"/>
    <col min="2853" max="2853" width="3.42578125" style="241" customWidth="1"/>
    <col min="2854" max="2854" width="0" style="241" hidden="1" customWidth="1"/>
    <col min="2855" max="2855" width="8.42578125" style="241" customWidth="1"/>
    <col min="2856" max="2856" width="3.42578125" style="241" customWidth="1"/>
    <col min="2857" max="2857" width="0" style="241" hidden="1" customWidth="1"/>
    <col min="2858" max="2858" width="6.7109375" style="241" customWidth="1"/>
    <col min="2859" max="2859" width="11" style="241" customWidth="1"/>
    <col min="2860" max="2860" width="3.85546875" style="241" customWidth="1"/>
    <col min="2861" max="2861" width="0" style="241" hidden="1" customWidth="1"/>
    <col min="2862" max="2862" width="9.28515625" style="241" customWidth="1"/>
    <col min="2863" max="2863" width="4.42578125" style="241" customWidth="1"/>
    <col min="2864" max="2864" width="4.5703125" style="241" customWidth="1"/>
    <col min="2865" max="2865" width="10.28515625" style="241" customWidth="1"/>
    <col min="2866" max="2866" width="3.7109375" style="241" customWidth="1"/>
    <col min="2867" max="2867" width="0" style="241" hidden="1" customWidth="1"/>
    <col min="2868" max="2868" width="7.5703125" style="241" customWidth="1"/>
    <col min="2869" max="2869" width="9.7109375" style="241" customWidth="1"/>
    <col min="2870" max="2870" width="0" style="241" hidden="1" customWidth="1"/>
    <col min="2871" max="2871" width="11.5703125" style="241" customWidth="1"/>
    <col min="2872" max="2882" width="0" style="241" hidden="1" customWidth="1"/>
    <col min="2883" max="2883" width="11.42578125" style="241" bestFit="1" customWidth="1"/>
    <col min="2884" max="2884" width="10.85546875" style="241" customWidth="1"/>
    <col min="2885" max="2885" width="10.42578125" style="241" bestFit="1" customWidth="1"/>
    <col min="2886" max="3072" width="9.140625" style="241"/>
    <col min="3073" max="3073" width="2.140625" style="241" customWidth="1"/>
    <col min="3074" max="3074" width="41.7109375" style="241" customWidth="1"/>
    <col min="3075" max="3075" width="6.5703125" style="241" customWidth="1"/>
    <col min="3076" max="3083" width="0" style="241" hidden="1" customWidth="1"/>
    <col min="3084" max="3084" width="2.42578125" style="241" customWidth="1"/>
    <col min="3085" max="3085" width="5.5703125" style="241" customWidth="1"/>
    <col min="3086" max="3086" width="4.5703125" style="241" customWidth="1"/>
    <col min="3087" max="3087" width="5.5703125" style="241" customWidth="1"/>
    <col min="3088" max="3088" width="5" style="241" customWidth="1"/>
    <col min="3089" max="3091" width="0" style="241" hidden="1" customWidth="1"/>
    <col min="3092" max="3092" width="8.85546875" style="241" customWidth="1"/>
    <col min="3093" max="3093" width="10.42578125" style="241" customWidth="1"/>
    <col min="3094" max="3094" width="3.42578125" style="241" customWidth="1"/>
    <col min="3095" max="3095" width="0" style="241" hidden="1" customWidth="1"/>
    <col min="3096" max="3096" width="9.5703125" style="241" customWidth="1"/>
    <col min="3097" max="3097" width="3.140625" style="241" customWidth="1"/>
    <col min="3098" max="3098" width="0" style="241" hidden="1" customWidth="1"/>
    <col min="3099" max="3099" width="7.7109375" style="241" customWidth="1"/>
    <col min="3100" max="3101" width="0" style="241" hidden="1" customWidth="1"/>
    <col min="3102" max="3102" width="8" style="241" customWidth="1"/>
    <col min="3103" max="3104" width="0" style="241" hidden="1" customWidth="1"/>
    <col min="3105" max="3105" width="8.140625" style="241" customWidth="1"/>
    <col min="3106" max="3107" width="0" style="241" hidden="1" customWidth="1"/>
    <col min="3108" max="3108" width="7.7109375" style="241" customWidth="1"/>
    <col min="3109" max="3109" width="3.42578125" style="241" customWidth="1"/>
    <col min="3110" max="3110" width="0" style="241" hidden="1" customWidth="1"/>
    <col min="3111" max="3111" width="8.42578125" style="241" customWidth="1"/>
    <col min="3112" max="3112" width="3.42578125" style="241" customWidth="1"/>
    <col min="3113" max="3113" width="0" style="241" hidden="1" customWidth="1"/>
    <col min="3114" max="3114" width="6.7109375" style="241" customWidth="1"/>
    <col min="3115" max="3115" width="11" style="241" customWidth="1"/>
    <col min="3116" max="3116" width="3.85546875" style="241" customWidth="1"/>
    <col min="3117" max="3117" width="0" style="241" hidden="1" customWidth="1"/>
    <col min="3118" max="3118" width="9.28515625" style="241" customWidth="1"/>
    <col min="3119" max="3119" width="4.42578125" style="241" customWidth="1"/>
    <col min="3120" max="3120" width="4.5703125" style="241" customWidth="1"/>
    <col min="3121" max="3121" width="10.28515625" style="241" customWidth="1"/>
    <col min="3122" max="3122" width="3.7109375" style="241" customWidth="1"/>
    <col min="3123" max="3123" width="0" style="241" hidden="1" customWidth="1"/>
    <col min="3124" max="3124" width="7.5703125" style="241" customWidth="1"/>
    <col min="3125" max="3125" width="9.7109375" style="241" customWidth="1"/>
    <col min="3126" max="3126" width="0" style="241" hidden="1" customWidth="1"/>
    <col min="3127" max="3127" width="11.5703125" style="241" customWidth="1"/>
    <col min="3128" max="3138" width="0" style="241" hidden="1" customWidth="1"/>
    <col min="3139" max="3139" width="11.42578125" style="241" bestFit="1" customWidth="1"/>
    <col min="3140" max="3140" width="10.85546875" style="241" customWidth="1"/>
    <col min="3141" max="3141" width="10.42578125" style="241" bestFit="1" customWidth="1"/>
    <col min="3142" max="3328" width="9.140625" style="241"/>
    <col min="3329" max="3329" width="2.140625" style="241" customWidth="1"/>
    <col min="3330" max="3330" width="41.7109375" style="241" customWidth="1"/>
    <col min="3331" max="3331" width="6.5703125" style="241" customWidth="1"/>
    <col min="3332" max="3339" width="0" style="241" hidden="1" customWidth="1"/>
    <col min="3340" max="3340" width="2.42578125" style="241" customWidth="1"/>
    <col min="3341" max="3341" width="5.5703125" style="241" customWidth="1"/>
    <col min="3342" max="3342" width="4.5703125" style="241" customWidth="1"/>
    <col min="3343" max="3343" width="5.5703125" style="241" customWidth="1"/>
    <col min="3344" max="3344" width="5" style="241" customWidth="1"/>
    <col min="3345" max="3347" width="0" style="241" hidden="1" customWidth="1"/>
    <col min="3348" max="3348" width="8.85546875" style="241" customWidth="1"/>
    <col min="3349" max="3349" width="10.42578125" style="241" customWidth="1"/>
    <col min="3350" max="3350" width="3.42578125" style="241" customWidth="1"/>
    <col min="3351" max="3351" width="0" style="241" hidden="1" customWidth="1"/>
    <col min="3352" max="3352" width="9.5703125" style="241" customWidth="1"/>
    <col min="3353" max="3353" width="3.140625" style="241" customWidth="1"/>
    <col min="3354" max="3354" width="0" style="241" hidden="1" customWidth="1"/>
    <col min="3355" max="3355" width="7.7109375" style="241" customWidth="1"/>
    <col min="3356" max="3357" width="0" style="241" hidden="1" customWidth="1"/>
    <col min="3358" max="3358" width="8" style="241" customWidth="1"/>
    <col min="3359" max="3360" width="0" style="241" hidden="1" customWidth="1"/>
    <col min="3361" max="3361" width="8.140625" style="241" customWidth="1"/>
    <col min="3362" max="3363" width="0" style="241" hidden="1" customWidth="1"/>
    <col min="3364" max="3364" width="7.7109375" style="241" customWidth="1"/>
    <col min="3365" max="3365" width="3.42578125" style="241" customWidth="1"/>
    <col min="3366" max="3366" width="0" style="241" hidden="1" customWidth="1"/>
    <col min="3367" max="3367" width="8.42578125" style="241" customWidth="1"/>
    <col min="3368" max="3368" width="3.42578125" style="241" customWidth="1"/>
    <col min="3369" max="3369" width="0" style="241" hidden="1" customWidth="1"/>
    <col min="3370" max="3370" width="6.7109375" style="241" customWidth="1"/>
    <col min="3371" max="3371" width="11" style="241" customWidth="1"/>
    <col min="3372" max="3372" width="3.85546875" style="241" customWidth="1"/>
    <col min="3373" max="3373" width="0" style="241" hidden="1" customWidth="1"/>
    <col min="3374" max="3374" width="9.28515625" style="241" customWidth="1"/>
    <col min="3375" max="3375" width="4.42578125" style="241" customWidth="1"/>
    <col min="3376" max="3376" width="4.5703125" style="241" customWidth="1"/>
    <col min="3377" max="3377" width="10.28515625" style="241" customWidth="1"/>
    <col min="3378" max="3378" width="3.7109375" style="241" customWidth="1"/>
    <col min="3379" max="3379" width="0" style="241" hidden="1" customWidth="1"/>
    <col min="3380" max="3380" width="7.5703125" style="241" customWidth="1"/>
    <col min="3381" max="3381" width="9.7109375" style="241" customWidth="1"/>
    <col min="3382" max="3382" width="0" style="241" hidden="1" customWidth="1"/>
    <col min="3383" max="3383" width="11.5703125" style="241" customWidth="1"/>
    <col min="3384" max="3394" width="0" style="241" hidden="1" customWidth="1"/>
    <col min="3395" max="3395" width="11.42578125" style="241" bestFit="1" customWidth="1"/>
    <col min="3396" max="3396" width="10.85546875" style="241" customWidth="1"/>
    <col min="3397" max="3397" width="10.42578125" style="241" bestFit="1" customWidth="1"/>
    <col min="3398" max="3584" width="9.140625" style="241"/>
    <col min="3585" max="3585" width="2.140625" style="241" customWidth="1"/>
    <col min="3586" max="3586" width="41.7109375" style="241" customWidth="1"/>
    <col min="3587" max="3587" width="6.5703125" style="241" customWidth="1"/>
    <col min="3588" max="3595" width="0" style="241" hidden="1" customWidth="1"/>
    <col min="3596" max="3596" width="2.42578125" style="241" customWidth="1"/>
    <col min="3597" max="3597" width="5.5703125" style="241" customWidth="1"/>
    <col min="3598" max="3598" width="4.5703125" style="241" customWidth="1"/>
    <col min="3599" max="3599" width="5.5703125" style="241" customWidth="1"/>
    <col min="3600" max="3600" width="5" style="241" customWidth="1"/>
    <col min="3601" max="3603" width="0" style="241" hidden="1" customWidth="1"/>
    <col min="3604" max="3604" width="8.85546875" style="241" customWidth="1"/>
    <col min="3605" max="3605" width="10.42578125" style="241" customWidth="1"/>
    <col min="3606" max="3606" width="3.42578125" style="241" customWidth="1"/>
    <col min="3607" max="3607" width="0" style="241" hidden="1" customWidth="1"/>
    <col min="3608" max="3608" width="9.5703125" style="241" customWidth="1"/>
    <col min="3609" max="3609" width="3.140625" style="241" customWidth="1"/>
    <col min="3610" max="3610" width="0" style="241" hidden="1" customWidth="1"/>
    <col min="3611" max="3611" width="7.7109375" style="241" customWidth="1"/>
    <col min="3612" max="3613" width="0" style="241" hidden="1" customWidth="1"/>
    <col min="3614" max="3614" width="8" style="241" customWidth="1"/>
    <col min="3615" max="3616" width="0" style="241" hidden="1" customWidth="1"/>
    <col min="3617" max="3617" width="8.140625" style="241" customWidth="1"/>
    <col min="3618" max="3619" width="0" style="241" hidden="1" customWidth="1"/>
    <col min="3620" max="3620" width="7.7109375" style="241" customWidth="1"/>
    <col min="3621" max="3621" width="3.42578125" style="241" customWidth="1"/>
    <col min="3622" max="3622" width="0" style="241" hidden="1" customWidth="1"/>
    <col min="3623" max="3623" width="8.42578125" style="241" customWidth="1"/>
    <col min="3624" max="3624" width="3.42578125" style="241" customWidth="1"/>
    <col min="3625" max="3625" width="0" style="241" hidden="1" customWidth="1"/>
    <col min="3626" max="3626" width="6.7109375" style="241" customWidth="1"/>
    <col min="3627" max="3627" width="11" style="241" customWidth="1"/>
    <col min="3628" max="3628" width="3.85546875" style="241" customWidth="1"/>
    <col min="3629" max="3629" width="0" style="241" hidden="1" customWidth="1"/>
    <col min="3630" max="3630" width="9.28515625" style="241" customWidth="1"/>
    <col min="3631" max="3631" width="4.42578125" style="241" customWidth="1"/>
    <col min="3632" max="3632" width="4.5703125" style="241" customWidth="1"/>
    <col min="3633" max="3633" width="10.28515625" style="241" customWidth="1"/>
    <col min="3634" max="3634" width="3.7109375" style="241" customWidth="1"/>
    <col min="3635" max="3635" width="0" style="241" hidden="1" customWidth="1"/>
    <col min="3636" max="3636" width="7.5703125" style="241" customWidth="1"/>
    <col min="3637" max="3637" width="9.7109375" style="241" customWidth="1"/>
    <col min="3638" max="3638" width="0" style="241" hidden="1" customWidth="1"/>
    <col min="3639" max="3639" width="11.5703125" style="241" customWidth="1"/>
    <col min="3640" max="3650" width="0" style="241" hidden="1" customWidth="1"/>
    <col min="3651" max="3651" width="11.42578125" style="241" bestFit="1" customWidth="1"/>
    <col min="3652" max="3652" width="10.85546875" style="241" customWidth="1"/>
    <col min="3653" max="3653" width="10.42578125" style="241" bestFit="1" customWidth="1"/>
    <col min="3654" max="3840" width="9.140625" style="241"/>
    <col min="3841" max="3841" width="2.140625" style="241" customWidth="1"/>
    <col min="3842" max="3842" width="41.7109375" style="241" customWidth="1"/>
    <col min="3843" max="3843" width="6.5703125" style="241" customWidth="1"/>
    <col min="3844" max="3851" width="0" style="241" hidden="1" customWidth="1"/>
    <col min="3852" max="3852" width="2.42578125" style="241" customWidth="1"/>
    <col min="3853" max="3853" width="5.5703125" style="241" customWidth="1"/>
    <col min="3854" max="3854" width="4.5703125" style="241" customWidth="1"/>
    <col min="3855" max="3855" width="5.5703125" style="241" customWidth="1"/>
    <col min="3856" max="3856" width="5" style="241" customWidth="1"/>
    <col min="3857" max="3859" width="0" style="241" hidden="1" customWidth="1"/>
    <col min="3860" max="3860" width="8.85546875" style="241" customWidth="1"/>
    <col min="3861" max="3861" width="10.42578125" style="241" customWidth="1"/>
    <col min="3862" max="3862" width="3.42578125" style="241" customWidth="1"/>
    <col min="3863" max="3863" width="0" style="241" hidden="1" customWidth="1"/>
    <col min="3864" max="3864" width="9.5703125" style="241" customWidth="1"/>
    <col min="3865" max="3865" width="3.140625" style="241" customWidth="1"/>
    <col min="3866" max="3866" width="0" style="241" hidden="1" customWidth="1"/>
    <col min="3867" max="3867" width="7.7109375" style="241" customWidth="1"/>
    <col min="3868" max="3869" width="0" style="241" hidden="1" customWidth="1"/>
    <col min="3870" max="3870" width="8" style="241" customWidth="1"/>
    <col min="3871" max="3872" width="0" style="241" hidden="1" customWidth="1"/>
    <col min="3873" max="3873" width="8.140625" style="241" customWidth="1"/>
    <col min="3874" max="3875" width="0" style="241" hidden="1" customWidth="1"/>
    <col min="3876" max="3876" width="7.7109375" style="241" customWidth="1"/>
    <col min="3877" max="3877" width="3.42578125" style="241" customWidth="1"/>
    <col min="3878" max="3878" width="0" style="241" hidden="1" customWidth="1"/>
    <col min="3879" max="3879" width="8.42578125" style="241" customWidth="1"/>
    <col min="3880" max="3880" width="3.42578125" style="241" customWidth="1"/>
    <col min="3881" max="3881" width="0" style="241" hidden="1" customWidth="1"/>
    <col min="3882" max="3882" width="6.7109375" style="241" customWidth="1"/>
    <col min="3883" max="3883" width="11" style="241" customWidth="1"/>
    <col min="3884" max="3884" width="3.85546875" style="241" customWidth="1"/>
    <col min="3885" max="3885" width="0" style="241" hidden="1" customWidth="1"/>
    <col min="3886" max="3886" width="9.28515625" style="241" customWidth="1"/>
    <col min="3887" max="3887" width="4.42578125" style="241" customWidth="1"/>
    <col min="3888" max="3888" width="4.5703125" style="241" customWidth="1"/>
    <col min="3889" max="3889" width="10.28515625" style="241" customWidth="1"/>
    <col min="3890" max="3890" width="3.7109375" style="241" customWidth="1"/>
    <col min="3891" max="3891" width="0" style="241" hidden="1" customWidth="1"/>
    <col min="3892" max="3892" width="7.5703125" style="241" customWidth="1"/>
    <col min="3893" max="3893" width="9.7109375" style="241" customWidth="1"/>
    <col min="3894" max="3894" width="0" style="241" hidden="1" customWidth="1"/>
    <col min="3895" max="3895" width="11.5703125" style="241" customWidth="1"/>
    <col min="3896" max="3906" width="0" style="241" hidden="1" customWidth="1"/>
    <col min="3907" max="3907" width="11.42578125" style="241" bestFit="1" customWidth="1"/>
    <col min="3908" max="3908" width="10.85546875" style="241" customWidth="1"/>
    <col min="3909" max="3909" width="10.42578125" style="241" bestFit="1" customWidth="1"/>
    <col min="3910" max="4096" width="9.140625" style="241"/>
    <col min="4097" max="4097" width="2.140625" style="241" customWidth="1"/>
    <col min="4098" max="4098" width="41.7109375" style="241" customWidth="1"/>
    <col min="4099" max="4099" width="6.5703125" style="241" customWidth="1"/>
    <col min="4100" max="4107" width="0" style="241" hidden="1" customWidth="1"/>
    <col min="4108" max="4108" width="2.42578125" style="241" customWidth="1"/>
    <col min="4109" max="4109" width="5.5703125" style="241" customWidth="1"/>
    <col min="4110" max="4110" width="4.5703125" style="241" customWidth="1"/>
    <col min="4111" max="4111" width="5.5703125" style="241" customWidth="1"/>
    <col min="4112" max="4112" width="5" style="241" customWidth="1"/>
    <col min="4113" max="4115" width="0" style="241" hidden="1" customWidth="1"/>
    <col min="4116" max="4116" width="8.85546875" style="241" customWidth="1"/>
    <col min="4117" max="4117" width="10.42578125" style="241" customWidth="1"/>
    <col min="4118" max="4118" width="3.42578125" style="241" customWidth="1"/>
    <col min="4119" max="4119" width="0" style="241" hidden="1" customWidth="1"/>
    <col min="4120" max="4120" width="9.5703125" style="241" customWidth="1"/>
    <col min="4121" max="4121" width="3.140625" style="241" customWidth="1"/>
    <col min="4122" max="4122" width="0" style="241" hidden="1" customWidth="1"/>
    <col min="4123" max="4123" width="7.7109375" style="241" customWidth="1"/>
    <col min="4124" max="4125" width="0" style="241" hidden="1" customWidth="1"/>
    <col min="4126" max="4126" width="8" style="241" customWidth="1"/>
    <col min="4127" max="4128" width="0" style="241" hidden="1" customWidth="1"/>
    <col min="4129" max="4129" width="8.140625" style="241" customWidth="1"/>
    <col min="4130" max="4131" width="0" style="241" hidden="1" customWidth="1"/>
    <col min="4132" max="4132" width="7.7109375" style="241" customWidth="1"/>
    <col min="4133" max="4133" width="3.42578125" style="241" customWidth="1"/>
    <col min="4134" max="4134" width="0" style="241" hidden="1" customWidth="1"/>
    <col min="4135" max="4135" width="8.42578125" style="241" customWidth="1"/>
    <col min="4136" max="4136" width="3.42578125" style="241" customWidth="1"/>
    <col min="4137" max="4137" width="0" style="241" hidden="1" customWidth="1"/>
    <col min="4138" max="4138" width="6.7109375" style="241" customWidth="1"/>
    <col min="4139" max="4139" width="11" style="241" customWidth="1"/>
    <col min="4140" max="4140" width="3.85546875" style="241" customWidth="1"/>
    <col min="4141" max="4141" width="0" style="241" hidden="1" customWidth="1"/>
    <col min="4142" max="4142" width="9.28515625" style="241" customWidth="1"/>
    <col min="4143" max="4143" width="4.42578125" style="241" customWidth="1"/>
    <col min="4144" max="4144" width="4.5703125" style="241" customWidth="1"/>
    <col min="4145" max="4145" width="10.28515625" style="241" customWidth="1"/>
    <col min="4146" max="4146" width="3.7109375" style="241" customWidth="1"/>
    <col min="4147" max="4147" width="0" style="241" hidden="1" customWidth="1"/>
    <col min="4148" max="4148" width="7.5703125" style="241" customWidth="1"/>
    <col min="4149" max="4149" width="9.7109375" style="241" customWidth="1"/>
    <col min="4150" max="4150" width="0" style="241" hidden="1" customWidth="1"/>
    <col min="4151" max="4151" width="11.5703125" style="241" customWidth="1"/>
    <col min="4152" max="4162" width="0" style="241" hidden="1" customWidth="1"/>
    <col min="4163" max="4163" width="11.42578125" style="241" bestFit="1" customWidth="1"/>
    <col min="4164" max="4164" width="10.85546875" style="241" customWidth="1"/>
    <col min="4165" max="4165" width="10.42578125" style="241" bestFit="1" customWidth="1"/>
    <col min="4166" max="4352" width="9.140625" style="241"/>
    <col min="4353" max="4353" width="2.140625" style="241" customWidth="1"/>
    <col min="4354" max="4354" width="41.7109375" style="241" customWidth="1"/>
    <col min="4355" max="4355" width="6.5703125" style="241" customWidth="1"/>
    <col min="4356" max="4363" width="0" style="241" hidden="1" customWidth="1"/>
    <col min="4364" max="4364" width="2.42578125" style="241" customWidth="1"/>
    <col min="4365" max="4365" width="5.5703125" style="241" customWidth="1"/>
    <col min="4366" max="4366" width="4.5703125" style="241" customWidth="1"/>
    <col min="4367" max="4367" width="5.5703125" style="241" customWidth="1"/>
    <col min="4368" max="4368" width="5" style="241" customWidth="1"/>
    <col min="4369" max="4371" width="0" style="241" hidden="1" customWidth="1"/>
    <col min="4372" max="4372" width="8.85546875" style="241" customWidth="1"/>
    <col min="4373" max="4373" width="10.42578125" style="241" customWidth="1"/>
    <col min="4374" max="4374" width="3.42578125" style="241" customWidth="1"/>
    <col min="4375" max="4375" width="0" style="241" hidden="1" customWidth="1"/>
    <col min="4376" max="4376" width="9.5703125" style="241" customWidth="1"/>
    <col min="4377" max="4377" width="3.140625" style="241" customWidth="1"/>
    <col min="4378" max="4378" width="0" style="241" hidden="1" customWidth="1"/>
    <col min="4379" max="4379" width="7.7109375" style="241" customWidth="1"/>
    <col min="4380" max="4381" width="0" style="241" hidden="1" customWidth="1"/>
    <col min="4382" max="4382" width="8" style="241" customWidth="1"/>
    <col min="4383" max="4384" width="0" style="241" hidden="1" customWidth="1"/>
    <col min="4385" max="4385" width="8.140625" style="241" customWidth="1"/>
    <col min="4386" max="4387" width="0" style="241" hidden="1" customWidth="1"/>
    <col min="4388" max="4388" width="7.7109375" style="241" customWidth="1"/>
    <col min="4389" max="4389" width="3.42578125" style="241" customWidth="1"/>
    <col min="4390" max="4390" width="0" style="241" hidden="1" customWidth="1"/>
    <col min="4391" max="4391" width="8.42578125" style="241" customWidth="1"/>
    <col min="4392" max="4392" width="3.42578125" style="241" customWidth="1"/>
    <col min="4393" max="4393" width="0" style="241" hidden="1" customWidth="1"/>
    <col min="4394" max="4394" width="6.7109375" style="241" customWidth="1"/>
    <col min="4395" max="4395" width="11" style="241" customWidth="1"/>
    <col min="4396" max="4396" width="3.85546875" style="241" customWidth="1"/>
    <col min="4397" max="4397" width="0" style="241" hidden="1" customWidth="1"/>
    <col min="4398" max="4398" width="9.28515625" style="241" customWidth="1"/>
    <col min="4399" max="4399" width="4.42578125" style="241" customWidth="1"/>
    <col min="4400" max="4400" width="4.5703125" style="241" customWidth="1"/>
    <col min="4401" max="4401" width="10.28515625" style="241" customWidth="1"/>
    <col min="4402" max="4402" width="3.7109375" style="241" customWidth="1"/>
    <col min="4403" max="4403" width="0" style="241" hidden="1" customWidth="1"/>
    <col min="4404" max="4404" width="7.5703125" style="241" customWidth="1"/>
    <col min="4405" max="4405" width="9.7109375" style="241" customWidth="1"/>
    <col min="4406" max="4406" width="0" style="241" hidden="1" customWidth="1"/>
    <col min="4407" max="4407" width="11.5703125" style="241" customWidth="1"/>
    <col min="4408" max="4418" width="0" style="241" hidden="1" customWidth="1"/>
    <col min="4419" max="4419" width="11.42578125" style="241" bestFit="1" customWidth="1"/>
    <col min="4420" max="4420" width="10.85546875" style="241" customWidth="1"/>
    <col min="4421" max="4421" width="10.42578125" style="241" bestFit="1" customWidth="1"/>
    <col min="4422" max="4608" width="9.140625" style="241"/>
    <col min="4609" max="4609" width="2.140625" style="241" customWidth="1"/>
    <col min="4610" max="4610" width="41.7109375" style="241" customWidth="1"/>
    <col min="4611" max="4611" width="6.5703125" style="241" customWidth="1"/>
    <col min="4612" max="4619" width="0" style="241" hidden="1" customWidth="1"/>
    <col min="4620" max="4620" width="2.42578125" style="241" customWidth="1"/>
    <col min="4621" max="4621" width="5.5703125" style="241" customWidth="1"/>
    <col min="4622" max="4622" width="4.5703125" style="241" customWidth="1"/>
    <col min="4623" max="4623" width="5.5703125" style="241" customWidth="1"/>
    <col min="4624" max="4624" width="5" style="241" customWidth="1"/>
    <col min="4625" max="4627" width="0" style="241" hidden="1" customWidth="1"/>
    <col min="4628" max="4628" width="8.85546875" style="241" customWidth="1"/>
    <col min="4629" max="4629" width="10.42578125" style="241" customWidth="1"/>
    <col min="4630" max="4630" width="3.42578125" style="241" customWidth="1"/>
    <col min="4631" max="4631" width="0" style="241" hidden="1" customWidth="1"/>
    <col min="4632" max="4632" width="9.5703125" style="241" customWidth="1"/>
    <col min="4633" max="4633" width="3.140625" style="241" customWidth="1"/>
    <col min="4634" max="4634" width="0" style="241" hidden="1" customWidth="1"/>
    <col min="4635" max="4635" width="7.7109375" style="241" customWidth="1"/>
    <col min="4636" max="4637" width="0" style="241" hidden="1" customWidth="1"/>
    <col min="4638" max="4638" width="8" style="241" customWidth="1"/>
    <col min="4639" max="4640" width="0" style="241" hidden="1" customWidth="1"/>
    <col min="4641" max="4641" width="8.140625" style="241" customWidth="1"/>
    <col min="4642" max="4643" width="0" style="241" hidden="1" customWidth="1"/>
    <col min="4644" max="4644" width="7.7109375" style="241" customWidth="1"/>
    <col min="4645" max="4645" width="3.42578125" style="241" customWidth="1"/>
    <col min="4646" max="4646" width="0" style="241" hidden="1" customWidth="1"/>
    <col min="4647" max="4647" width="8.42578125" style="241" customWidth="1"/>
    <col min="4648" max="4648" width="3.42578125" style="241" customWidth="1"/>
    <col min="4649" max="4649" width="0" style="241" hidden="1" customWidth="1"/>
    <col min="4650" max="4650" width="6.7109375" style="241" customWidth="1"/>
    <col min="4651" max="4651" width="11" style="241" customWidth="1"/>
    <col min="4652" max="4652" width="3.85546875" style="241" customWidth="1"/>
    <col min="4653" max="4653" width="0" style="241" hidden="1" customWidth="1"/>
    <col min="4654" max="4654" width="9.28515625" style="241" customWidth="1"/>
    <col min="4655" max="4655" width="4.42578125" style="241" customWidth="1"/>
    <col min="4656" max="4656" width="4.5703125" style="241" customWidth="1"/>
    <col min="4657" max="4657" width="10.28515625" style="241" customWidth="1"/>
    <col min="4658" max="4658" width="3.7109375" style="241" customWidth="1"/>
    <col min="4659" max="4659" width="0" style="241" hidden="1" customWidth="1"/>
    <col min="4660" max="4660" width="7.5703125" style="241" customWidth="1"/>
    <col min="4661" max="4661" width="9.7109375" style="241" customWidth="1"/>
    <col min="4662" max="4662" width="0" style="241" hidden="1" customWidth="1"/>
    <col min="4663" max="4663" width="11.5703125" style="241" customWidth="1"/>
    <col min="4664" max="4674" width="0" style="241" hidden="1" customWidth="1"/>
    <col min="4675" max="4675" width="11.42578125" style="241" bestFit="1" customWidth="1"/>
    <col min="4676" max="4676" width="10.85546875" style="241" customWidth="1"/>
    <col min="4677" max="4677" width="10.42578125" style="241" bestFit="1" customWidth="1"/>
    <col min="4678" max="4864" width="9.140625" style="241"/>
    <col min="4865" max="4865" width="2.140625" style="241" customWidth="1"/>
    <col min="4866" max="4866" width="41.7109375" style="241" customWidth="1"/>
    <col min="4867" max="4867" width="6.5703125" style="241" customWidth="1"/>
    <col min="4868" max="4875" width="0" style="241" hidden="1" customWidth="1"/>
    <col min="4876" max="4876" width="2.42578125" style="241" customWidth="1"/>
    <col min="4877" max="4877" width="5.5703125" style="241" customWidth="1"/>
    <col min="4878" max="4878" width="4.5703125" style="241" customWidth="1"/>
    <col min="4879" max="4879" width="5.5703125" style="241" customWidth="1"/>
    <col min="4880" max="4880" width="5" style="241" customWidth="1"/>
    <col min="4881" max="4883" width="0" style="241" hidden="1" customWidth="1"/>
    <col min="4884" max="4884" width="8.85546875" style="241" customWidth="1"/>
    <col min="4885" max="4885" width="10.42578125" style="241" customWidth="1"/>
    <col min="4886" max="4886" width="3.42578125" style="241" customWidth="1"/>
    <col min="4887" max="4887" width="0" style="241" hidden="1" customWidth="1"/>
    <col min="4888" max="4888" width="9.5703125" style="241" customWidth="1"/>
    <col min="4889" max="4889" width="3.140625" style="241" customWidth="1"/>
    <col min="4890" max="4890" width="0" style="241" hidden="1" customWidth="1"/>
    <col min="4891" max="4891" width="7.7109375" style="241" customWidth="1"/>
    <col min="4892" max="4893" width="0" style="241" hidden="1" customWidth="1"/>
    <col min="4894" max="4894" width="8" style="241" customWidth="1"/>
    <col min="4895" max="4896" width="0" style="241" hidden="1" customWidth="1"/>
    <col min="4897" max="4897" width="8.140625" style="241" customWidth="1"/>
    <col min="4898" max="4899" width="0" style="241" hidden="1" customWidth="1"/>
    <col min="4900" max="4900" width="7.7109375" style="241" customWidth="1"/>
    <col min="4901" max="4901" width="3.42578125" style="241" customWidth="1"/>
    <col min="4902" max="4902" width="0" style="241" hidden="1" customWidth="1"/>
    <col min="4903" max="4903" width="8.42578125" style="241" customWidth="1"/>
    <col min="4904" max="4904" width="3.42578125" style="241" customWidth="1"/>
    <col min="4905" max="4905" width="0" style="241" hidden="1" customWidth="1"/>
    <col min="4906" max="4906" width="6.7109375" style="241" customWidth="1"/>
    <col min="4907" max="4907" width="11" style="241" customWidth="1"/>
    <col min="4908" max="4908" width="3.85546875" style="241" customWidth="1"/>
    <col min="4909" max="4909" width="0" style="241" hidden="1" customWidth="1"/>
    <col min="4910" max="4910" width="9.28515625" style="241" customWidth="1"/>
    <col min="4911" max="4911" width="4.42578125" style="241" customWidth="1"/>
    <col min="4912" max="4912" width="4.5703125" style="241" customWidth="1"/>
    <col min="4913" max="4913" width="10.28515625" style="241" customWidth="1"/>
    <col min="4914" max="4914" width="3.7109375" style="241" customWidth="1"/>
    <col min="4915" max="4915" width="0" style="241" hidden="1" customWidth="1"/>
    <col min="4916" max="4916" width="7.5703125" style="241" customWidth="1"/>
    <col min="4917" max="4917" width="9.7109375" style="241" customWidth="1"/>
    <col min="4918" max="4918" width="0" style="241" hidden="1" customWidth="1"/>
    <col min="4919" max="4919" width="11.5703125" style="241" customWidth="1"/>
    <col min="4920" max="4930" width="0" style="241" hidden="1" customWidth="1"/>
    <col min="4931" max="4931" width="11.42578125" style="241" bestFit="1" customWidth="1"/>
    <col min="4932" max="4932" width="10.85546875" style="241" customWidth="1"/>
    <col min="4933" max="4933" width="10.42578125" style="241" bestFit="1" customWidth="1"/>
    <col min="4934" max="5120" width="9.140625" style="241"/>
    <col min="5121" max="5121" width="2.140625" style="241" customWidth="1"/>
    <col min="5122" max="5122" width="41.7109375" style="241" customWidth="1"/>
    <col min="5123" max="5123" width="6.5703125" style="241" customWidth="1"/>
    <col min="5124" max="5131" width="0" style="241" hidden="1" customWidth="1"/>
    <col min="5132" max="5132" width="2.42578125" style="241" customWidth="1"/>
    <col min="5133" max="5133" width="5.5703125" style="241" customWidth="1"/>
    <col min="5134" max="5134" width="4.5703125" style="241" customWidth="1"/>
    <col min="5135" max="5135" width="5.5703125" style="241" customWidth="1"/>
    <col min="5136" max="5136" width="5" style="241" customWidth="1"/>
    <col min="5137" max="5139" width="0" style="241" hidden="1" customWidth="1"/>
    <col min="5140" max="5140" width="8.85546875" style="241" customWidth="1"/>
    <col min="5141" max="5141" width="10.42578125" style="241" customWidth="1"/>
    <col min="5142" max="5142" width="3.42578125" style="241" customWidth="1"/>
    <col min="5143" max="5143" width="0" style="241" hidden="1" customWidth="1"/>
    <col min="5144" max="5144" width="9.5703125" style="241" customWidth="1"/>
    <col min="5145" max="5145" width="3.140625" style="241" customWidth="1"/>
    <col min="5146" max="5146" width="0" style="241" hidden="1" customWidth="1"/>
    <col min="5147" max="5147" width="7.7109375" style="241" customWidth="1"/>
    <col min="5148" max="5149" width="0" style="241" hidden="1" customWidth="1"/>
    <col min="5150" max="5150" width="8" style="241" customWidth="1"/>
    <col min="5151" max="5152" width="0" style="241" hidden="1" customWidth="1"/>
    <col min="5153" max="5153" width="8.140625" style="241" customWidth="1"/>
    <col min="5154" max="5155" width="0" style="241" hidden="1" customWidth="1"/>
    <col min="5156" max="5156" width="7.7109375" style="241" customWidth="1"/>
    <col min="5157" max="5157" width="3.42578125" style="241" customWidth="1"/>
    <col min="5158" max="5158" width="0" style="241" hidden="1" customWidth="1"/>
    <col min="5159" max="5159" width="8.42578125" style="241" customWidth="1"/>
    <col min="5160" max="5160" width="3.42578125" style="241" customWidth="1"/>
    <col min="5161" max="5161" width="0" style="241" hidden="1" customWidth="1"/>
    <col min="5162" max="5162" width="6.7109375" style="241" customWidth="1"/>
    <col min="5163" max="5163" width="11" style="241" customWidth="1"/>
    <col min="5164" max="5164" width="3.85546875" style="241" customWidth="1"/>
    <col min="5165" max="5165" width="0" style="241" hidden="1" customWidth="1"/>
    <col min="5166" max="5166" width="9.28515625" style="241" customWidth="1"/>
    <col min="5167" max="5167" width="4.42578125" style="241" customWidth="1"/>
    <col min="5168" max="5168" width="4.5703125" style="241" customWidth="1"/>
    <col min="5169" max="5169" width="10.28515625" style="241" customWidth="1"/>
    <col min="5170" max="5170" width="3.7109375" style="241" customWidth="1"/>
    <col min="5171" max="5171" width="0" style="241" hidden="1" customWidth="1"/>
    <col min="5172" max="5172" width="7.5703125" style="241" customWidth="1"/>
    <col min="5173" max="5173" width="9.7109375" style="241" customWidth="1"/>
    <col min="5174" max="5174" width="0" style="241" hidden="1" customWidth="1"/>
    <col min="5175" max="5175" width="11.5703125" style="241" customWidth="1"/>
    <col min="5176" max="5186" width="0" style="241" hidden="1" customWidth="1"/>
    <col min="5187" max="5187" width="11.42578125" style="241" bestFit="1" customWidth="1"/>
    <col min="5188" max="5188" width="10.85546875" style="241" customWidth="1"/>
    <col min="5189" max="5189" width="10.42578125" style="241" bestFit="1" customWidth="1"/>
    <col min="5190" max="5376" width="9.140625" style="241"/>
    <col min="5377" max="5377" width="2.140625" style="241" customWidth="1"/>
    <col min="5378" max="5378" width="41.7109375" style="241" customWidth="1"/>
    <col min="5379" max="5379" width="6.5703125" style="241" customWidth="1"/>
    <col min="5380" max="5387" width="0" style="241" hidden="1" customWidth="1"/>
    <col min="5388" max="5388" width="2.42578125" style="241" customWidth="1"/>
    <col min="5389" max="5389" width="5.5703125" style="241" customWidth="1"/>
    <col min="5390" max="5390" width="4.5703125" style="241" customWidth="1"/>
    <col min="5391" max="5391" width="5.5703125" style="241" customWidth="1"/>
    <col min="5392" max="5392" width="5" style="241" customWidth="1"/>
    <col min="5393" max="5395" width="0" style="241" hidden="1" customWidth="1"/>
    <col min="5396" max="5396" width="8.85546875" style="241" customWidth="1"/>
    <col min="5397" max="5397" width="10.42578125" style="241" customWidth="1"/>
    <col min="5398" max="5398" width="3.42578125" style="241" customWidth="1"/>
    <col min="5399" max="5399" width="0" style="241" hidden="1" customWidth="1"/>
    <col min="5400" max="5400" width="9.5703125" style="241" customWidth="1"/>
    <col min="5401" max="5401" width="3.140625" style="241" customWidth="1"/>
    <col min="5402" max="5402" width="0" style="241" hidden="1" customWidth="1"/>
    <col min="5403" max="5403" width="7.7109375" style="241" customWidth="1"/>
    <col min="5404" max="5405" width="0" style="241" hidden="1" customWidth="1"/>
    <col min="5406" max="5406" width="8" style="241" customWidth="1"/>
    <col min="5407" max="5408" width="0" style="241" hidden="1" customWidth="1"/>
    <col min="5409" max="5409" width="8.140625" style="241" customWidth="1"/>
    <col min="5410" max="5411" width="0" style="241" hidden="1" customWidth="1"/>
    <col min="5412" max="5412" width="7.7109375" style="241" customWidth="1"/>
    <col min="5413" max="5413" width="3.42578125" style="241" customWidth="1"/>
    <col min="5414" max="5414" width="0" style="241" hidden="1" customWidth="1"/>
    <col min="5415" max="5415" width="8.42578125" style="241" customWidth="1"/>
    <col min="5416" max="5416" width="3.42578125" style="241" customWidth="1"/>
    <col min="5417" max="5417" width="0" style="241" hidden="1" customWidth="1"/>
    <col min="5418" max="5418" width="6.7109375" style="241" customWidth="1"/>
    <col min="5419" max="5419" width="11" style="241" customWidth="1"/>
    <col min="5420" max="5420" width="3.85546875" style="241" customWidth="1"/>
    <col min="5421" max="5421" width="0" style="241" hidden="1" customWidth="1"/>
    <col min="5422" max="5422" width="9.28515625" style="241" customWidth="1"/>
    <col min="5423" max="5423" width="4.42578125" style="241" customWidth="1"/>
    <col min="5424" max="5424" width="4.5703125" style="241" customWidth="1"/>
    <col min="5425" max="5425" width="10.28515625" style="241" customWidth="1"/>
    <col min="5426" max="5426" width="3.7109375" style="241" customWidth="1"/>
    <col min="5427" max="5427" width="0" style="241" hidden="1" customWidth="1"/>
    <col min="5428" max="5428" width="7.5703125" style="241" customWidth="1"/>
    <col min="5429" max="5429" width="9.7109375" style="241" customWidth="1"/>
    <col min="5430" max="5430" width="0" style="241" hidden="1" customWidth="1"/>
    <col min="5431" max="5431" width="11.5703125" style="241" customWidth="1"/>
    <col min="5432" max="5442" width="0" style="241" hidden="1" customWidth="1"/>
    <col min="5443" max="5443" width="11.42578125" style="241" bestFit="1" customWidth="1"/>
    <col min="5444" max="5444" width="10.85546875" style="241" customWidth="1"/>
    <col min="5445" max="5445" width="10.42578125" style="241" bestFit="1" customWidth="1"/>
    <col min="5446" max="5632" width="9.140625" style="241"/>
    <col min="5633" max="5633" width="2.140625" style="241" customWidth="1"/>
    <col min="5634" max="5634" width="41.7109375" style="241" customWidth="1"/>
    <col min="5635" max="5635" width="6.5703125" style="241" customWidth="1"/>
    <col min="5636" max="5643" width="0" style="241" hidden="1" customWidth="1"/>
    <col min="5644" max="5644" width="2.42578125" style="241" customWidth="1"/>
    <col min="5645" max="5645" width="5.5703125" style="241" customWidth="1"/>
    <col min="5646" max="5646" width="4.5703125" style="241" customWidth="1"/>
    <col min="5647" max="5647" width="5.5703125" style="241" customWidth="1"/>
    <col min="5648" max="5648" width="5" style="241" customWidth="1"/>
    <col min="5649" max="5651" width="0" style="241" hidden="1" customWidth="1"/>
    <col min="5652" max="5652" width="8.85546875" style="241" customWidth="1"/>
    <col min="5653" max="5653" width="10.42578125" style="241" customWidth="1"/>
    <col min="5654" max="5654" width="3.42578125" style="241" customWidth="1"/>
    <col min="5655" max="5655" width="0" style="241" hidden="1" customWidth="1"/>
    <col min="5656" max="5656" width="9.5703125" style="241" customWidth="1"/>
    <col min="5657" max="5657" width="3.140625" style="241" customWidth="1"/>
    <col min="5658" max="5658" width="0" style="241" hidden="1" customWidth="1"/>
    <col min="5659" max="5659" width="7.7109375" style="241" customWidth="1"/>
    <col min="5660" max="5661" width="0" style="241" hidden="1" customWidth="1"/>
    <col min="5662" max="5662" width="8" style="241" customWidth="1"/>
    <col min="5663" max="5664" width="0" style="241" hidden="1" customWidth="1"/>
    <col min="5665" max="5665" width="8.140625" style="241" customWidth="1"/>
    <col min="5666" max="5667" width="0" style="241" hidden="1" customWidth="1"/>
    <col min="5668" max="5668" width="7.7109375" style="241" customWidth="1"/>
    <col min="5669" max="5669" width="3.42578125" style="241" customWidth="1"/>
    <col min="5670" max="5670" width="0" style="241" hidden="1" customWidth="1"/>
    <col min="5671" max="5671" width="8.42578125" style="241" customWidth="1"/>
    <col min="5672" max="5672" width="3.42578125" style="241" customWidth="1"/>
    <col min="5673" max="5673" width="0" style="241" hidden="1" customWidth="1"/>
    <col min="5674" max="5674" width="6.7109375" style="241" customWidth="1"/>
    <col min="5675" max="5675" width="11" style="241" customWidth="1"/>
    <col min="5676" max="5676" width="3.85546875" style="241" customWidth="1"/>
    <col min="5677" max="5677" width="0" style="241" hidden="1" customWidth="1"/>
    <col min="5678" max="5678" width="9.28515625" style="241" customWidth="1"/>
    <col min="5679" max="5679" width="4.42578125" style="241" customWidth="1"/>
    <col min="5680" max="5680" width="4.5703125" style="241" customWidth="1"/>
    <col min="5681" max="5681" width="10.28515625" style="241" customWidth="1"/>
    <col min="5682" max="5682" width="3.7109375" style="241" customWidth="1"/>
    <col min="5683" max="5683" width="0" style="241" hidden="1" customWidth="1"/>
    <col min="5684" max="5684" width="7.5703125" style="241" customWidth="1"/>
    <col min="5685" max="5685" width="9.7109375" style="241" customWidth="1"/>
    <col min="5686" max="5686" width="0" style="241" hidden="1" customWidth="1"/>
    <col min="5687" max="5687" width="11.5703125" style="241" customWidth="1"/>
    <col min="5688" max="5698" width="0" style="241" hidden="1" customWidth="1"/>
    <col min="5699" max="5699" width="11.42578125" style="241" bestFit="1" customWidth="1"/>
    <col min="5700" max="5700" width="10.85546875" style="241" customWidth="1"/>
    <col min="5701" max="5701" width="10.42578125" style="241" bestFit="1" customWidth="1"/>
    <col min="5702" max="5888" width="9.140625" style="241"/>
    <col min="5889" max="5889" width="2.140625" style="241" customWidth="1"/>
    <col min="5890" max="5890" width="41.7109375" style="241" customWidth="1"/>
    <col min="5891" max="5891" width="6.5703125" style="241" customWidth="1"/>
    <col min="5892" max="5899" width="0" style="241" hidden="1" customWidth="1"/>
    <col min="5900" max="5900" width="2.42578125" style="241" customWidth="1"/>
    <col min="5901" max="5901" width="5.5703125" style="241" customWidth="1"/>
    <col min="5902" max="5902" width="4.5703125" style="241" customWidth="1"/>
    <col min="5903" max="5903" width="5.5703125" style="241" customWidth="1"/>
    <col min="5904" max="5904" width="5" style="241" customWidth="1"/>
    <col min="5905" max="5907" width="0" style="241" hidden="1" customWidth="1"/>
    <col min="5908" max="5908" width="8.85546875" style="241" customWidth="1"/>
    <col min="5909" max="5909" width="10.42578125" style="241" customWidth="1"/>
    <col min="5910" max="5910" width="3.42578125" style="241" customWidth="1"/>
    <col min="5911" max="5911" width="0" style="241" hidden="1" customWidth="1"/>
    <col min="5912" max="5912" width="9.5703125" style="241" customWidth="1"/>
    <col min="5913" max="5913" width="3.140625" style="241" customWidth="1"/>
    <col min="5914" max="5914" width="0" style="241" hidden="1" customWidth="1"/>
    <col min="5915" max="5915" width="7.7109375" style="241" customWidth="1"/>
    <col min="5916" max="5917" width="0" style="241" hidden="1" customWidth="1"/>
    <col min="5918" max="5918" width="8" style="241" customWidth="1"/>
    <col min="5919" max="5920" width="0" style="241" hidden="1" customWidth="1"/>
    <col min="5921" max="5921" width="8.140625" style="241" customWidth="1"/>
    <col min="5922" max="5923" width="0" style="241" hidden="1" customWidth="1"/>
    <col min="5924" max="5924" width="7.7109375" style="241" customWidth="1"/>
    <col min="5925" max="5925" width="3.42578125" style="241" customWidth="1"/>
    <col min="5926" max="5926" width="0" style="241" hidden="1" customWidth="1"/>
    <col min="5927" max="5927" width="8.42578125" style="241" customWidth="1"/>
    <col min="5928" max="5928" width="3.42578125" style="241" customWidth="1"/>
    <col min="5929" max="5929" width="0" style="241" hidden="1" customWidth="1"/>
    <col min="5930" max="5930" width="6.7109375" style="241" customWidth="1"/>
    <col min="5931" max="5931" width="11" style="241" customWidth="1"/>
    <col min="5932" max="5932" width="3.85546875" style="241" customWidth="1"/>
    <col min="5933" max="5933" width="0" style="241" hidden="1" customWidth="1"/>
    <col min="5934" max="5934" width="9.28515625" style="241" customWidth="1"/>
    <col min="5935" max="5935" width="4.42578125" style="241" customWidth="1"/>
    <col min="5936" max="5936" width="4.5703125" style="241" customWidth="1"/>
    <col min="5937" max="5937" width="10.28515625" style="241" customWidth="1"/>
    <col min="5938" max="5938" width="3.7109375" style="241" customWidth="1"/>
    <col min="5939" max="5939" width="0" style="241" hidden="1" customWidth="1"/>
    <col min="5940" max="5940" width="7.5703125" style="241" customWidth="1"/>
    <col min="5941" max="5941" width="9.7109375" style="241" customWidth="1"/>
    <col min="5942" max="5942" width="0" style="241" hidden="1" customWidth="1"/>
    <col min="5943" max="5943" width="11.5703125" style="241" customWidth="1"/>
    <col min="5944" max="5954" width="0" style="241" hidden="1" customWidth="1"/>
    <col min="5955" max="5955" width="11.42578125" style="241" bestFit="1" customWidth="1"/>
    <col min="5956" max="5956" width="10.85546875" style="241" customWidth="1"/>
    <col min="5957" max="5957" width="10.42578125" style="241" bestFit="1" customWidth="1"/>
    <col min="5958" max="6144" width="9.140625" style="241"/>
    <col min="6145" max="6145" width="2.140625" style="241" customWidth="1"/>
    <col min="6146" max="6146" width="41.7109375" style="241" customWidth="1"/>
    <col min="6147" max="6147" width="6.5703125" style="241" customWidth="1"/>
    <col min="6148" max="6155" width="0" style="241" hidden="1" customWidth="1"/>
    <col min="6156" max="6156" width="2.42578125" style="241" customWidth="1"/>
    <col min="6157" max="6157" width="5.5703125" style="241" customWidth="1"/>
    <col min="6158" max="6158" width="4.5703125" style="241" customWidth="1"/>
    <col min="6159" max="6159" width="5.5703125" style="241" customWidth="1"/>
    <col min="6160" max="6160" width="5" style="241" customWidth="1"/>
    <col min="6161" max="6163" width="0" style="241" hidden="1" customWidth="1"/>
    <col min="6164" max="6164" width="8.85546875" style="241" customWidth="1"/>
    <col min="6165" max="6165" width="10.42578125" style="241" customWidth="1"/>
    <col min="6166" max="6166" width="3.42578125" style="241" customWidth="1"/>
    <col min="6167" max="6167" width="0" style="241" hidden="1" customWidth="1"/>
    <col min="6168" max="6168" width="9.5703125" style="241" customWidth="1"/>
    <col min="6169" max="6169" width="3.140625" style="241" customWidth="1"/>
    <col min="6170" max="6170" width="0" style="241" hidden="1" customWidth="1"/>
    <col min="6171" max="6171" width="7.7109375" style="241" customWidth="1"/>
    <col min="6172" max="6173" width="0" style="241" hidden="1" customWidth="1"/>
    <col min="6174" max="6174" width="8" style="241" customWidth="1"/>
    <col min="6175" max="6176" width="0" style="241" hidden="1" customWidth="1"/>
    <col min="6177" max="6177" width="8.140625" style="241" customWidth="1"/>
    <col min="6178" max="6179" width="0" style="241" hidden="1" customWidth="1"/>
    <col min="6180" max="6180" width="7.7109375" style="241" customWidth="1"/>
    <col min="6181" max="6181" width="3.42578125" style="241" customWidth="1"/>
    <col min="6182" max="6182" width="0" style="241" hidden="1" customWidth="1"/>
    <col min="6183" max="6183" width="8.42578125" style="241" customWidth="1"/>
    <col min="6184" max="6184" width="3.42578125" style="241" customWidth="1"/>
    <col min="6185" max="6185" width="0" style="241" hidden="1" customWidth="1"/>
    <col min="6186" max="6186" width="6.7109375" style="241" customWidth="1"/>
    <col min="6187" max="6187" width="11" style="241" customWidth="1"/>
    <col min="6188" max="6188" width="3.85546875" style="241" customWidth="1"/>
    <col min="6189" max="6189" width="0" style="241" hidden="1" customWidth="1"/>
    <col min="6190" max="6190" width="9.28515625" style="241" customWidth="1"/>
    <col min="6191" max="6191" width="4.42578125" style="241" customWidth="1"/>
    <col min="6192" max="6192" width="4.5703125" style="241" customWidth="1"/>
    <col min="6193" max="6193" width="10.28515625" style="241" customWidth="1"/>
    <col min="6194" max="6194" width="3.7109375" style="241" customWidth="1"/>
    <col min="6195" max="6195" width="0" style="241" hidden="1" customWidth="1"/>
    <col min="6196" max="6196" width="7.5703125" style="241" customWidth="1"/>
    <col min="6197" max="6197" width="9.7109375" style="241" customWidth="1"/>
    <col min="6198" max="6198" width="0" style="241" hidden="1" customWidth="1"/>
    <col min="6199" max="6199" width="11.5703125" style="241" customWidth="1"/>
    <col min="6200" max="6210" width="0" style="241" hidden="1" customWidth="1"/>
    <col min="6211" max="6211" width="11.42578125" style="241" bestFit="1" customWidth="1"/>
    <col min="6212" max="6212" width="10.85546875" style="241" customWidth="1"/>
    <col min="6213" max="6213" width="10.42578125" style="241" bestFit="1" customWidth="1"/>
    <col min="6214" max="6400" width="9.140625" style="241"/>
    <col min="6401" max="6401" width="2.140625" style="241" customWidth="1"/>
    <col min="6402" max="6402" width="41.7109375" style="241" customWidth="1"/>
    <col min="6403" max="6403" width="6.5703125" style="241" customWidth="1"/>
    <col min="6404" max="6411" width="0" style="241" hidden="1" customWidth="1"/>
    <col min="6412" max="6412" width="2.42578125" style="241" customWidth="1"/>
    <col min="6413" max="6413" width="5.5703125" style="241" customWidth="1"/>
    <col min="6414" max="6414" width="4.5703125" style="241" customWidth="1"/>
    <col min="6415" max="6415" width="5.5703125" style="241" customWidth="1"/>
    <col min="6416" max="6416" width="5" style="241" customWidth="1"/>
    <col min="6417" max="6419" width="0" style="241" hidden="1" customWidth="1"/>
    <col min="6420" max="6420" width="8.85546875" style="241" customWidth="1"/>
    <col min="6421" max="6421" width="10.42578125" style="241" customWidth="1"/>
    <col min="6422" max="6422" width="3.42578125" style="241" customWidth="1"/>
    <col min="6423" max="6423" width="0" style="241" hidden="1" customWidth="1"/>
    <col min="6424" max="6424" width="9.5703125" style="241" customWidth="1"/>
    <col min="6425" max="6425" width="3.140625" style="241" customWidth="1"/>
    <col min="6426" max="6426" width="0" style="241" hidden="1" customWidth="1"/>
    <col min="6427" max="6427" width="7.7109375" style="241" customWidth="1"/>
    <col min="6428" max="6429" width="0" style="241" hidden="1" customWidth="1"/>
    <col min="6430" max="6430" width="8" style="241" customWidth="1"/>
    <col min="6431" max="6432" width="0" style="241" hidden="1" customWidth="1"/>
    <col min="6433" max="6433" width="8.140625" style="241" customWidth="1"/>
    <col min="6434" max="6435" width="0" style="241" hidden="1" customWidth="1"/>
    <col min="6436" max="6436" width="7.7109375" style="241" customWidth="1"/>
    <col min="6437" max="6437" width="3.42578125" style="241" customWidth="1"/>
    <col min="6438" max="6438" width="0" style="241" hidden="1" customWidth="1"/>
    <col min="6439" max="6439" width="8.42578125" style="241" customWidth="1"/>
    <col min="6440" max="6440" width="3.42578125" style="241" customWidth="1"/>
    <col min="6441" max="6441" width="0" style="241" hidden="1" customWidth="1"/>
    <col min="6442" max="6442" width="6.7109375" style="241" customWidth="1"/>
    <col min="6443" max="6443" width="11" style="241" customWidth="1"/>
    <col min="6444" max="6444" width="3.85546875" style="241" customWidth="1"/>
    <col min="6445" max="6445" width="0" style="241" hidden="1" customWidth="1"/>
    <col min="6446" max="6446" width="9.28515625" style="241" customWidth="1"/>
    <col min="6447" max="6447" width="4.42578125" style="241" customWidth="1"/>
    <col min="6448" max="6448" width="4.5703125" style="241" customWidth="1"/>
    <col min="6449" max="6449" width="10.28515625" style="241" customWidth="1"/>
    <col min="6450" max="6450" width="3.7109375" style="241" customWidth="1"/>
    <col min="6451" max="6451" width="0" style="241" hidden="1" customWidth="1"/>
    <col min="6452" max="6452" width="7.5703125" style="241" customWidth="1"/>
    <col min="6453" max="6453" width="9.7109375" style="241" customWidth="1"/>
    <col min="6454" max="6454" width="0" style="241" hidden="1" customWidth="1"/>
    <col min="6455" max="6455" width="11.5703125" style="241" customWidth="1"/>
    <col min="6456" max="6466" width="0" style="241" hidden="1" customWidth="1"/>
    <col min="6467" max="6467" width="11.42578125" style="241" bestFit="1" customWidth="1"/>
    <col min="6468" max="6468" width="10.85546875" style="241" customWidth="1"/>
    <col min="6469" max="6469" width="10.42578125" style="241" bestFit="1" customWidth="1"/>
    <col min="6470" max="6656" width="9.140625" style="241"/>
    <col min="6657" max="6657" width="2.140625" style="241" customWidth="1"/>
    <col min="6658" max="6658" width="41.7109375" style="241" customWidth="1"/>
    <col min="6659" max="6659" width="6.5703125" style="241" customWidth="1"/>
    <col min="6660" max="6667" width="0" style="241" hidden="1" customWidth="1"/>
    <col min="6668" max="6668" width="2.42578125" style="241" customWidth="1"/>
    <col min="6669" max="6669" width="5.5703125" style="241" customWidth="1"/>
    <col min="6670" max="6670" width="4.5703125" style="241" customWidth="1"/>
    <col min="6671" max="6671" width="5.5703125" style="241" customWidth="1"/>
    <col min="6672" max="6672" width="5" style="241" customWidth="1"/>
    <col min="6673" max="6675" width="0" style="241" hidden="1" customWidth="1"/>
    <col min="6676" max="6676" width="8.85546875" style="241" customWidth="1"/>
    <col min="6677" max="6677" width="10.42578125" style="241" customWidth="1"/>
    <col min="6678" max="6678" width="3.42578125" style="241" customWidth="1"/>
    <col min="6679" max="6679" width="0" style="241" hidden="1" customWidth="1"/>
    <col min="6680" max="6680" width="9.5703125" style="241" customWidth="1"/>
    <col min="6681" max="6681" width="3.140625" style="241" customWidth="1"/>
    <col min="6682" max="6682" width="0" style="241" hidden="1" customWidth="1"/>
    <col min="6683" max="6683" width="7.7109375" style="241" customWidth="1"/>
    <col min="6684" max="6685" width="0" style="241" hidden="1" customWidth="1"/>
    <col min="6686" max="6686" width="8" style="241" customWidth="1"/>
    <col min="6687" max="6688" width="0" style="241" hidden="1" customWidth="1"/>
    <col min="6689" max="6689" width="8.140625" style="241" customWidth="1"/>
    <col min="6690" max="6691" width="0" style="241" hidden="1" customWidth="1"/>
    <col min="6692" max="6692" width="7.7109375" style="241" customWidth="1"/>
    <col min="6693" max="6693" width="3.42578125" style="241" customWidth="1"/>
    <col min="6694" max="6694" width="0" style="241" hidden="1" customWidth="1"/>
    <col min="6695" max="6695" width="8.42578125" style="241" customWidth="1"/>
    <col min="6696" max="6696" width="3.42578125" style="241" customWidth="1"/>
    <col min="6697" max="6697" width="0" style="241" hidden="1" customWidth="1"/>
    <col min="6698" max="6698" width="6.7109375" style="241" customWidth="1"/>
    <col min="6699" max="6699" width="11" style="241" customWidth="1"/>
    <col min="6700" max="6700" width="3.85546875" style="241" customWidth="1"/>
    <col min="6701" max="6701" width="0" style="241" hidden="1" customWidth="1"/>
    <col min="6702" max="6702" width="9.28515625" style="241" customWidth="1"/>
    <col min="6703" max="6703" width="4.42578125" style="241" customWidth="1"/>
    <col min="6704" max="6704" width="4.5703125" style="241" customWidth="1"/>
    <col min="6705" max="6705" width="10.28515625" style="241" customWidth="1"/>
    <col min="6706" max="6706" width="3.7109375" style="241" customWidth="1"/>
    <col min="6707" max="6707" width="0" style="241" hidden="1" customWidth="1"/>
    <col min="6708" max="6708" width="7.5703125" style="241" customWidth="1"/>
    <col min="6709" max="6709" width="9.7109375" style="241" customWidth="1"/>
    <col min="6710" max="6710" width="0" style="241" hidden="1" customWidth="1"/>
    <col min="6711" max="6711" width="11.5703125" style="241" customWidth="1"/>
    <col min="6712" max="6722" width="0" style="241" hidden="1" customWidth="1"/>
    <col min="6723" max="6723" width="11.42578125" style="241" bestFit="1" customWidth="1"/>
    <col min="6724" max="6724" width="10.85546875" style="241" customWidth="1"/>
    <col min="6725" max="6725" width="10.42578125" style="241" bestFit="1" customWidth="1"/>
    <col min="6726" max="6912" width="9.140625" style="241"/>
    <col min="6913" max="6913" width="2.140625" style="241" customWidth="1"/>
    <col min="6914" max="6914" width="41.7109375" style="241" customWidth="1"/>
    <col min="6915" max="6915" width="6.5703125" style="241" customWidth="1"/>
    <col min="6916" max="6923" width="0" style="241" hidden="1" customWidth="1"/>
    <col min="6924" max="6924" width="2.42578125" style="241" customWidth="1"/>
    <col min="6925" max="6925" width="5.5703125" style="241" customWidth="1"/>
    <col min="6926" max="6926" width="4.5703125" style="241" customWidth="1"/>
    <col min="6927" max="6927" width="5.5703125" style="241" customWidth="1"/>
    <col min="6928" max="6928" width="5" style="241" customWidth="1"/>
    <col min="6929" max="6931" width="0" style="241" hidden="1" customWidth="1"/>
    <col min="6932" max="6932" width="8.85546875" style="241" customWidth="1"/>
    <col min="6933" max="6933" width="10.42578125" style="241" customWidth="1"/>
    <col min="6934" max="6934" width="3.42578125" style="241" customWidth="1"/>
    <col min="6935" max="6935" width="0" style="241" hidden="1" customWidth="1"/>
    <col min="6936" max="6936" width="9.5703125" style="241" customWidth="1"/>
    <col min="6937" max="6937" width="3.140625" style="241" customWidth="1"/>
    <col min="6938" max="6938" width="0" style="241" hidden="1" customWidth="1"/>
    <col min="6939" max="6939" width="7.7109375" style="241" customWidth="1"/>
    <col min="6940" max="6941" width="0" style="241" hidden="1" customWidth="1"/>
    <col min="6942" max="6942" width="8" style="241" customWidth="1"/>
    <col min="6943" max="6944" width="0" style="241" hidden="1" customWidth="1"/>
    <col min="6945" max="6945" width="8.140625" style="241" customWidth="1"/>
    <col min="6946" max="6947" width="0" style="241" hidden="1" customWidth="1"/>
    <col min="6948" max="6948" width="7.7109375" style="241" customWidth="1"/>
    <col min="6949" max="6949" width="3.42578125" style="241" customWidth="1"/>
    <col min="6950" max="6950" width="0" style="241" hidden="1" customWidth="1"/>
    <col min="6951" max="6951" width="8.42578125" style="241" customWidth="1"/>
    <col min="6952" max="6952" width="3.42578125" style="241" customWidth="1"/>
    <col min="6953" max="6953" width="0" style="241" hidden="1" customWidth="1"/>
    <col min="6954" max="6954" width="6.7109375" style="241" customWidth="1"/>
    <col min="6955" max="6955" width="11" style="241" customWidth="1"/>
    <col min="6956" max="6956" width="3.85546875" style="241" customWidth="1"/>
    <col min="6957" max="6957" width="0" style="241" hidden="1" customWidth="1"/>
    <col min="6958" max="6958" width="9.28515625" style="241" customWidth="1"/>
    <col min="6959" max="6959" width="4.42578125" style="241" customWidth="1"/>
    <col min="6960" max="6960" width="4.5703125" style="241" customWidth="1"/>
    <col min="6961" max="6961" width="10.28515625" style="241" customWidth="1"/>
    <col min="6962" max="6962" width="3.7109375" style="241" customWidth="1"/>
    <col min="6963" max="6963" width="0" style="241" hidden="1" customWidth="1"/>
    <col min="6964" max="6964" width="7.5703125" style="241" customWidth="1"/>
    <col min="6965" max="6965" width="9.7109375" style="241" customWidth="1"/>
    <col min="6966" max="6966" width="0" style="241" hidden="1" customWidth="1"/>
    <col min="6967" max="6967" width="11.5703125" style="241" customWidth="1"/>
    <col min="6968" max="6978" width="0" style="241" hidden="1" customWidth="1"/>
    <col min="6979" max="6979" width="11.42578125" style="241" bestFit="1" customWidth="1"/>
    <col min="6980" max="6980" width="10.85546875" style="241" customWidth="1"/>
    <col min="6981" max="6981" width="10.42578125" style="241" bestFit="1" customWidth="1"/>
    <col min="6982" max="7168" width="9.140625" style="241"/>
    <col min="7169" max="7169" width="2.140625" style="241" customWidth="1"/>
    <col min="7170" max="7170" width="41.7109375" style="241" customWidth="1"/>
    <col min="7171" max="7171" width="6.5703125" style="241" customWidth="1"/>
    <col min="7172" max="7179" width="0" style="241" hidden="1" customWidth="1"/>
    <col min="7180" max="7180" width="2.42578125" style="241" customWidth="1"/>
    <col min="7181" max="7181" width="5.5703125" style="241" customWidth="1"/>
    <col min="7182" max="7182" width="4.5703125" style="241" customWidth="1"/>
    <col min="7183" max="7183" width="5.5703125" style="241" customWidth="1"/>
    <col min="7184" max="7184" width="5" style="241" customWidth="1"/>
    <col min="7185" max="7187" width="0" style="241" hidden="1" customWidth="1"/>
    <col min="7188" max="7188" width="8.85546875" style="241" customWidth="1"/>
    <col min="7189" max="7189" width="10.42578125" style="241" customWidth="1"/>
    <col min="7190" max="7190" width="3.42578125" style="241" customWidth="1"/>
    <col min="7191" max="7191" width="0" style="241" hidden="1" customWidth="1"/>
    <col min="7192" max="7192" width="9.5703125" style="241" customWidth="1"/>
    <col min="7193" max="7193" width="3.140625" style="241" customWidth="1"/>
    <col min="7194" max="7194" width="0" style="241" hidden="1" customWidth="1"/>
    <col min="7195" max="7195" width="7.7109375" style="241" customWidth="1"/>
    <col min="7196" max="7197" width="0" style="241" hidden="1" customWidth="1"/>
    <col min="7198" max="7198" width="8" style="241" customWidth="1"/>
    <col min="7199" max="7200" width="0" style="241" hidden="1" customWidth="1"/>
    <col min="7201" max="7201" width="8.140625" style="241" customWidth="1"/>
    <col min="7202" max="7203" width="0" style="241" hidden="1" customWidth="1"/>
    <col min="7204" max="7204" width="7.7109375" style="241" customWidth="1"/>
    <col min="7205" max="7205" width="3.42578125" style="241" customWidth="1"/>
    <col min="7206" max="7206" width="0" style="241" hidden="1" customWidth="1"/>
    <col min="7207" max="7207" width="8.42578125" style="241" customWidth="1"/>
    <col min="7208" max="7208" width="3.42578125" style="241" customWidth="1"/>
    <col min="7209" max="7209" width="0" style="241" hidden="1" customWidth="1"/>
    <col min="7210" max="7210" width="6.7109375" style="241" customWidth="1"/>
    <col min="7211" max="7211" width="11" style="241" customWidth="1"/>
    <col min="7212" max="7212" width="3.85546875" style="241" customWidth="1"/>
    <col min="7213" max="7213" width="0" style="241" hidden="1" customWidth="1"/>
    <col min="7214" max="7214" width="9.28515625" style="241" customWidth="1"/>
    <col min="7215" max="7215" width="4.42578125" style="241" customWidth="1"/>
    <col min="7216" max="7216" width="4.5703125" style="241" customWidth="1"/>
    <col min="7217" max="7217" width="10.28515625" style="241" customWidth="1"/>
    <col min="7218" max="7218" width="3.7109375" style="241" customWidth="1"/>
    <col min="7219" max="7219" width="0" style="241" hidden="1" customWidth="1"/>
    <col min="7220" max="7220" width="7.5703125" style="241" customWidth="1"/>
    <col min="7221" max="7221" width="9.7109375" style="241" customWidth="1"/>
    <col min="7222" max="7222" width="0" style="241" hidden="1" customWidth="1"/>
    <col min="7223" max="7223" width="11.5703125" style="241" customWidth="1"/>
    <col min="7224" max="7234" width="0" style="241" hidden="1" customWidth="1"/>
    <col min="7235" max="7235" width="11.42578125" style="241" bestFit="1" customWidth="1"/>
    <col min="7236" max="7236" width="10.85546875" style="241" customWidth="1"/>
    <col min="7237" max="7237" width="10.42578125" style="241" bestFit="1" customWidth="1"/>
    <col min="7238" max="7424" width="9.140625" style="241"/>
    <col min="7425" max="7425" width="2.140625" style="241" customWidth="1"/>
    <col min="7426" max="7426" width="41.7109375" style="241" customWidth="1"/>
    <col min="7427" max="7427" width="6.5703125" style="241" customWidth="1"/>
    <col min="7428" max="7435" width="0" style="241" hidden="1" customWidth="1"/>
    <col min="7436" max="7436" width="2.42578125" style="241" customWidth="1"/>
    <col min="7437" max="7437" width="5.5703125" style="241" customWidth="1"/>
    <col min="7438" max="7438" width="4.5703125" style="241" customWidth="1"/>
    <col min="7439" max="7439" width="5.5703125" style="241" customWidth="1"/>
    <col min="7440" max="7440" width="5" style="241" customWidth="1"/>
    <col min="7441" max="7443" width="0" style="241" hidden="1" customWidth="1"/>
    <col min="7444" max="7444" width="8.85546875" style="241" customWidth="1"/>
    <col min="7445" max="7445" width="10.42578125" style="241" customWidth="1"/>
    <col min="7446" max="7446" width="3.42578125" style="241" customWidth="1"/>
    <col min="7447" max="7447" width="0" style="241" hidden="1" customWidth="1"/>
    <col min="7448" max="7448" width="9.5703125" style="241" customWidth="1"/>
    <col min="7449" max="7449" width="3.140625" style="241" customWidth="1"/>
    <col min="7450" max="7450" width="0" style="241" hidden="1" customWidth="1"/>
    <col min="7451" max="7451" width="7.7109375" style="241" customWidth="1"/>
    <col min="7452" max="7453" width="0" style="241" hidden="1" customWidth="1"/>
    <col min="7454" max="7454" width="8" style="241" customWidth="1"/>
    <col min="7455" max="7456" width="0" style="241" hidden="1" customWidth="1"/>
    <col min="7457" max="7457" width="8.140625" style="241" customWidth="1"/>
    <col min="7458" max="7459" width="0" style="241" hidden="1" customWidth="1"/>
    <col min="7460" max="7460" width="7.7109375" style="241" customWidth="1"/>
    <col min="7461" max="7461" width="3.42578125" style="241" customWidth="1"/>
    <col min="7462" max="7462" width="0" style="241" hidden="1" customWidth="1"/>
    <col min="7463" max="7463" width="8.42578125" style="241" customWidth="1"/>
    <col min="7464" max="7464" width="3.42578125" style="241" customWidth="1"/>
    <col min="7465" max="7465" width="0" style="241" hidden="1" customWidth="1"/>
    <col min="7466" max="7466" width="6.7109375" style="241" customWidth="1"/>
    <col min="7467" max="7467" width="11" style="241" customWidth="1"/>
    <col min="7468" max="7468" width="3.85546875" style="241" customWidth="1"/>
    <col min="7469" max="7469" width="0" style="241" hidden="1" customWidth="1"/>
    <col min="7470" max="7470" width="9.28515625" style="241" customWidth="1"/>
    <col min="7471" max="7471" width="4.42578125" style="241" customWidth="1"/>
    <col min="7472" max="7472" width="4.5703125" style="241" customWidth="1"/>
    <col min="7473" max="7473" width="10.28515625" style="241" customWidth="1"/>
    <col min="7474" max="7474" width="3.7109375" style="241" customWidth="1"/>
    <col min="7475" max="7475" width="0" style="241" hidden="1" customWidth="1"/>
    <col min="7476" max="7476" width="7.5703125" style="241" customWidth="1"/>
    <col min="7477" max="7477" width="9.7109375" style="241" customWidth="1"/>
    <col min="7478" max="7478" width="0" style="241" hidden="1" customWidth="1"/>
    <col min="7479" max="7479" width="11.5703125" style="241" customWidth="1"/>
    <col min="7480" max="7490" width="0" style="241" hidden="1" customWidth="1"/>
    <col min="7491" max="7491" width="11.42578125" style="241" bestFit="1" customWidth="1"/>
    <col min="7492" max="7492" width="10.85546875" style="241" customWidth="1"/>
    <col min="7493" max="7493" width="10.42578125" style="241" bestFit="1" customWidth="1"/>
    <col min="7494" max="7680" width="9.140625" style="241"/>
    <col min="7681" max="7681" width="2.140625" style="241" customWidth="1"/>
    <col min="7682" max="7682" width="41.7109375" style="241" customWidth="1"/>
    <col min="7683" max="7683" width="6.5703125" style="241" customWidth="1"/>
    <col min="7684" max="7691" width="0" style="241" hidden="1" customWidth="1"/>
    <col min="7692" max="7692" width="2.42578125" style="241" customWidth="1"/>
    <col min="7693" max="7693" width="5.5703125" style="241" customWidth="1"/>
    <col min="7694" max="7694" width="4.5703125" style="241" customWidth="1"/>
    <col min="7695" max="7695" width="5.5703125" style="241" customWidth="1"/>
    <col min="7696" max="7696" width="5" style="241" customWidth="1"/>
    <col min="7697" max="7699" width="0" style="241" hidden="1" customWidth="1"/>
    <col min="7700" max="7700" width="8.85546875" style="241" customWidth="1"/>
    <col min="7701" max="7701" width="10.42578125" style="241" customWidth="1"/>
    <col min="7702" max="7702" width="3.42578125" style="241" customWidth="1"/>
    <col min="7703" max="7703" width="0" style="241" hidden="1" customWidth="1"/>
    <col min="7704" max="7704" width="9.5703125" style="241" customWidth="1"/>
    <col min="7705" max="7705" width="3.140625" style="241" customWidth="1"/>
    <col min="7706" max="7706" width="0" style="241" hidden="1" customWidth="1"/>
    <col min="7707" max="7707" width="7.7109375" style="241" customWidth="1"/>
    <col min="7708" max="7709" width="0" style="241" hidden="1" customWidth="1"/>
    <col min="7710" max="7710" width="8" style="241" customWidth="1"/>
    <col min="7711" max="7712" width="0" style="241" hidden="1" customWidth="1"/>
    <col min="7713" max="7713" width="8.140625" style="241" customWidth="1"/>
    <col min="7714" max="7715" width="0" style="241" hidden="1" customWidth="1"/>
    <col min="7716" max="7716" width="7.7109375" style="241" customWidth="1"/>
    <col min="7717" max="7717" width="3.42578125" style="241" customWidth="1"/>
    <col min="7718" max="7718" width="0" style="241" hidden="1" customWidth="1"/>
    <col min="7719" max="7719" width="8.42578125" style="241" customWidth="1"/>
    <col min="7720" max="7720" width="3.42578125" style="241" customWidth="1"/>
    <col min="7721" max="7721" width="0" style="241" hidden="1" customWidth="1"/>
    <col min="7722" max="7722" width="6.7109375" style="241" customWidth="1"/>
    <col min="7723" max="7723" width="11" style="241" customWidth="1"/>
    <col min="7724" max="7724" width="3.85546875" style="241" customWidth="1"/>
    <col min="7725" max="7725" width="0" style="241" hidden="1" customWidth="1"/>
    <col min="7726" max="7726" width="9.28515625" style="241" customWidth="1"/>
    <col min="7727" max="7727" width="4.42578125" style="241" customWidth="1"/>
    <col min="7728" max="7728" width="4.5703125" style="241" customWidth="1"/>
    <col min="7729" max="7729" width="10.28515625" style="241" customWidth="1"/>
    <col min="7730" max="7730" width="3.7109375" style="241" customWidth="1"/>
    <col min="7731" max="7731" width="0" style="241" hidden="1" customWidth="1"/>
    <col min="7732" max="7732" width="7.5703125" style="241" customWidth="1"/>
    <col min="7733" max="7733" width="9.7109375" style="241" customWidth="1"/>
    <col min="7734" max="7734" width="0" style="241" hidden="1" customWidth="1"/>
    <col min="7735" max="7735" width="11.5703125" style="241" customWidth="1"/>
    <col min="7736" max="7746" width="0" style="241" hidden="1" customWidth="1"/>
    <col min="7747" max="7747" width="11.42578125" style="241" bestFit="1" customWidth="1"/>
    <col min="7748" max="7748" width="10.85546875" style="241" customWidth="1"/>
    <col min="7749" max="7749" width="10.42578125" style="241" bestFit="1" customWidth="1"/>
    <col min="7750" max="7936" width="9.140625" style="241"/>
    <col min="7937" max="7937" width="2.140625" style="241" customWidth="1"/>
    <col min="7938" max="7938" width="41.7109375" style="241" customWidth="1"/>
    <col min="7939" max="7939" width="6.5703125" style="241" customWidth="1"/>
    <col min="7940" max="7947" width="0" style="241" hidden="1" customWidth="1"/>
    <col min="7948" max="7948" width="2.42578125" style="241" customWidth="1"/>
    <col min="7949" max="7949" width="5.5703125" style="241" customWidth="1"/>
    <col min="7950" max="7950" width="4.5703125" style="241" customWidth="1"/>
    <col min="7951" max="7951" width="5.5703125" style="241" customWidth="1"/>
    <col min="7952" max="7952" width="5" style="241" customWidth="1"/>
    <col min="7953" max="7955" width="0" style="241" hidden="1" customWidth="1"/>
    <col min="7956" max="7956" width="8.85546875" style="241" customWidth="1"/>
    <col min="7957" max="7957" width="10.42578125" style="241" customWidth="1"/>
    <col min="7958" max="7958" width="3.42578125" style="241" customWidth="1"/>
    <col min="7959" max="7959" width="0" style="241" hidden="1" customWidth="1"/>
    <col min="7960" max="7960" width="9.5703125" style="241" customWidth="1"/>
    <col min="7961" max="7961" width="3.140625" style="241" customWidth="1"/>
    <col min="7962" max="7962" width="0" style="241" hidden="1" customWidth="1"/>
    <col min="7963" max="7963" width="7.7109375" style="241" customWidth="1"/>
    <col min="7964" max="7965" width="0" style="241" hidden="1" customWidth="1"/>
    <col min="7966" max="7966" width="8" style="241" customWidth="1"/>
    <col min="7967" max="7968" width="0" style="241" hidden="1" customWidth="1"/>
    <col min="7969" max="7969" width="8.140625" style="241" customWidth="1"/>
    <col min="7970" max="7971" width="0" style="241" hidden="1" customWidth="1"/>
    <col min="7972" max="7972" width="7.7109375" style="241" customWidth="1"/>
    <col min="7973" max="7973" width="3.42578125" style="241" customWidth="1"/>
    <col min="7974" max="7974" width="0" style="241" hidden="1" customWidth="1"/>
    <col min="7975" max="7975" width="8.42578125" style="241" customWidth="1"/>
    <col min="7976" max="7976" width="3.42578125" style="241" customWidth="1"/>
    <col min="7977" max="7977" width="0" style="241" hidden="1" customWidth="1"/>
    <col min="7978" max="7978" width="6.7109375" style="241" customWidth="1"/>
    <col min="7979" max="7979" width="11" style="241" customWidth="1"/>
    <col min="7980" max="7980" width="3.85546875" style="241" customWidth="1"/>
    <col min="7981" max="7981" width="0" style="241" hidden="1" customWidth="1"/>
    <col min="7982" max="7982" width="9.28515625" style="241" customWidth="1"/>
    <col min="7983" max="7983" width="4.42578125" style="241" customWidth="1"/>
    <col min="7984" max="7984" width="4.5703125" style="241" customWidth="1"/>
    <col min="7985" max="7985" width="10.28515625" style="241" customWidth="1"/>
    <col min="7986" max="7986" width="3.7109375" style="241" customWidth="1"/>
    <col min="7987" max="7987" width="0" style="241" hidden="1" customWidth="1"/>
    <col min="7988" max="7988" width="7.5703125" style="241" customWidth="1"/>
    <col min="7989" max="7989" width="9.7109375" style="241" customWidth="1"/>
    <col min="7990" max="7990" width="0" style="241" hidden="1" customWidth="1"/>
    <col min="7991" max="7991" width="11.5703125" style="241" customWidth="1"/>
    <col min="7992" max="8002" width="0" style="241" hidden="1" customWidth="1"/>
    <col min="8003" max="8003" width="11.42578125" style="241" bestFit="1" customWidth="1"/>
    <col min="8004" max="8004" width="10.85546875" style="241" customWidth="1"/>
    <col min="8005" max="8005" width="10.42578125" style="241" bestFit="1" customWidth="1"/>
    <col min="8006" max="8192" width="9.140625" style="241"/>
    <col min="8193" max="8193" width="2.140625" style="241" customWidth="1"/>
    <col min="8194" max="8194" width="41.7109375" style="241" customWidth="1"/>
    <col min="8195" max="8195" width="6.5703125" style="241" customWidth="1"/>
    <col min="8196" max="8203" width="0" style="241" hidden="1" customWidth="1"/>
    <col min="8204" max="8204" width="2.42578125" style="241" customWidth="1"/>
    <col min="8205" max="8205" width="5.5703125" style="241" customWidth="1"/>
    <col min="8206" max="8206" width="4.5703125" style="241" customWidth="1"/>
    <col min="8207" max="8207" width="5.5703125" style="241" customWidth="1"/>
    <col min="8208" max="8208" width="5" style="241" customWidth="1"/>
    <col min="8209" max="8211" width="0" style="241" hidden="1" customWidth="1"/>
    <col min="8212" max="8212" width="8.85546875" style="241" customWidth="1"/>
    <col min="8213" max="8213" width="10.42578125" style="241" customWidth="1"/>
    <col min="8214" max="8214" width="3.42578125" style="241" customWidth="1"/>
    <col min="8215" max="8215" width="0" style="241" hidden="1" customWidth="1"/>
    <col min="8216" max="8216" width="9.5703125" style="241" customWidth="1"/>
    <col min="8217" max="8217" width="3.140625" style="241" customWidth="1"/>
    <col min="8218" max="8218" width="0" style="241" hidden="1" customWidth="1"/>
    <col min="8219" max="8219" width="7.7109375" style="241" customWidth="1"/>
    <col min="8220" max="8221" width="0" style="241" hidden="1" customWidth="1"/>
    <col min="8222" max="8222" width="8" style="241" customWidth="1"/>
    <col min="8223" max="8224" width="0" style="241" hidden="1" customWidth="1"/>
    <col min="8225" max="8225" width="8.140625" style="241" customWidth="1"/>
    <col min="8226" max="8227" width="0" style="241" hidden="1" customWidth="1"/>
    <col min="8228" max="8228" width="7.7109375" style="241" customWidth="1"/>
    <col min="8229" max="8229" width="3.42578125" style="241" customWidth="1"/>
    <col min="8230" max="8230" width="0" style="241" hidden="1" customWidth="1"/>
    <col min="8231" max="8231" width="8.42578125" style="241" customWidth="1"/>
    <col min="8232" max="8232" width="3.42578125" style="241" customWidth="1"/>
    <col min="8233" max="8233" width="0" style="241" hidden="1" customWidth="1"/>
    <col min="8234" max="8234" width="6.7109375" style="241" customWidth="1"/>
    <col min="8235" max="8235" width="11" style="241" customWidth="1"/>
    <col min="8236" max="8236" width="3.85546875" style="241" customWidth="1"/>
    <col min="8237" max="8237" width="0" style="241" hidden="1" customWidth="1"/>
    <col min="8238" max="8238" width="9.28515625" style="241" customWidth="1"/>
    <col min="8239" max="8239" width="4.42578125" style="241" customWidth="1"/>
    <col min="8240" max="8240" width="4.5703125" style="241" customWidth="1"/>
    <col min="8241" max="8241" width="10.28515625" style="241" customWidth="1"/>
    <col min="8242" max="8242" width="3.7109375" style="241" customWidth="1"/>
    <col min="8243" max="8243" width="0" style="241" hidden="1" customWidth="1"/>
    <col min="8244" max="8244" width="7.5703125" style="241" customWidth="1"/>
    <col min="8245" max="8245" width="9.7109375" style="241" customWidth="1"/>
    <col min="8246" max="8246" width="0" style="241" hidden="1" customWidth="1"/>
    <col min="8247" max="8247" width="11.5703125" style="241" customWidth="1"/>
    <col min="8248" max="8258" width="0" style="241" hidden="1" customWidth="1"/>
    <col min="8259" max="8259" width="11.42578125" style="241" bestFit="1" customWidth="1"/>
    <col min="8260" max="8260" width="10.85546875" style="241" customWidth="1"/>
    <col min="8261" max="8261" width="10.42578125" style="241" bestFit="1" customWidth="1"/>
    <col min="8262" max="8448" width="9.140625" style="241"/>
    <col min="8449" max="8449" width="2.140625" style="241" customWidth="1"/>
    <col min="8450" max="8450" width="41.7109375" style="241" customWidth="1"/>
    <col min="8451" max="8451" width="6.5703125" style="241" customWidth="1"/>
    <col min="8452" max="8459" width="0" style="241" hidden="1" customWidth="1"/>
    <col min="8460" max="8460" width="2.42578125" style="241" customWidth="1"/>
    <col min="8461" max="8461" width="5.5703125" style="241" customWidth="1"/>
    <col min="8462" max="8462" width="4.5703125" style="241" customWidth="1"/>
    <col min="8463" max="8463" width="5.5703125" style="241" customWidth="1"/>
    <col min="8464" max="8464" width="5" style="241" customWidth="1"/>
    <col min="8465" max="8467" width="0" style="241" hidden="1" customWidth="1"/>
    <col min="8468" max="8468" width="8.85546875" style="241" customWidth="1"/>
    <col min="8469" max="8469" width="10.42578125" style="241" customWidth="1"/>
    <col min="8470" max="8470" width="3.42578125" style="241" customWidth="1"/>
    <col min="8471" max="8471" width="0" style="241" hidden="1" customWidth="1"/>
    <col min="8472" max="8472" width="9.5703125" style="241" customWidth="1"/>
    <col min="8473" max="8473" width="3.140625" style="241" customWidth="1"/>
    <col min="8474" max="8474" width="0" style="241" hidden="1" customWidth="1"/>
    <col min="8475" max="8475" width="7.7109375" style="241" customWidth="1"/>
    <col min="8476" max="8477" width="0" style="241" hidden="1" customWidth="1"/>
    <col min="8478" max="8478" width="8" style="241" customWidth="1"/>
    <col min="8479" max="8480" width="0" style="241" hidden="1" customWidth="1"/>
    <col min="8481" max="8481" width="8.140625" style="241" customWidth="1"/>
    <col min="8482" max="8483" width="0" style="241" hidden="1" customWidth="1"/>
    <col min="8484" max="8484" width="7.7109375" style="241" customWidth="1"/>
    <col min="8485" max="8485" width="3.42578125" style="241" customWidth="1"/>
    <col min="8486" max="8486" width="0" style="241" hidden="1" customWidth="1"/>
    <col min="8487" max="8487" width="8.42578125" style="241" customWidth="1"/>
    <col min="8488" max="8488" width="3.42578125" style="241" customWidth="1"/>
    <col min="8489" max="8489" width="0" style="241" hidden="1" customWidth="1"/>
    <col min="8490" max="8490" width="6.7109375" style="241" customWidth="1"/>
    <col min="8491" max="8491" width="11" style="241" customWidth="1"/>
    <col min="8492" max="8492" width="3.85546875" style="241" customWidth="1"/>
    <col min="8493" max="8493" width="0" style="241" hidden="1" customWidth="1"/>
    <col min="8494" max="8494" width="9.28515625" style="241" customWidth="1"/>
    <col min="8495" max="8495" width="4.42578125" style="241" customWidth="1"/>
    <col min="8496" max="8496" width="4.5703125" style="241" customWidth="1"/>
    <col min="8497" max="8497" width="10.28515625" style="241" customWidth="1"/>
    <col min="8498" max="8498" width="3.7109375" style="241" customWidth="1"/>
    <col min="8499" max="8499" width="0" style="241" hidden="1" customWidth="1"/>
    <col min="8500" max="8500" width="7.5703125" style="241" customWidth="1"/>
    <col min="8501" max="8501" width="9.7109375" style="241" customWidth="1"/>
    <col min="8502" max="8502" width="0" style="241" hidden="1" customWidth="1"/>
    <col min="8503" max="8503" width="11.5703125" style="241" customWidth="1"/>
    <col min="8504" max="8514" width="0" style="241" hidden="1" customWidth="1"/>
    <col min="8515" max="8515" width="11.42578125" style="241" bestFit="1" customWidth="1"/>
    <col min="8516" max="8516" width="10.85546875" style="241" customWidth="1"/>
    <col min="8517" max="8517" width="10.42578125" style="241" bestFit="1" customWidth="1"/>
    <col min="8518" max="8704" width="9.140625" style="241"/>
    <col min="8705" max="8705" width="2.140625" style="241" customWidth="1"/>
    <col min="8706" max="8706" width="41.7109375" style="241" customWidth="1"/>
    <col min="8707" max="8707" width="6.5703125" style="241" customWidth="1"/>
    <col min="8708" max="8715" width="0" style="241" hidden="1" customWidth="1"/>
    <col min="8716" max="8716" width="2.42578125" style="241" customWidth="1"/>
    <col min="8717" max="8717" width="5.5703125" style="241" customWidth="1"/>
    <col min="8718" max="8718" width="4.5703125" style="241" customWidth="1"/>
    <col min="8719" max="8719" width="5.5703125" style="241" customWidth="1"/>
    <col min="8720" max="8720" width="5" style="241" customWidth="1"/>
    <col min="8721" max="8723" width="0" style="241" hidden="1" customWidth="1"/>
    <col min="8724" max="8724" width="8.85546875" style="241" customWidth="1"/>
    <col min="8725" max="8725" width="10.42578125" style="241" customWidth="1"/>
    <col min="8726" max="8726" width="3.42578125" style="241" customWidth="1"/>
    <col min="8727" max="8727" width="0" style="241" hidden="1" customWidth="1"/>
    <col min="8728" max="8728" width="9.5703125" style="241" customWidth="1"/>
    <col min="8729" max="8729" width="3.140625" style="241" customWidth="1"/>
    <col min="8730" max="8730" width="0" style="241" hidden="1" customWidth="1"/>
    <col min="8731" max="8731" width="7.7109375" style="241" customWidth="1"/>
    <col min="8732" max="8733" width="0" style="241" hidden="1" customWidth="1"/>
    <col min="8734" max="8734" width="8" style="241" customWidth="1"/>
    <col min="8735" max="8736" width="0" style="241" hidden="1" customWidth="1"/>
    <col min="8737" max="8737" width="8.140625" style="241" customWidth="1"/>
    <col min="8738" max="8739" width="0" style="241" hidden="1" customWidth="1"/>
    <col min="8740" max="8740" width="7.7109375" style="241" customWidth="1"/>
    <col min="8741" max="8741" width="3.42578125" style="241" customWidth="1"/>
    <col min="8742" max="8742" width="0" style="241" hidden="1" customWidth="1"/>
    <col min="8743" max="8743" width="8.42578125" style="241" customWidth="1"/>
    <col min="8744" max="8744" width="3.42578125" style="241" customWidth="1"/>
    <col min="8745" max="8745" width="0" style="241" hidden="1" customWidth="1"/>
    <col min="8746" max="8746" width="6.7109375" style="241" customWidth="1"/>
    <col min="8747" max="8747" width="11" style="241" customWidth="1"/>
    <col min="8748" max="8748" width="3.85546875" style="241" customWidth="1"/>
    <col min="8749" max="8749" width="0" style="241" hidden="1" customWidth="1"/>
    <col min="8750" max="8750" width="9.28515625" style="241" customWidth="1"/>
    <col min="8751" max="8751" width="4.42578125" style="241" customWidth="1"/>
    <col min="8752" max="8752" width="4.5703125" style="241" customWidth="1"/>
    <col min="8753" max="8753" width="10.28515625" style="241" customWidth="1"/>
    <col min="8754" max="8754" width="3.7109375" style="241" customWidth="1"/>
    <col min="8755" max="8755" width="0" style="241" hidden="1" customWidth="1"/>
    <col min="8756" max="8756" width="7.5703125" style="241" customWidth="1"/>
    <col min="8757" max="8757" width="9.7109375" style="241" customWidth="1"/>
    <col min="8758" max="8758" width="0" style="241" hidden="1" customWidth="1"/>
    <col min="8759" max="8759" width="11.5703125" style="241" customWidth="1"/>
    <col min="8760" max="8770" width="0" style="241" hidden="1" customWidth="1"/>
    <col min="8771" max="8771" width="11.42578125" style="241" bestFit="1" customWidth="1"/>
    <col min="8772" max="8772" width="10.85546875" style="241" customWidth="1"/>
    <col min="8773" max="8773" width="10.42578125" style="241" bestFit="1" customWidth="1"/>
    <col min="8774" max="8960" width="9.140625" style="241"/>
    <col min="8961" max="8961" width="2.140625" style="241" customWidth="1"/>
    <col min="8962" max="8962" width="41.7109375" style="241" customWidth="1"/>
    <col min="8963" max="8963" width="6.5703125" style="241" customWidth="1"/>
    <col min="8964" max="8971" width="0" style="241" hidden="1" customWidth="1"/>
    <col min="8972" max="8972" width="2.42578125" style="241" customWidth="1"/>
    <col min="8973" max="8973" width="5.5703125" style="241" customWidth="1"/>
    <col min="8974" max="8974" width="4.5703125" style="241" customWidth="1"/>
    <col min="8975" max="8975" width="5.5703125" style="241" customWidth="1"/>
    <col min="8976" max="8976" width="5" style="241" customWidth="1"/>
    <col min="8977" max="8979" width="0" style="241" hidden="1" customWidth="1"/>
    <col min="8980" max="8980" width="8.85546875" style="241" customWidth="1"/>
    <col min="8981" max="8981" width="10.42578125" style="241" customWidth="1"/>
    <col min="8982" max="8982" width="3.42578125" style="241" customWidth="1"/>
    <col min="8983" max="8983" width="0" style="241" hidden="1" customWidth="1"/>
    <col min="8984" max="8984" width="9.5703125" style="241" customWidth="1"/>
    <col min="8985" max="8985" width="3.140625" style="241" customWidth="1"/>
    <col min="8986" max="8986" width="0" style="241" hidden="1" customWidth="1"/>
    <col min="8987" max="8987" width="7.7109375" style="241" customWidth="1"/>
    <col min="8988" max="8989" width="0" style="241" hidden="1" customWidth="1"/>
    <col min="8990" max="8990" width="8" style="241" customWidth="1"/>
    <col min="8991" max="8992" width="0" style="241" hidden="1" customWidth="1"/>
    <col min="8993" max="8993" width="8.140625" style="241" customWidth="1"/>
    <col min="8994" max="8995" width="0" style="241" hidden="1" customWidth="1"/>
    <col min="8996" max="8996" width="7.7109375" style="241" customWidth="1"/>
    <col min="8997" max="8997" width="3.42578125" style="241" customWidth="1"/>
    <col min="8998" max="8998" width="0" style="241" hidden="1" customWidth="1"/>
    <col min="8999" max="8999" width="8.42578125" style="241" customWidth="1"/>
    <col min="9000" max="9000" width="3.42578125" style="241" customWidth="1"/>
    <col min="9001" max="9001" width="0" style="241" hidden="1" customWidth="1"/>
    <col min="9002" max="9002" width="6.7109375" style="241" customWidth="1"/>
    <col min="9003" max="9003" width="11" style="241" customWidth="1"/>
    <col min="9004" max="9004" width="3.85546875" style="241" customWidth="1"/>
    <col min="9005" max="9005" width="0" style="241" hidden="1" customWidth="1"/>
    <col min="9006" max="9006" width="9.28515625" style="241" customWidth="1"/>
    <col min="9007" max="9007" width="4.42578125" style="241" customWidth="1"/>
    <col min="9008" max="9008" width="4.5703125" style="241" customWidth="1"/>
    <col min="9009" max="9009" width="10.28515625" style="241" customWidth="1"/>
    <col min="9010" max="9010" width="3.7109375" style="241" customWidth="1"/>
    <col min="9011" max="9011" width="0" style="241" hidden="1" customWidth="1"/>
    <col min="9012" max="9012" width="7.5703125" style="241" customWidth="1"/>
    <col min="9013" max="9013" width="9.7109375" style="241" customWidth="1"/>
    <col min="9014" max="9014" width="0" style="241" hidden="1" customWidth="1"/>
    <col min="9015" max="9015" width="11.5703125" style="241" customWidth="1"/>
    <col min="9016" max="9026" width="0" style="241" hidden="1" customWidth="1"/>
    <col min="9027" max="9027" width="11.42578125" style="241" bestFit="1" customWidth="1"/>
    <col min="9028" max="9028" width="10.85546875" style="241" customWidth="1"/>
    <col min="9029" max="9029" width="10.42578125" style="241" bestFit="1" customWidth="1"/>
    <col min="9030" max="9216" width="9.140625" style="241"/>
    <col min="9217" max="9217" width="2.140625" style="241" customWidth="1"/>
    <col min="9218" max="9218" width="41.7109375" style="241" customWidth="1"/>
    <col min="9219" max="9219" width="6.5703125" style="241" customWidth="1"/>
    <col min="9220" max="9227" width="0" style="241" hidden="1" customWidth="1"/>
    <col min="9228" max="9228" width="2.42578125" style="241" customWidth="1"/>
    <col min="9229" max="9229" width="5.5703125" style="241" customWidth="1"/>
    <col min="9230" max="9230" width="4.5703125" style="241" customWidth="1"/>
    <col min="9231" max="9231" width="5.5703125" style="241" customWidth="1"/>
    <col min="9232" max="9232" width="5" style="241" customWidth="1"/>
    <col min="9233" max="9235" width="0" style="241" hidden="1" customWidth="1"/>
    <col min="9236" max="9236" width="8.85546875" style="241" customWidth="1"/>
    <col min="9237" max="9237" width="10.42578125" style="241" customWidth="1"/>
    <col min="9238" max="9238" width="3.42578125" style="241" customWidth="1"/>
    <col min="9239" max="9239" width="0" style="241" hidden="1" customWidth="1"/>
    <col min="9240" max="9240" width="9.5703125" style="241" customWidth="1"/>
    <col min="9241" max="9241" width="3.140625" style="241" customWidth="1"/>
    <col min="9242" max="9242" width="0" style="241" hidden="1" customWidth="1"/>
    <col min="9243" max="9243" width="7.7109375" style="241" customWidth="1"/>
    <col min="9244" max="9245" width="0" style="241" hidden="1" customWidth="1"/>
    <col min="9246" max="9246" width="8" style="241" customWidth="1"/>
    <col min="9247" max="9248" width="0" style="241" hidden="1" customWidth="1"/>
    <col min="9249" max="9249" width="8.140625" style="241" customWidth="1"/>
    <col min="9250" max="9251" width="0" style="241" hidden="1" customWidth="1"/>
    <col min="9252" max="9252" width="7.7109375" style="241" customWidth="1"/>
    <col min="9253" max="9253" width="3.42578125" style="241" customWidth="1"/>
    <col min="9254" max="9254" width="0" style="241" hidden="1" customWidth="1"/>
    <col min="9255" max="9255" width="8.42578125" style="241" customWidth="1"/>
    <col min="9256" max="9256" width="3.42578125" style="241" customWidth="1"/>
    <col min="9257" max="9257" width="0" style="241" hidden="1" customWidth="1"/>
    <col min="9258" max="9258" width="6.7109375" style="241" customWidth="1"/>
    <col min="9259" max="9259" width="11" style="241" customWidth="1"/>
    <col min="9260" max="9260" width="3.85546875" style="241" customWidth="1"/>
    <col min="9261" max="9261" width="0" style="241" hidden="1" customWidth="1"/>
    <col min="9262" max="9262" width="9.28515625" style="241" customWidth="1"/>
    <col min="9263" max="9263" width="4.42578125" style="241" customWidth="1"/>
    <col min="9264" max="9264" width="4.5703125" style="241" customWidth="1"/>
    <col min="9265" max="9265" width="10.28515625" style="241" customWidth="1"/>
    <col min="9266" max="9266" width="3.7109375" style="241" customWidth="1"/>
    <col min="9267" max="9267" width="0" style="241" hidden="1" customWidth="1"/>
    <col min="9268" max="9268" width="7.5703125" style="241" customWidth="1"/>
    <col min="9269" max="9269" width="9.7109375" style="241" customWidth="1"/>
    <col min="9270" max="9270" width="0" style="241" hidden="1" customWidth="1"/>
    <col min="9271" max="9271" width="11.5703125" style="241" customWidth="1"/>
    <col min="9272" max="9282" width="0" style="241" hidden="1" customWidth="1"/>
    <col min="9283" max="9283" width="11.42578125" style="241" bestFit="1" customWidth="1"/>
    <col min="9284" max="9284" width="10.85546875" style="241" customWidth="1"/>
    <col min="9285" max="9285" width="10.42578125" style="241" bestFit="1" customWidth="1"/>
    <col min="9286" max="9472" width="9.140625" style="241"/>
    <col min="9473" max="9473" width="2.140625" style="241" customWidth="1"/>
    <col min="9474" max="9474" width="41.7109375" style="241" customWidth="1"/>
    <col min="9475" max="9475" width="6.5703125" style="241" customWidth="1"/>
    <col min="9476" max="9483" width="0" style="241" hidden="1" customWidth="1"/>
    <col min="9484" max="9484" width="2.42578125" style="241" customWidth="1"/>
    <col min="9485" max="9485" width="5.5703125" style="241" customWidth="1"/>
    <col min="9486" max="9486" width="4.5703125" style="241" customWidth="1"/>
    <col min="9487" max="9487" width="5.5703125" style="241" customWidth="1"/>
    <col min="9488" max="9488" width="5" style="241" customWidth="1"/>
    <col min="9489" max="9491" width="0" style="241" hidden="1" customWidth="1"/>
    <col min="9492" max="9492" width="8.85546875" style="241" customWidth="1"/>
    <col min="9493" max="9493" width="10.42578125" style="241" customWidth="1"/>
    <col min="9494" max="9494" width="3.42578125" style="241" customWidth="1"/>
    <col min="9495" max="9495" width="0" style="241" hidden="1" customWidth="1"/>
    <col min="9496" max="9496" width="9.5703125" style="241" customWidth="1"/>
    <col min="9497" max="9497" width="3.140625" style="241" customWidth="1"/>
    <col min="9498" max="9498" width="0" style="241" hidden="1" customWidth="1"/>
    <col min="9499" max="9499" width="7.7109375" style="241" customWidth="1"/>
    <col min="9500" max="9501" width="0" style="241" hidden="1" customWidth="1"/>
    <col min="9502" max="9502" width="8" style="241" customWidth="1"/>
    <col min="9503" max="9504" width="0" style="241" hidden="1" customWidth="1"/>
    <col min="9505" max="9505" width="8.140625" style="241" customWidth="1"/>
    <col min="9506" max="9507" width="0" style="241" hidden="1" customWidth="1"/>
    <col min="9508" max="9508" width="7.7109375" style="241" customWidth="1"/>
    <col min="9509" max="9509" width="3.42578125" style="241" customWidth="1"/>
    <col min="9510" max="9510" width="0" style="241" hidden="1" customWidth="1"/>
    <col min="9511" max="9511" width="8.42578125" style="241" customWidth="1"/>
    <col min="9512" max="9512" width="3.42578125" style="241" customWidth="1"/>
    <col min="9513" max="9513" width="0" style="241" hidden="1" customWidth="1"/>
    <col min="9514" max="9514" width="6.7109375" style="241" customWidth="1"/>
    <col min="9515" max="9515" width="11" style="241" customWidth="1"/>
    <col min="9516" max="9516" width="3.85546875" style="241" customWidth="1"/>
    <col min="9517" max="9517" width="0" style="241" hidden="1" customWidth="1"/>
    <col min="9518" max="9518" width="9.28515625" style="241" customWidth="1"/>
    <col min="9519" max="9519" width="4.42578125" style="241" customWidth="1"/>
    <col min="9520" max="9520" width="4.5703125" style="241" customWidth="1"/>
    <col min="9521" max="9521" width="10.28515625" style="241" customWidth="1"/>
    <col min="9522" max="9522" width="3.7109375" style="241" customWidth="1"/>
    <col min="9523" max="9523" width="0" style="241" hidden="1" customWidth="1"/>
    <col min="9524" max="9524" width="7.5703125" style="241" customWidth="1"/>
    <col min="9525" max="9525" width="9.7109375" style="241" customWidth="1"/>
    <col min="9526" max="9526" width="0" style="241" hidden="1" customWidth="1"/>
    <col min="9527" max="9527" width="11.5703125" style="241" customWidth="1"/>
    <col min="9528" max="9538" width="0" style="241" hidden="1" customWidth="1"/>
    <col min="9539" max="9539" width="11.42578125" style="241" bestFit="1" customWidth="1"/>
    <col min="9540" max="9540" width="10.85546875" style="241" customWidth="1"/>
    <col min="9541" max="9541" width="10.42578125" style="241" bestFit="1" customWidth="1"/>
    <col min="9542" max="9728" width="9.140625" style="241"/>
    <col min="9729" max="9729" width="2.140625" style="241" customWidth="1"/>
    <col min="9730" max="9730" width="41.7109375" style="241" customWidth="1"/>
    <col min="9731" max="9731" width="6.5703125" style="241" customWidth="1"/>
    <col min="9732" max="9739" width="0" style="241" hidden="1" customWidth="1"/>
    <col min="9740" max="9740" width="2.42578125" style="241" customWidth="1"/>
    <col min="9741" max="9741" width="5.5703125" style="241" customWidth="1"/>
    <col min="9742" max="9742" width="4.5703125" style="241" customWidth="1"/>
    <col min="9743" max="9743" width="5.5703125" style="241" customWidth="1"/>
    <col min="9744" max="9744" width="5" style="241" customWidth="1"/>
    <col min="9745" max="9747" width="0" style="241" hidden="1" customWidth="1"/>
    <col min="9748" max="9748" width="8.85546875" style="241" customWidth="1"/>
    <col min="9749" max="9749" width="10.42578125" style="241" customWidth="1"/>
    <col min="9750" max="9750" width="3.42578125" style="241" customWidth="1"/>
    <col min="9751" max="9751" width="0" style="241" hidden="1" customWidth="1"/>
    <col min="9752" max="9752" width="9.5703125" style="241" customWidth="1"/>
    <col min="9753" max="9753" width="3.140625" style="241" customWidth="1"/>
    <col min="9754" max="9754" width="0" style="241" hidden="1" customWidth="1"/>
    <col min="9755" max="9755" width="7.7109375" style="241" customWidth="1"/>
    <col min="9756" max="9757" width="0" style="241" hidden="1" customWidth="1"/>
    <col min="9758" max="9758" width="8" style="241" customWidth="1"/>
    <col min="9759" max="9760" width="0" style="241" hidden="1" customWidth="1"/>
    <col min="9761" max="9761" width="8.140625" style="241" customWidth="1"/>
    <col min="9762" max="9763" width="0" style="241" hidden="1" customWidth="1"/>
    <col min="9764" max="9764" width="7.7109375" style="241" customWidth="1"/>
    <col min="9765" max="9765" width="3.42578125" style="241" customWidth="1"/>
    <col min="9766" max="9766" width="0" style="241" hidden="1" customWidth="1"/>
    <col min="9767" max="9767" width="8.42578125" style="241" customWidth="1"/>
    <col min="9768" max="9768" width="3.42578125" style="241" customWidth="1"/>
    <col min="9769" max="9769" width="0" style="241" hidden="1" customWidth="1"/>
    <col min="9770" max="9770" width="6.7109375" style="241" customWidth="1"/>
    <col min="9771" max="9771" width="11" style="241" customWidth="1"/>
    <col min="9772" max="9772" width="3.85546875" style="241" customWidth="1"/>
    <col min="9773" max="9773" width="0" style="241" hidden="1" customWidth="1"/>
    <col min="9774" max="9774" width="9.28515625" style="241" customWidth="1"/>
    <col min="9775" max="9775" width="4.42578125" style="241" customWidth="1"/>
    <col min="9776" max="9776" width="4.5703125" style="241" customWidth="1"/>
    <col min="9777" max="9777" width="10.28515625" style="241" customWidth="1"/>
    <col min="9778" max="9778" width="3.7109375" style="241" customWidth="1"/>
    <col min="9779" max="9779" width="0" style="241" hidden="1" customWidth="1"/>
    <col min="9780" max="9780" width="7.5703125" style="241" customWidth="1"/>
    <col min="9781" max="9781" width="9.7109375" style="241" customWidth="1"/>
    <col min="9782" max="9782" width="0" style="241" hidden="1" customWidth="1"/>
    <col min="9783" max="9783" width="11.5703125" style="241" customWidth="1"/>
    <col min="9784" max="9794" width="0" style="241" hidden="1" customWidth="1"/>
    <col min="9795" max="9795" width="11.42578125" style="241" bestFit="1" customWidth="1"/>
    <col min="9796" max="9796" width="10.85546875" style="241" customWidth="1"/>
    <col min="9797" max="9797" width="10.42578125" style="241" bestFit="1" customWidth="1"/>
    <col min="9798" max="9984" width="9.140625" style="241"/>
    <col min="9985" max="9985" width="2.140625" style="241" customWidth="1"/>
    <col min="9986" max="9986" width="41.7109375" style="241" customWidth="1"/>
    <col min="9987" max="9987" width="6.5703125" style="241" customWidth="1"/>
    <col min="9988" max="9995" width="0" style="241" hidden="1" customWidth="1"/>
    <col min="9996" max="9996" width="2.42578125" style="241" customWidth="1"/>
    <col min="9997" max="9997" width="5.5703125" style="241" customWidth="1"/>
    <col min="9998" max="9998" width="4.5703125" style="241" customWidth="1"/>
    <col min="9999" max="9999" width="5.5703125" style="241" customWidth="1"/>
    <col min="10000" max="10000" width="5" style="241" customWidth="1"/>
    <col min="10001" max="10003" width="0" style="241" hidden="1" customWidth="1"/>
    <col min="10004" max="10004" width="8.85546875" style="241" customWidth="1"/>
    <col min="10005" max="10005" width="10.42578125" style="241" customWidth="1"/>
    <col min="10006" max="10006" width="3.42578125" style="241" customWidth="1"/>
    <col min="10007" max="10007" width="0" style="241" hidden="1" customWidth="1"/>
    <col min="10008" max="10008" width="9.5703125" style="241" customWidth="1"/>
    <col min="10009" max="10009" width="3.140625" style="241" customWidth="1"/>
    <col min="10010" max="10010" width="0" style="241" hidden="1" customWidth="1"/>
    <col min="10011" max="10011" width="7.7109375" style="241" customWidth="1"/>
    <col min="10012" max="10013" width="0" style="241" hidden="1" customWidth="1"/>
    <col min="10014" max="10014" width="8" style="241" customWidth="1"/>
    <col min="10015" max="10016" width="0" style="241" hidden="1" customWidth="1"/>
    <col min="10017" max="10017" width="8.140625" style="241" customWidth="1"/>
    <col min="10018" max="10019" width="0" style="241" hidden="1" customWidth="1"/>
    <col min="10020" max="10020" width="7.7109375" style="241" customWidth="1"/>
    <col min="10021" max="10021" width="3.42578125" style="241" customWidth="1"/>
    <col min="10022" max="10022" width="0" style="241" hidden="1" customWidth="1"/>
    <col min="10023" max="10023" width="8.42578125" style="241" customWidth="1"/>
    <col min="10024" max="10024" width="3.42578125" style="241" customWidth="1"/>
    <col min="10025" max="10025" width="0" style="241" hidden="1" customWidth="1"/>
    <col min="10026" max="10026" width="6.7109375" style="241" customWidth="1"/>
    <col min="10027" max="10027" width="11" style="241" customWidth="1"/>
    <col min="10028" max="10028" width="3.85546875" style="241" customWidth="1"/>
    <col min="10029" max="10029" width="0" style="241" hidden="1" customWidth="1"/>
    <col min="10030" max="10030" width="9.28515625" style="241" customWidth="1"/>
    <col min="10031" max="10031" width="4.42578125" style="241" customWidth="1"/>
    <col min="10032" max="10032" width="4.5703125" style="241" customWidth="1"/>
    <col min="10033" max="10033" width="10.28515625" style="241" customWidth="1"/>
    <col min="10034" max="10034" width="3.7109375" style="241" customWidth="1"/>
    <col min="10035" max="10035" width="0" style="241" hidden="1" customWidth="1"/>
    <col min="10036" max="10036" width="7.5703125" style="241" customWidth="1"/>
    <col min="10037" max="10037" width="9.7109375" style="241" customWidth="1"/>
    <col min="10038" max="10038" width="0" style="241" hidden="1" customWidth="1"/>
    <col min="10039" max="10039" width="11.5703125" style="241" customWidth="1"/>
    <col min="10040" max="10050" width="0" style="241" hidden="1" customWidth="1"/>
    <col min="10051" max="10051" width="11.42578125" style="241" bestFit="1" customWidth="1"/>
    <col min="10052" max="10052" width="10.85546875" style="241" customWidth="1"/>
    <col min="10053" max="10053" width="10.42578125" style="241" bestFit="1" customWidth="1"/>
    <col min="10054" max="10240" width="9.140625" style="241"/>
    <col min="10241" max="10241" width="2.140625" style="241" customWidth="1"/>
    <col min="10242" max="10242" width="41.7109375" style="241" customWidth="1"/>
    <col min="10243" max="10243" width="6.5703125" style="241" customWidth="1"/>
    <col min="10244" max="10251" width="0" style="241" hidden="1" customWidth="1"/>
    <col min="10252" max="10252" width="2.42578125" style="241" customWidth="1"/>
    <col min="10253" max="10253" width="5.5703125" style="241" customWidth="1"/>
    <col min="10254" max="10254" width="4.5703125" style="241" customWidth="1"/>
    <col min="10255" max="10255" width="5.5703125" style="241" customWidth="1"/>
    <col min="10256" max="10256" width="5" style="241" customWidth="1"/>
    <col min="10257" max="10259" width="0" style="241" hidden="1" customWidth="1"/>
    <col min="10260" max="10260" width="8.85546875" style="241" customWidth="1"/>
    <col min="10261" max="10261" width="10.42578125" style="241" customWidth="1"/>
    <col min="10262" max="10262" width="3.42578125" style="241" customWidth="1"/>
    <col min="10263" max="10263" width="0" style="241" hidden="1" customWidth="1"/>
    <col min="10264" max="10264" width="9.5703125" style="241" customWidth="1"/>
    <col min="10265" max="10265" width="3.140625" style="241" customWidth="1"/>
    <col min="10266" max="10266" width="0" style="241" hidden="1" customWidth="1"/>
    <col min="10267" max="10267" width="7.7109375" style="241" customWidth="1"/>
    <col min="10268" max="10269" width="0" style="241" hidden="1" customWidth="1"/>
    <col min="10270" max="10270" width="8" style="241" customWidth="1"/>
    <col min="10271" max="10272" width="0" style="241" hidden="1" customWidth="1"/>
    <col min="10273" max="10273" width="8.140625" style="241" customWidth="1"/>
    <col min="10274" max="10275" width="0" style="241" hidden="1" customWidth="1"/>
    <col min="10276" max="10276" width="7.7109375" style="241" customWidth="1"/>
    <col min="10277" max="10277" width="3.42578125" style="241" customWidth="1"/>
    <col min="10278" max="10278" width="0" style="241" hidden="1" customWidth="1"/>
    <col min="10279" max="10279" width="8.42578125" style="241" customWidth="1"/>
    <col min="10280" max="10280" width="3.42578125" style="241" customWidth="1"/>
    <col min="10281" max="10281" width="0" style="241" hidden="1" customWidth="1"/>
    <col min="10282" max="10282" width="6.7109375" style="241" customWidth="1"/>
    <col min="10283" max="10283" width="11" style="241" customWidth="1"/>
    <col min="10284" max="10284" width="3.85546875" style="241" customWidth="1"/>
    <col min="10285" max="10285" width="0" style="241" hidden="1" customWidth="1"/>
    <col min="10286" max="10286" width="9.28515625" style="241" customWidth="1"/>
    <col min="10287" max="10287" width="4.42578125" style="241" customWidth="1"/>
    <col min="10288" max="10288" width="4.5703125" style="241" customWidth="1"/>
    <col min="10289" max="10289" width="10.28515625" style="241" customWidth="1"/>
    <col min="10290" max="10290" width="3.7109375" style="241" customWidth="1"/>
    <col min="10291" max="10291" width="0" style="241" hidden="1" customWidth="1"/>
    <col min="10292" max="10292" width="7.5703125" style="241" customWidth="1"/>
    <col min="10293" max="10293" width="9.7109375" style="241" customWidth="1"/>
    <col min="10294" max="10294" width="0" style="241" hidden="1" customWidth="1"/>
    <col min="10295" max="10295" width="11.5703125" style="241" customWidth="1"/>
    <col min="10296" max="10306" width="0" style="241" hidden="1" customWidth="1"/>
    <col min="10307" max="10307" width="11.42578125" style="241" bestFit="1" customWidth="1"/>
    <col min="10308" max="10308" width="10.85546875" style="241" customWidth="1"/>
    <col min="10309" max="10309" width="10.42578125" style="241" bestFit="1" customWidth="1"/>
    <col min="10310" max="10496" width="9.140625" style="241"/>
    <col min="10497" max="10497" width="2.140625" style="241" customWidth="1"/>
    <col min="10498" max="10498" width="41.7109375" style="241" customWidth="1"/>
    <col min="10499" max="10499" width="6.5703125" style="241" customWidth="1"/>
    <col min="10500" max="10507" width="0" style="241" hidden="1" customWidth="1"/>
    <col min="10508" max="10508" width="2.42578125" style="241" customWidth="1"/>
    <col min="10509" max="10509" width="5.5703125" style="241" customWidth="1"/>
    <col min="10510" max="10510" width="4.5703125" style="241" customWidth="1"/>
    <col min="10511" max="10511" width="5.5703125" style="241" customWidth="1"/>
    <col min="10512" max="10512" width="5" style="241" customWidth="1"/>
    <col min="10513" max="10515" width="0" style="241" hidden="1" customWidth="1"/>
    <col min="10516" max="10516" width="8.85546875" style="241" customWidth="1"/>
    <col min="10517" max="10517" width="10.42578125" style="241" customWidth="1"/>
    <col min="10518" max="10518" width="3.42578125" style="241" customWidth="1"/>
    <col min="10519" max="10519" width="0" style="241" hidden="1" customWidth="1"/>
    <col min="10520" max="10520" width="9.5703125" style="241" customWidth="1"/>
    <col min="10521" max="10521" width="3.140625" style="241" customWidth="1"/>
    <col min="10522" max="10522" width="0" style="241" hidden="1" customWidth="1"/>
    <col min="10523" max="10523" width="7.7109375" style="241" customWidth="1"/>
    <col min="10524" max="10525" width="0" style="241" hidden="1" customWidth="1"/>
    <col min="10526" max="10526" width="8" style="241" customWidth="1"/>
    <col min="10527" max="10528" width="0" style="241" hidden="1" customWidth="1"/>
    <col min="10529" max="10529" width="8.140625" style="241" customWidth="1"/>
    <col min="10530" max="10531" width="0" style="241" hidden="1" customWidth="1"/>
    <col min="10532" max="10532" width="7.7109375" style="241" customWidth="1"/>
    <col min="10533" max="10533" width="3.42578125" style="241" customWidth="1"/>
    <col min="10534" max="10534" width="0" style="241" hidden="1" customWidth="1"/>
    <col min="10535" max="10535" width="8.42578125" style="241" customWidth="1"/>
    <col min="10536" max="10536" width="3.42578125" style="241" customWidth="1"/>
    <col min="10537" max="10537" width="0" style="241" hidden="1" customWidth="1"/>
    <col min="10538" max="10538" width="6.7109375" style="241" customWidth="1"/>
    <col min="10539" max="10539" width="11" style="241" customWidth="1"/>
    <col min="10540" max="10540" width="3.85546875" style="241" customWidth="1"/>
    <col min="10541" max="10541" width="0" style="241" hidden="1" customWidth="1"/>
    <col min="10542" max="10542" width="9.28515625" style="241" customWidth="1"/>
    <col min="10543" max="10543" width="4.42578125" style="241" customWidth="1"/>
    <col min="10544" max="10544" width="4.5703125" style="241" customWidth="1"/>
    <col min="10545" max="10545" width="10.28515625" style="241" customWidth="1"/>
    <col min="10546" max="10546" width="3.7109375" style="241" customWidth="1"/>
    <col min="10547" max="10547" width="0" style="241" hidden="1" customWidth="1"/>
    <col min="10548" max="10548" width="7.5703125" style="241" customWidth="1"/>
    <col min="10549" max="10549" width="9.7109375" style="241" customWidth="1"/>
    <col min="10550" max="10550" width="0" style="241" hidden="1" customWidth="1"/>
    <col min="10551" max="10551" width="11.5703125" style="241" customWidth="1"/>
    <col min="10552" max="10562" width="0" style="241" hidden="1" customWidth="1"/>
    <col min="10563" max="10563" width="11.42578125" style="241" bestFit="1" customWidth="1"/>
    <col min="10564" max="10564" width="10.85546875" style="241" customWidth="1"/>
    <col min="10565" max="10565" width="10.42578125" style="241" bestFit="1" customWidth="1"/>
    <col min="10566" max="10752" width="9.140625" style="241"/>
    <col min="10753" max="10753" width="2.140625" style="241" customWidth="1"/>
    <col min="10754" max="10754" width="41.7109375" style="241" customWidth="1"/>
    <col min="10755" max="10755" width="6.5703125" style="241" customWidth="1"/>
    <col min="10756" max="10763" width="0" style="241" hidden="1" customWidth="1"/>
    <col min="10764" max="10764" width="2.42578125" style="241" customWidth="1"/>
    <col min="10765" max="10765" width="5.5703125" style="241" customWidth="1"/>
    <col min="10766" max="10766" width="4.5703125" style="241" customWidth="1"/>
    <col min="10767" max="10767" width="5.5703125" style="241" customWidth="1"/>
    <col min="10768" max="10768" width="5" style="241" customWidth="1"/>
    <col min="10769" max="10771" width="0" style="241" hidden="1" customWidth="1"/>
    <col min="10772" max="10772" width="8.85546875" style="241" customWidth="1"/>
    <col min="10773" max="10773" width="10.42578125" style="241" customWidth="1"/>
    <col min="10774" max="10774" width="3.42578125" style="241" customWidth="1"/>
    <col min="10775" max="10775" width="0" style="241" hidden="1" customWidth="1"/>
    <col min="10776" max="10776" width="9.5703125" style="241" customWidth="1"/>
    <col min="10777" max="10777" width="3.140625" style="241" customWidth="1"/>
    <col min="10778" max="10778" width="0" style="241" hidden="1" customWidth="1"/>
    <col min="10779" max="10779" width="7.7109375" style="241" customWidth="1"/>
    <col min="10780" max="10781" width="0" style="241" hidden="1" customWidth="1"/>
    <col min="10782" max="10782" width="8" style="241" customWidth="1"/>
    <col min="10783" max="10784" width="0" style="241" hidden="1" customWidth="1"/>
    <col min="10785" max="10785" width="8.140625" style="241" customWidth="1"/>
    <col min="10786" max="10787" width="0" style="241" hidden="1" customWidth="1"/>
    <col min="10788" max="10788" width="7.7109375" style="241" customWidth="1"/>
    <col min="10789" max="10789" width="3.42578125" style="241" customWidth="1"/>
    <col min="10790" max="10790" width="0" style="241" hidden="1" customWidth="1"/>
    <col min="10791" max="10791" width="8.42578125" style="241" customWidth="1"/>
    <col min="10792" max="10792" width="3.42578125" style="241" customWidth="1"/>
    <col min="10793" max="10793" width="0" style="241" hidden="1" customWidth="1"/>
    <col min="10794" max="10794" width="6.7109375" style="241" customWidth="1"/>
    <col min="10795" max="10795" width="11" style="241" customWidth="1"/>
    <col min="10796" max="10796" width="3.85546875" style="241" customWidth="1"/>
    <col min="10797" max="10797" width="0" style="241" hidden="1" customWidth="1"/>
    <col min="10798" max="10798" width="9.28515625" style="241" customWidth="1"/>
    <col min="10799" max="10799" width="4.42578125" style="241" customWidth="1"/>
    <col min="10800" max="10800" width="4.5703125" style="241" customWidth="1"/>
    <col min="10801" max="10801" width="10.28515625" style="241" customWidth="1"/>
    <col min="10802" max="10802" width="3.7109375" style="241" customWidth="1"/>
    <col min="10803" max="10803" width="0" style="241" hidden="1" customWidth="1"/>
    <col min="10804" max="10804" width="7.5703125" style="241" customWidth="1"/>
    <col min="10805" max="10805" width="9.7109375" style="241" customWidth="1"/>
    <col min="10806" max="10806" width="0" style="241" hidden="1" customWidth="1"/>
    <col min="10807" max="10807" width="11.5703125" style="241" customWidth="1"/>
    <col min="10808" max="10818" width="0" style="241" hidden="1" customWidth="1"/>
    <col min="10819" max="10819" width="11.42578125" style="241" bestFit="1" customWidth="1"/>
    <col min="10820" max="10820" width="10.85546875" style="241" customWidth="1"/>
    <col min="10821" max="10821" width="10.42578125" style="241" bestFit="1" customWidth="1"/>
    <col min="10822" max="11008" width="9.140625" style="241"/>
    <col min="11009" max="11009" width="2.140625" style="241" customWidth="1"/>
    <col min="11010" max="11010" width="41.7109375" style="241" customWidth="1"/>
    <col min="11011" max="11011" width="6.5703125" style="241" customWidth="1"/>
    <col min="11012" max="11019" width="0" style="241" hidden="1" customWidth="1"/>
    <col min="11020" max="11020" width="2.42578125" style="241" customWidth="1"/>
    <col min="11021" max="11021" width="5.5703125" style="241" customWidth="1"/>
    <col min="11022" max="11022" width="4.5703125" style="241" customWidth="1"/>
    <col min="11023" max="11023" width="5.5703125" style="241" customWidth="1"/>
    <col min="11024" max="11024" width="5" style="241" customWidth="1"/>
    <col min="11025" max="11027" width="0" style="241" hidden="1" customWidth="1"/>
    <col min="11028" max="11028" width="8.85546875" style="241" customWidth="1"/>
    <col min="11029" max="11029" width="10.42578125" style="241" customWidth="1"/>
    <col min="11030" max="11030" width="3.42578125" style="241" customWidth="1"/>
    <col min="11031" max="11031" width="0" style="241" hidden="1" customWidth="1"/>
    <col min="11032" max="11032" width="9.5703125" style="241" customWidth="1"/>
    <col min="11033" max="11033" width="3.140625" style="241" customWidth="1"/>
    <col min="11034" max="11034" width="0" style="241" hidden="1" customWidth="1"/>
    <col min="11035" max="11035" width="7.7109375" style="241" customWidth="1"/>
    <col min="11036" max="11037" width="0" style="241" hidden="1" customWidth="1"/>
    <col min="11038" max="11038" width="8" style="241" customWidth="1"/>
    <col min="11039" max="11040" width="0" style="241" hidden="1" customWidth="1"/>
    <col min="11041" max="11041" width="8.140625" style="241" customWidth="1"/>
    <col min="11042" max="11043" width="0" style="241" hidden="1" customWidth="1"/>
    <col min="11044" max="11044" width="7.7109375" style="241" customWidth="1"/>
    <col min="11045" max="11045" width="3.42578125" style="241" customWidth="1"/>
    <col min="11046" max="11046" width="0" style="241" hidden="1" customWidth="1"/>
    <col min="11047" max="11047" width="8.42578125" style="241" customWidth="1"/>
    <col min="11048" max="11048" width="3.42578125" style="241" customWidth="1"/>
    <col min="11049" max="11049" width="0" style="241" hidden="1" customWidth="1"/>
    <col min="11050" max="11050" width="6.7109375" style="241" customWidth="1"/>
    <col min="11051" max="11051" width="11" style="241" customWidth="1"/>
    <col min="11052" max="11052" width="3.85546875" style="241" customWidth="1"/>
    <col min="11053" max="11053" width="0" style="241" hidden="1" customWidth="1"/>
    <col min="11054" max="11054" width="9.28515625" style="241" customWidth="1"/>
    <col min="11055" max="11055" width="4.42578125" style="241" customWidth="1"/>
    <col min="11056" max="11056" width="4.5703125" style="241" customWidth="1"/>
    <col min="11057" max="11057" width="10.28515625" style="241" customWidth="1"/>
    <col min="11058" max="11058" width="3.7109375" style="241" customWidth="1"/>
    <col min="11059" max="11059" width="0" style="241" hidden="1" customWidth="1"/>
    <col min="11060" max="11060" width="7.5703125" style="241" customWidth="1"/>
    <col min="11061" max="11061" width="9.7109375" style="241" customWidth="1"/>
    <col min="11062" max="11062" width="0" style="241" hidden="1" customWidth="1"/>
    <col min="11063" max="11063" width="11.5703125" style="241" customWidth="1"/>
    <col min="11064" max="11074" width="0" style="241" hidden="1" customWidth="1"/>
    <col min="11075" max="11075" width="11.42578125" style="241" bestFit="1" customWidth="1"/>
    <col min="11076" max="11076" width="10.85546875" style="241" customWidth="1"/>
    <col min="11077" max="11077" width="10.42578125" style="241" bestFit="1" customWidth="1"/>
    <col min="11078" max="11264" width="9.140625" style="241"/>
    <col min="11265" max="11265" width="2.140625" style="241" customWidth="1"/>
    <col min="11266" max="11266" width="41.7109375" style="241" customWidth="1"/>
    <col min="11267" max="11267" width="6.5703125" style="241" customWidth="1"/>
    <col min="11268" max="11275" width="0" style="241" hidden="1" customWidth="1"/>
    <col min="11276" max="11276" width="2.42578125" style="241" customWidth="1"/>
    <col min="11277" max="11277" width="5.5703125" style="241" customWidth="1"/>
    <col min="11278" max="11278" width="4.5703125" style="241" customWidth="1"/>
    <col min="11279" max="11279" width="5.5703125" style="241" customWidth="1"/>
    <col min="11280" max="11280" width="5" style="241" customWidth="1"/>
    <col min="11281" max="11283" width="0" style="241" hidden="1" customWidth="1"/>
    <col min="11284" max="11284" width="8.85546875" style="241" customWidth="1"/>
    <col min="11285" max="11285" width="10.42578125" style="241" customWidth="1"/>
    <col min="11286" max="11286" width="3.42578125" style="241" customWidth="1"/>
    <col min="11287" max="11287" width="0" style="241" hidden="1" customWidth="1"/>
    <col min="11288" max="11288" width="9.5703125" style="241" customWidth="1"/>
    <col min="11289" max="11289" width="3.140625" style="241" customWidth="1"/>
    <col min="11290" max="11290" width="0" style="241" hidden="1" customWidth="1"/>
    <col min="11291" max="11291" width="7.7109375" style="241" customWidth="1"/>
    <col min="11292" max="11293" width="0" style="241" hidden="1" customWidth="1"/>
    <col min="11294" max="11294" width="8" style="241" customWidth="1"/>
    <col min="11295" max="11296" width="0" style="241" hidden="1" customWidth="1"/>
    <col min="11297" max="11297" width="8.140625" style="241" customWidth="1"/>
    <col min="11298" max="11299" width="0" style="241" hidden="1" customWidth="1"/>
    <col min="11300" max="11300" width="7.7109375" style="241" customWidth="1"/>
    <col min="11301" max="11301" width="3.42578125" style="241" customWidth="1"/>
    <col min="11302" max="11302" width="0" style="241" hidden="1" customWidth="1"/>
    <col min="11303" max="11303" width="8.42578125" style="241" customWidth="1"/>
    <col min="11304" max="11304" width="3.42578125" style="241" customWidth="1"/>
    <col min="11305" max="11305" width="0" style="241" hidden="1" customWidth="1"/>
    <col min="11306" max="11306" width="6.7109375" style="241" customWidth="1"/>
    <col min="11307" max="11307" width="11" style="241" customWidth="1"/>
    <col min="11308" max="11308" width="3.85546875" style="241" customWidth="1"/>
    <col min="11309" max="11309" width="0" style="241" hidden="1" customWidth="1"/>
    <col min="11310" max="11310" width="9.28515625" style="241" customWidth="1"/>
    <col min="11311" max="11311" width="4.42578125" style="241" customWidth="1"/>
    <col min="11312" max="11312" width="4.5703125" style="241" customWidth="1"/>
    <col min="11313" max="11313" width="10.28515625" style="241" customWidth="1"/>
    <col min="11314" max="11314" width="3.7109375" style="241" customWidth="1"/>
    <col min="11315" max="11315" width="0" style="241" hidden="1" customWidth="1"/>
    <col min="11316" max="11316" width="7.5703125" style="241" customWidth="1"/>
    <col min="11317" max="11317" width="9.7109375" style="241" customWidth="1"/>
    <col min="11318" max="11318" width="0" style="241" hidden="1" customWidth="1"/>
    <col min="11319" max="11319" width="11.5703125" style="241" customWidth="1"/>
    <col min="11320" max="11330" width="0" style="241" hidden="1" customWidth="1"/>
    <col min="11331" max="11331" width="11.42578125" style="241" bestFit="1" customWidth="1"/>
    <col min="11332" max="11332" width="10.85546875" style="241" customWidth="1"/>
    <col min="11333" max="11333" width="10.42578125" style="241" bestFit="1" customWidth="1"/>
    <col min="11334" max="11520" width="9.140625" style="241"/>
    <col min="11521" max="11521" width="2.140625" style="241" customWidth="1"/>
    <col min="11522" max="11522" width="41.7109375" style="241" customWidth="1"/>
    <col min="11523" max="11523" width="6.5703125" style="241" customWidth="1"/>
    <col min="11524" max="11531" width="0" style="241" hidden="1" customWidth="1"/>
    <col min="11532" max="11532" width="2.42578125" style="241" customWidth="1"/>
    <col min="11533" max="11533" width="5.5703125" style="241" customWidth="1"/>
    <col min="11534" max="11534" width="4.5703125" style="241" customWidth="1"/>
    <col min="11535" max="11535" width="5.5703125" style="241" customWidth="1"/>
    <col min="11536" max="11536" width="5" style="241" customWidth="1"/>
    <col min="11537" max="11539" width="0" style="241" hidden="1" customWidth="1"/>
    <col min="11540" max="11540" width="8.85546875" style="241" customWidth="1"/>
    <col min="11541" max="11541" width="10.42578125" style="241" customWidth="1"/>
    <col min="11542" max="11542" width="3.42578125" style="241" customWidth="1"/>
    <col min="11543" max="11543" width="0" style="241" hidden="1" customWidth="1"/>
    <col min="11544" max="11544" width="9.5703125" style="241" customWidth="1"/>
    <col min="11545" max="11545" width="3.140625" style="241" customWidth="1"/>
    <col min="11546" max="11546" width="0" style="241" hidden="1" customWidth="1"/>
    <col min="11547" max="11547" width="7.7109375" style="241" customWidth="1"/>
    <col min="11548" max="11549" width="0" style="241" hidden="1" customWidth="1"/>
    <col min="11550" max="11550" width="8" style="241" customWidth="1"/>
    <col min="11551" max="11552" width="0" style="241" hidden="1" customWidth="1"/>
    <col min="11553" max="11553" width="8.140625" style="241" customWidth="1"/>
    <col min="11554" max="11555" width="0" style="241" hidden="1" customWidth="1"/>
    <col min="11556" max="11556" width="7.7109375" style="241" customWidth="1"/>
    <col min="11557" max="11557" width="3.42578125" style="241" customWidth="1"/>
    <col min="11558" max="11558" width="0" style="241" hidden="1" customWidth="1"/>
    <col min="11559" max="11559" width="8.42578125" style="241" customWidth="1"/>
    <col min="11560" max="11560" width="3.42578125" style="241" customWidth="1"/>
    <col min="11561" max="11561" width="0" style="241" hidden="1" customWidth="1"/>
    <col min="11562" max="11562" width="6.7109375" style="241" customWidth="1"/>
    <col min="11563" max="11563" width="11" style="241" customWidth="1"/>
    <col min="11564" max="11564" width="3.85546875" style="241" customWidth="1"/>
    <col min="11565" max="11565" width="0" style="241" hidden="1" customWidth="1"/>
    <col min="11566" max="11566" width="9.28515625" style="241" customWidth="1"/>
    <col min="11567" max="11567" width="4.42578125" style="241" customWidth="1"/>
    <col min="11568" max="11568" width="4.5703125" style="241" customWidth="1"/>
    <col min="11569" max="11569" width="10.28515625" style="241" customWidth="1"/>
    <col min="11570" max="11570" width="3.7109375" style="241" customWidth="1"/>
    <col min="11571" max="11571" width="0" style="241" hidden="1" customWidth="1"/>
    <col min="11572" max="11572" width="7.5703125" style="241" customWidth="1"/>
    <col min="11573" max="11573" width="9.7109375" style="241" customWidth="1"/>
    <col min="11574" max="11574" width="0" style="241" hidden="1" customWidth="1"/>
    <col min="11575" max="11575" width="11.5703125" style="241" customWidth="1"/>
    <col min="11576" max="11586" width="0" style="241" hidden="1" customWidth="1"/>
    <col min="11587" max="11587" width="11.42578125" style="241" bestFit="1" customWidth="1"/>
    <col min="11588" max="11588" width="10.85546875" style="241" customWidth="1"/>
    <col min="11589" max="11589" width="10.42578125" style="241" bestFit="1" customWidth="1"/>
    <col min="11590" max="11776" width="9.140625" style="241"/>
    <col min="11777" max="11777" width="2.140625" style="241" customWidth="1"/>
    <col min="11778" max="11778" width="41.7109375" style="241" customWidth="1"/>
    <col min="11779" max="11779" width="6.5703125" style="241" customWidth="1"/>
    <col min="11780" max="11787" width="0" style="241" hidden="1" customWidth="1"/>
    <col min="11788" max="11788" width="2.42578125" style="241" customWidth="1"/>
    <col min="11789" max="11789" width="5.5703125" style="241" customWidth="1"/>
    <col min="11790" max="11790" width="4.5703125" style="241" customWidth="1"/>
    <col min="11791" max="11791" width="5.5703125" style="241" customWidth="1"/>
    <col min="11792" max="11792" width="5" style="241" customWidth="1"/>
    <col min="11793" max="11795" width="0" style="241" hidden="1" customWidth="1"/>
    <col min="11796" max="11796" width="8.85546875" style="241" customWidth="1"/>
    <col min="11797" max="11797" width="10.42578125" style="241" customWidth="1"/>
    <col min="11798" max="11798" width="3.42578125" style="241" customWidth="1"/>
    <col min="11799" max="11799" width="0" style="241" hidden="1" customWidth="1"/>
    <col min="11800" max="11800" width="9.5703125" style="241" customWidth="1"/>
    <col min="11801" max="11801" width="3.140625" style="241" customWidth="1"/>
    <col min="11802" max="11802" width="0" style="241" hidden="1" customWidth="1"/>
    <col min="11803" max="11803" width="7.7109375" style="241" customWidth="1"/>
    <col min="11804" max="11805" width="0" style="241" hidden="1" customWidth="1"/>
    <col min="11806" max="11806" width="8" style="241" customWidth="1"/>
    <col min="11807" max="11808" width="0" style="241" hidden="1" customWidth="1"/>
    <col min="11809" max="11809" width="8.140625" style="241" customWidth="1"/>
    <col min="11810" max="11811" width="0" style="241" hidden="1" customWidth="1"/>
    <col min="11812" max="11812" width="7.7109375" style="241" customWidth="1"/>
    <col min="11813" max="11813" width="3.42578125" style="241" customWidth="1"/>
    <col min="11814" max="11814" width="0" style="241" hidden="1" customWidth="1"/>
    <col min="11815" max="11815" width="8.42578125" style="241" customWidth="1"/>
    <col min="11816" max="11816" width="3.42578125" style="241" customWidth="1"/>
    <col min="11817" max="11817" width="0" style="241" hidden="1" customWidth="1"/>
    <col min="11818" max="11818" width="6.7109375" style="241" customWidth="1"/>
    <col min="11819" max="11819" width="11" style="241" customWidth="1"/>
    <col min="11820" max="11820" width="3.85546875" style="241" customWidth="1"/>
    <col min="11821" max="11821" width="0" style="241" hidden="1" customWidth="1"/>
    <col min="11822" max="11822" width="9.28515625" style="241" customWidth="1"/>
    <col min="11823" max="11823" width="4.42578125" style="241" customWidth="1"/>
    <col min="11824" max="11824" width="4.5703125" style="241" customWidth="1"/>
    <col min="11825" max="11825" width="10.28515625" style="241" customWidth="1"/>
    <col min="11826" max="11826" width="3.7109375" style="241" customWidth="1"/>
    <col min="11827" max="11827" width="0" style="241" hidden="1" customWidth="1"/>
    <col min="11828" max="11828" width="7.5703125" style="241" customWidth="1"/>
    <col min="11829" max="11829" width="9.7109375" style="241" customWidth="1"/>
    <col min="11830" max="11830" width="0" style="241" hidden="1" customWidth="1"/>
    <col min="11831" max="11831" width="11.5703125" style="241" customWidth="1"/>
    <col min="11832" max="11842" width="0" style="241" hidden="1" customWidth="1"/>
    <col min="11843" max="11843" width="11.42578125" style="241" bestFit="1" customWidth="1"/>
    <col min="11844" max="11844" width="10.85546875" style="241" customWidth="1"/>
    <col min="11845" max="11845" width="10.42578125" style="241" bestFit="1" customWidth="1"/>
    <col min="11846" max="12032" width="9.140625" style="241"/>
    <col min="12033" max="12033" width="2.140625" style="241" customWidth="1"/>
    <col min="12034" max="12034" width="41.7109375" style="241" customWidth="1"/>
    <col min="12035" max="12035" width="6.5703125" style="241" customWidth="1"/>
    <col min="12036" max="12043" width="0" style="241" hidden="1" customWidth="1"/>
    <col min="12044" max="12044" width="2.42578125" style="241" customWidth="1"/>
    <col min="12045" max="12045" width="5.5703125" style="241" customWidth="1"/>
    <col min="12046" max="12046" width="4.5703125" style="241" customWidth="1"/>
    <col min="12047" max="12047" width="5.5703125" style="241" customWidth="1"/>
    <col min="12048" max="12048" width="5" style="241" customWidth="1"/>
    <col min="12049" max="12051" width="0" style="241" hidden="1" customWidth="1"/>
    <col min="12052" max="12052" width="8.85546875" style="241" customWidth="1"/>
    <col min="12053" max="12053" width="10.42578125" style="241" customWidth="1"/>
    <col min="12054" max="12054" width="3.42578125" style="241" customWidth="1"/>
    <col min="12055" max="12055" width="0" style="241" hidden="1" customWidth="1"/>
    <col min="12056" max="12056" width="9.5703125" style="241" customWidth="1"/>
    <col min="12057" max="12057" width="3.140625" style="241" customWidth="1"/>
    <col min="12058" max="12058" width="0" style="241" hidden="1" customWidth="1"/>
    <col min="12059" max="12059" width="7.7109375" style="241" customWidth="1"/>
    <col min="12060" max="12061" width="0" style="241" hidden="1" customWidth="1"/>
    <col min="12062" max="12062" width="8" style="241" customWidth="1"/>
    <col min="12063" max="12064" width="0" style="241" hidden="1" customWidth="1"/>
    <col min="12065" max="12065" width="8.140625" style="241" customWidth="1"/>
    <col min="12066" max="12067" width="0" style="241" hidden="1" customWidth="1"/>
    <col min="12068" max="12068" width="7.7109375" style="241" customWidth="1"/>
    <col min="12069" max="12069" width="3.42578125" style="241" customWidth="1"/>
    <col min="12070" max="12070" width="0" style="241" hidden="1" customWidth="1"/>
    <col min="12071" max="12071" width="8.42578125" style="241" customWidth="1"/>
    <col min="12072" max="12072" width="3.42578125" style="241" customWidth="1"/>
    <col min="12073" max="12073" width="0" style="241" hidden="1" customWidth="1"/>
    <col min="12074" max="12074" width="6.7109375" style="241" customWidth="1"/>
    <col min="12075" max="12075" width="11" style="241" customWidth="1"/>
    <col min="12076" max="12076" width="3.85546875" style="241" customWidth="1"/>
    <col min="12077" max="12077" width="0" style="241" hidden="1" customWidth="1"/>
    <col min="12078" max="12078" width="9.28515625" style="241" customWidth="1"/>
    <col min="12079" max="12079" width="4.42578125" style="241" customWidth="1"/>
    <col min="12080" max="12080" width="4.5703125" style="241" customWidth="1"/>
    <col min="12081" max="12081" width="10.28515625" style="241" customWidth="1"/>
    <col min="12082" max="12082" width="3.7109375" style="241" customWidth="1"/>
    <col min="12083" max="12083" width="0" style="241" hidden="1" customWidth="1"/>
    <col min="12084" max="12084" width="7.5703125" style="241" customWidth="1"/>
    <col min="12085" max="12085" width="9.7109375" style="241" customWidth="1"/>
    <col min="12086" max="12086" width="0" style="241" hidden="1" customWidth="1"/>
    <col min="12087" max="12087" width="11.5703125" style="241" customWidth="1"/>
    <col min="12088" max="12098" width="0" style="241" hidden="1" customWidth="1"/>
    <col min="12099" max="12099" width="11.42578125" style="241" bestFit="1" customWidth="1"/>
    <col min="12100" max="12100" width="10.85546875" style="241" customWidth="1"/>
    <col min="12101" max="12101" width="10.42578125" style="241" bestFit="1" customWidth="1"/>
    <col min="12102" max="12288" width="9.140625" style="241"/>
    <col min="12289" max="12289" width="2.140625" style="241" customWidth="1"/>
    <col min="12290" max="12290" width="41.7109375" style="241" customWidth="1"/>
    <col min="12291" max="12291" width="6.5703125" style="241" customWidth="1"/>
    <col min="12292" max="12299" width="0" style="241" hidden="1" customWidth="1"/>
    <col min="12300" max="12300" width="2.42578125" style="241" customWidth="1"/>
    <col min="12301" max="12301" width="5.5703125" style="241" customWidth="1"/>
    <col min="12302" max="12302" width="4.5703125" style="241" customWidth="1"/>
    <col min="12303" max="12303" width="5.5703125" style="241" customWidth="1"/>
    <col min="12304" max="12304" width="5" style="241" customWidth="1"/>
    <col min="12305" max="12307" width="0" style="241" hidden="1" customWidth="1"/>
    <col min="12308" max="12308" width="8.85546875" style="241" customWidth="1"/>
    <col min="12309" max="12309" width="10.42578125" style="241" customWidth="1"/>
    <col min="12310" max="12310" width="3.42578125" style="241" customWidth="1"/>
    <col min="12311" max="12311" width="0" style="241" hidden="1" customWidth="1"/>
    <col min="12312" max="12312" width="9.5703125" style="241" customWidth="1"/>
    <col min="12313" max="12313" width="3.140625" style="241" customWidth="1"/>
    <col min="12314" max="12314" width="0" style="241" hidden="1" customWidth="1"/>
    <col min="12315" max="12315" width="7.7109375" style="241" customWidth="1"/>
    <col min="12316" max="12317" width="0" style="241" hidden="1" customWidth="1"/>
    <col min="12318" max="12318" width="8" style="241" customWidth="1"/>
    <col min="12319" max="12320" width="0" style="241" hidden="1" customWidth="1"/>
    <col min="12321" max="12321" width="8.140625" style="241" customWidth="1"/>
    <col min="12322" max="12323" width="0" style="241" hidden="1" customWidth="1"/>
    <col min="12324" max="12324" width="7.7109375" style="241" customWidth="1"/>
    <col min="12325" max="12325" width="3.42578125" style="241" customWidth="1"/>
    <col min="12326" max="12326" width="0" style="241" hidden="1" customWidth="1"/>
    <col min="12327" max="12327" width="8.42578125" style="241" customWidth="1"/>
    <col min="12328" max="12328" width="3.42578125" style="241" customWidth="1"/>
    <col min="12329" max="12329" width="0" style="241" hidden="1" customWidth="1"/>
    <col min="12330" max="12330" width="6.7109375" style="241" customWidth="1"/>
    <col min="12331" max="12331" width="11" style="241" customWidth="1"/>
    <col min="12332" max="12332" width="3.85546875" style="241" customWidth="1"/>
    <col min="12333" max="12333" width="0" style="241" hidden="1" customWidth="1"/>
    <col min="12334" max="12334" width="9.28515625" style="241" customWidth="1"/>
    <col min="12335" max="12335" width="4.42578125" style="241" customWidth="1"/>
    <col min="12336" max="12336" width="4.5703125" style="241" customWidth="1"/>
    <col min="12337" max="12337" width="10.28515625" style="241" customWidth="1"/>
    <col min="12338" max="12338" width="3.7109375" style="241" customWidth="1"/>
    <col min="12339" max="12339" width="0" style="241" hidden="1" customWidth="1"/>
    <col min="12340" max="12340" width="7.5703125" style="241" customWidth="1"/>
    <col min="12341" max="12341" width="9.7109375" style="241" customWidth="1"/>
    <col min="12342" max="12342" width="0" style="241" hidden="1" customWidth="1"/>
    <col min="12343" max="12343" width="11.5703125" style="241" customWidth="1"/>
    <col min="12344" max="12354" width="0" style="241" hidden="1" customWidth="1"/>
    <col min="12355" max="12355" width="11.42578125" style="241" bestFit="1" customWidth="1"/>
    <col min="12356" max="12356" width="10.85546875" style="241" customWidth="1"/>
    <col min="12357" max="12357" width="10.42578125" style="241" bestFit="1" customWidth="1"/>
    <col min="12358" max="12544" width="9.140625" style="241"/>
    <col min="12545" max="12545" width="2.140625" style="241" customWidth="1"/>
    <col min="12546" max="12546" width="41.7109375" style="241" customWidth="1"/>
    <col min="12547" max="12547" width="6.5703125" style="241" customWidth="1"/>
    <col min="12548" max="12555" width="0" style="241" hidden="1" customWidth="1"/>
    <col min="12556" max="12556" width="2.42578125" style="241" customWidth="1"/>
    <col min="12557" max="12557" width="5.5703125" style="241" customWidth="1"/>
    <col min="12558" max="12558" width="4.5703125" style="241" customWidth="1"/>
    <col min="12559" max="12559" width="5.5703125" style="241" customWidth="1"/>
    <col min="12560" max="12560" width="5" style="241" customWidth="1"/>
    <col min="12561" max="12563" width="0" style="241" hidden="1" customWidth="1"/>
    <col min="12564" max="12564" width="8.85546875" style="241" customWidth="1"/>
    <col min="12565" max="12565" width="10.42578125" style="241" customWidth="1"/>
    <col min="12566" max="12566" width="3.42578125" style="241" customWidth="1"/>
    <col min="12567" max="12567" width="0" style="241" hidden="1" customWidth="1"/>
    <col min="12568" max="12568" width="9.5703125" style="241" customWidth="1"/>
    <col min="12569" max="12569" width="3.140625" style="241" customWidth="1"/>
    <col min="12570" max="12570" width="0" style="241" hidden="1" customWidth="1"/>
    <col min="12571" max="12571" width="7.7109375" style="241" customWidth="1"/>
    <col min="12572" max="12573" width="0" style="241" hidden="1" customWidth="1"/>
    <col min="12574" max="12574" width="8" style="241" customWidth="1"/>
    <col min="12575" max="12576" width="0" style="241" hidden="1" customWidth="1"/>
    <col min="12577" max="12577" width="8.140625" style="241" customWidth="1"/>
    <col min="12578" max="12579" width="0" style="241" hidden="1" customWidth="1"/>
    <col min="12580" max="12580" width="7.7109375" style="241" customWidth="1"/>
    <col min="12581" max="12581" width="3.42578125" style="241" customWidth="1"/>
    <col min="12582" max="12582" width="0" style="241" hidden="1" customWidth="1"/>
    <col min="12583" max="12583" width="8.42578125" style="241" customWidth="1"/>
    <col min="12584" max="12584" width="3.42578125" style="241" customWidth="1"/>
    <col min="12585" max="12585" width="0" style="241" hidden="1" customWidth="1"/>
    <col min="12586" max="12586" width="6.7109375" style="241" customWidth="1"/>
    <col min="12587" max="12587" width="11" style="241" customWidth="1"/>
    <col min="12588" max="12588" width="3.85546875" style="241" customWidth="1"/>
    <col min="12589" max="12589" width="0" style="241" hidden="1" customWidth="1"/>
    <col min="12590" max="12590" width="9.28515625" style="241" customWidth="1"/>
    <col min="12591" max="12591" width="4.42578125" style="241" customWidth="1"/>
    <col min="12592" max="12592" width="4.5703125" style="241" customWidth="1"/>
    <col min="12593" max="12593" width="10.28515625" style="241" customWidth="1"/>
    <col min="12594" max="12594" width="3.7109375" style="241" customWidth="1"/>
    <col min="12595" max="12595" width="0" style="241" hidden="1" customWidth="1"/>
    <col min="12596" max="12596" width="7.5703125" style="241" customWidth="1"/>
    <col min="12597" max="12597" width="9.7109375" style="241" customWidth="1"/>
    <col min="12598" max="12598" width="0" style="241" hidden="1" customWidth="1"/>
    <col min="12599" max="12599" width="11.5703125" style="241" customWidth="1"/>
    <col min="12600" max="12610" width="0" style="241" hidden="1" customWidth="1"/>
    <col min="12611" max="12611" width="11.42578125" style="241" bestFit="1" customWidth="1"/>
    <col min="12612" max="12612" width="10.85546875" style="241" customWidth="1"/>
    <col min="12613" max="12613" width="10.42578125" style="241" bestFit="1" customWidth="1"/>
    <col min="12614" max="12800" width="9.140625" style="241"/>
    <col min="12801" max="12801" width="2.140625" style="241" customWidth="1"/>
    <col min="12802" max="12802" width="41.7109375" style="241" customWidth="1"/>
    <col min="12803" max="12803" width="6.5703125" style="241" customWidth="1"/>
    <col min="12804" max="12811" width="0" style="241" hidden="1" customWidth="1"/>
    <col min="12812" max="12812" width="2.42578125" style="241" customWidth="1"/>
    <col min="12813" max="12813" width="5.5703125" style="241" customWidth="1"/>
    <col min="12814" max="12814" width="4.5703125" style="241" customWidth="1"/>
    <col min="12815" max="12815" width="5.5703125" style="241" customWidth="1"/>
    <col min="12816" max="12816" width="5" style="241" customWidth="1"/>
    <col min="12817" max="12819" width="0" style="241" hidden="1" customWidth="1"/>
    <col min="12820" max="12820" width="8.85546875" style="241" customWidth="1"/>
    <col min="12821" max="12821" width="10.42578125" style="241" customWidth="1"/>
    <col min="12822" max="12822" width="3.42578125" style="241" customWidth="1"/>
    <col min="12823" max="12823" width="0" style="241" hidden="1" customWidth="1"/>
    <col min="12824" max="12824" width="9.5703125" style="241" customWidth="1"/>
    <col min="12825" max="12825" width="3.140625" style="241" customWidth="1"/>
    <col min="12826" max="12826" width="0" style="241" hidden="1" customWidth="1"/>
    <col min="12827" max="12827" width="7.7109375" style="241" customWidth="1"/>
    <col min="12828" max="12829" width="0" style="241" hidden="1" customWidth="1"/>
    <col min="12830" max="12830" width="8" style="241" customWidth="1"/>
    <col min="12831" max="12832" width="0" style="241" hidden="1" customWidth="1"/>
    <col min="12833" max="12833" width="8.140625" style="241" customWidth="1"/>
    <col min="12834" max="12835" width="0" style="241" hidden="1" customWidth="1"/>
    <col min="12836" max="12836" width="7.7109375" style="241" customWidth="1"/>
    <col min="12837" max="12837" width="3.42578125" style="241" customWidth="1"/>
    <col min="12838" max="12838" width="0" style="241" hidden="1" customWidth="1"/>
    <col min="12839" max="12839" width="8.42578125" style="241" customWidth="1"/>
    <col min="12840" max="12840" width="3.42578125" style="241" customWidth="1"/>
    <col min="12841" max="12841" width="0" style="241" hidden="1" customWidth="1"/>
    <col min="12842" max="12842" width="6.7109375" style="241" customWidth="1"/>
    <col min="12843" max="12843" width="11" style="241" customWidth="1"/>
    <col min="12844" max="12844" width="3.85546875" style="241" customWidth="1"/>
    <col min="12845" max="12845" width="0" style="241" hidden="1" customWidth="1"/>
    <col min="12846" max="12846" width="9.28515625" style="241" customWidth="1"/>
    <col min="12847" max="12847" width="4.42578125" style="241" customWidth="1"/>
    <col min="12848" max="12848" width="4.5703125" style="241" customWidth="1"/>
    <col min="12849" max="12849" width="10.28515625" style="241" customWidth="1"/>
    <col min="12850" max="12850" width="3.7109375" style="241" customWidth="1"/>
    <col min="12851" max="12851" width="0" style="241" hidden="1" customWidth="1"/>
    <col min="12852" max="12852" width="7.5703125" style="241" customWidth="1"/>
    <col min="12853" max="12853" width="9.7109375" style="241" customWidth="1"/>
    <col min="12854" max="12854" width="0" style="241" hidden="1" customWidth="1"/>
    <col min="12855" max="12855" width="11.5703125" style="241" customWidth="1"/>
    <col min="12856" max="12866" width="0" style="241" hidden="1" customWidth="1"/>
    <col min="12867" max="12867" width="11.42578125" style="241" bestFit="1" customWidth="1"/>
    <col min="12868" max="12868" width="10.85546875" style="241" customWidth="1"/>
    <col min="12869" max="12869" width="10.42578125" style="241" bestFit="1" customWidth="1"/>
    <col min="12870" max="13056" width="9.140625" style="241"/>
    <col min="13057" max="13057" width="2.140625" style="241" customWidth="1"/>
    <col min="13058" max="13058" width="41.7109375" style="241" customWidth="1"/>
    <col min="13059" max="13059" width="6.5703125" style="241" customWidth="1"/>
    <col min="13060" max="13067" width="0" style="241" hidden="1" customWidth="1"/>
    <col min="13068" max="13068" width="2.42578125" style="241" customWidth="1"/>
    <col min="13069" max="13069" width="5.5703125" style="241" customWidth="1"/>
    <col min="13070" max="13070" width="4.5703125" style="241" customWidth="1"/>
    <col min="13071" max="13071" width="5.5703125" style="241" customWidth="1"/>
    <col min="13072" max="13072" width="5" style="241" customWidth="1"/>
    <col min="13073" max="13075" width="0" style="241" hidden="1" customWidth="1"/>
    <col min="13076" max="13076" width="8.85546875" style="241" customWidth="1"/>
    <col min="13077" max="13077" width="10.42578125" style="241" customWidth="1"/>
    <col min="13078" max="13078" width="3.42578125" style="241" customWidth="1"/>
    <col min="13079" max="13079" width="0" style="241" hidden="1" customWidth="1"/>
    <col min="13080" max="13080" width="9.5703125" style="241" customWidth="1"/>
    <col min="13081" max="13081" width="3.140625" style="241" customWidth="1"/>
    <col min="13082" max="13082" width="0" style="241" hidden="1" customWidth="1"/>
    <col min="13083" max="13083" width="7.7109375" style="241" customWidth="1"/>
    <col min="13084" max="13085" width="0" style="241" hidden="1" customWidth="1"/>
    <col min="13086" max="13086" width="8" style="241" customWidth="1"/>
    <col min="13087" max="13088" width="0" style="241" hidden="1" customWidth="1"/>
    <col min="13089" max="13089" width="8.140625" style="241" customWidth="1"/>
    <col min="13090" max="13091" width="0" style="241" hidden="1" customWidth="1"/>
    <col min="13092" max="13092" width="7.7109375" style="241" customWidth="1"/>
    <col min="13093" max="13093" width="3.42578125" style="241" customWidth="1"/>
    <col min="13094" max="13094" width="0" style="241" hidden="1" customWidth="1"/>
    <col min="13095" max="13095" width="8.42578125" style="241" customWidth="1"/>
    <col min="13096" max="13096" width="3.42578125" style="241" customWidth="1"/>
    <col min="13097" max="13097" width="0" style="241" hidden="1" customWidth="1"/>
    <col min="13098" max="13098" width="6.7109375" style="241" customWidth="1"/>
    <col min="13099" max="13099" width="11" style="241" customWidth="1"/>
    <col min="13100" max="13100" width="3.85546875" style="241" customWidth="1"/>
    <col min="13101" max="13101" width="0" style="241" hidden="1" customWidth="1"/>
    <col min="13102" max="13102" width="9.28515625" style="241" customWidth="1"/>
    <col min="13103" max="13103" width="4.42578125" style="241" customWidth="1"/>
    <col min="13104" max="13104" width="4.5703125" style="241" customWidth="1"/>
    <col min="13105" max="13105" width="10.28515625" style="241" customWidth="1"/>
    <col min="13106" max="13106" width="3.7109375" style="241" customWidth="1"/>
    <col min="13107" max="13107" width="0" style="241" hidden="1" customWidth="1"/>
    <col min="13108" max="13108" width="7.5703125" style="241" customWidth="1"/>
    <col min="13109" max="13109" width="9.7109375" style="241" customWidth="1"/>
    <col min="13110" max="13110" width="0" style="241" hidden="1" customWidth="1"/>
    <col min="13111" max="13111" width="11.5703125" style="241" customWidth="1"/>
    <col min="13112" max="13122" width="0" style="241" hidden="1" customWidth="1"/>
    <col min="13123" max="13123" width="11.42578125" style="241" bestFit="1" customWidth="1"/>
    <col min="13124" max="13124" width="10.85546875" style="241" customWidth="1"/>
    <col min="13125" max="13125" width="10.42578125" style="241" bestFit="1" customWidth="1"/>
    <col min="13126" max="13312" width="9.140625" style="241"/>
    <col min="13313" max="13313" width="2.140625" style="241" customWidth="1"/>
    <col min="13314" max="13314" width="41.7109375" style="241" customWidth="1"/>
    <col min="13315" max="13315" width="6.5703125" style="241" customWidth="1"/>
    <col min="13316" max="13323" width="0" style="241" hidden="1" customWidth="1"/>
    <col min="13324" max="13324" width="2.42578125" style="241" customWidth="1"/>
    <col min="13325" max="13325" width="5.5703125" style="241" customWidth="1"/>
    <col min="13326" max="13326" width="4.5703125" style="241" customWidth="1"/>
    <col min="13327" max="13327" width="5.5703125" style="241" customWidth="1"/>
    <col min="13328" max="13328" width="5" style="241" customWidth="1"/>
    <col min="13329" max="13331" width="0" style="241" hidden="1" customWidth="1"/>
    <col min="13332" max="13332" width="8.85546875" style="241" customWidth="1"/>
    <col min="13333" max="13333" width="10.42578125" style="241" customWidth="1"/>
    <col min="13334" max="13334" width="3.42578125" style="241" customWidth="1"/>
    <col min="13335" max="13335" width="0" style="241" hidden="1" customWidth="1"/>
    <col min="13336" max="13336" width="9.5703125" style="241" customWidth="1"/>
    <col min="13337" max="13337" width="3.140625" style="241" customWidth="1"/>
    <col min="13338" max="13338" width="0" style="241" hidden="1" customWidth="1"/>
    <col min="13339" max="13339" width="7.7109375" style="241" customWidth="1"/>
    <col min="13340" max="13341" width="0" style="241" hidden="1" customWidth="1"/>
    <col min="13342" max="13342" width="8" style="241" customWidth="1"/>
    <col min="13343" max="13344" width="0" style="241" hidden="1" customWidth="1"/>
    <col min="13345" max="13345" width="8.140625" style="241" customWidth="1"/>
    <col min="13346" max="13347" width="0" style="241" hidden="1" customWidth="1"/>
    <col min="13348" max="13348" width="7.7109375" style="241" customWidth="1"/>
    <col min="13349" max="13349" width="3.42578125" style="241" customWidth="1"/>
    <col min="13350" max="13350" width="0" style="241" hidden="1" customWidth="1"/>
    <col min="13351" max="13351" width="8.42578125" style="241" customWidth="1"/>
    <col min="13352" max="13352" width="3.42578125" style="241" customWidth="1"/>
    <col min="13353" max="13353" width="0" style="241" hidden="1" customWidth="1"/>
    <col min="13354" max="13354" width="6.7109375" style="241" customWidth="1"/>
    <col min="13355" max="13355" width="11" style="241" customWidth="1"/>
    <col min="13356" max="13356" width="3.85546875" style="241" customWidth="1"/>
    <col min="13357" max="13357" width="0" style="241" hidden="1" customWidth="1"/>
    <col min="13358" max="13358" width="9.28515625" style="241" customWidth="1"/>
    <col min="13359" max="13359" width="4.42578125" style="241" customWidth="1"/>
    <col min="13360" max="13360" width="4.5703125" style="241" customWidth="1"/>
    <col min="13361" max="13361" width="10.28515625" style="241" customWidth="1"/>
    <col min="13362" max="13362" width="3.7109375" style="241" customWidth="1"/>
    <col min="13363" max="13363" width="0" style="241" hidden="1" customWidth="1"/>
    <col min="13364" max="13364" width="7.5703125" style="241" customWidth="1"/>
    <col min="13365" max="13365" width="9.7109375" style="241" customWidth="1"/>
    <col min="13366" max="13366" width="0" style="241" hidden="1" customWidth="1"/>
    <col min="13367" max="13367" width="11.5703125" style="241" customWidth="1"/>
    <col min="13368" max="13378" width="0" style="241" hidden="1" customWidth="1"/>
    <col min="13379" max="13379" width="11.42578125" style="241" bestFit="1" customWidth="1"/>
    <col min="13380" max="13380" width="10.85546875" style="241" customWidth="1"/>
    <col min="13381" max="13381" width="10.42578125" style="241" bestFit="1" customWidth="1"/>
    <col min="13382" max="13568" width="9.140625" style="241"/>
    <col min="13569" max="13569" width="2.140625" style="241" customWidth="1"/>
    <col min="13570" max="13570" width="41.7109375" style="241" customWidth="1"/>
    <col min="13571" max="13571" width="6.5703125" style="241" customWidth="1"/>
    <col min="13572" max="13579" width="0" style="241" hidden="1" customWidth="1"/>
    <col min="13580" max="13580" width="2.42578125" style="241" customWidth="1"/>
    <col min="13581" max="13581" width="5.5703125" style="241" customWidth="1"/>
    <col min="13582" max="13582" width="4.5703125" style="241" customWidth="1"/>
    <col min="13583" max="13583" width="5.5703125" style="241" customWidth="1"/>
    <col min="13584" max="13584" width="5" style="241" customWidth="1"/>
    <col min="13585" max="13587" width="0" style="241" hidden="1" customWidth="1"/>
    <col min="13588" max="13588" width="8.85546875" style="241" customWidth="1"/>
    <col min="13589" max="13589" width="10.42578125" style="241" customWidth="1"/>
    <col min="13590" max="13590" width="3.42578125" style="241" customWidth="1"/>
    <col min="13591" max="13591" width="0" style="241" hidden="1" customWidth="1"/>
    <col min="13592" max="13592" width="9.5703125" style="241" customWidth="1"/>
    <col min="13593" max="13593" width="3.140625" style="241" customWidth="1"/>
    <col min="13594" max="13594" width="0" style="241" hidden="1" customWidth="1"/>
    <col min="13595" max="13595" width="7.7109375" style="241" customWidth="1"/>
    <col min="13596" max="13597" width="0" style="241" hidden="1" customWidth="1"/>
    <col min="13598" max="13598" width="8" style="241" customWidth="1"/>
    <col min="13599" max="13600" width="0" style="241" hidden="1" customWidth="1"/>
    <col min="13601" max="13601" width="8.140625" style="241" customWidth="1"/>
    <col min="13602" max="13603" width="0" style="241" hidden="1" customWidth="1"/>
    <col min="13604" max="13604" width="7.7109375" style="241" customWidth="1"/>
    <col min="13605" max="13605" width="3.42578125" style="241" customWidth="1"/>
    <col min="13606" max="13606" width="0" style="241" hidden="1" customWidth="1"/>
    <col min="13607" max="13607" width="8.42578125" style="241" customWidth="1"/>
    <col min="13608" max="13608" width="3.42578125" style="241" customWidth="1"/>
    <col min="13609" max="13609" width="0" style="241" hidden="1" customWidth="1"/>
    <col min="13610" max="13610" width="6.7109375" style="241" customWidth="1"/>
    <col min="13611" max="13611" width="11" style="241" customWidth="1"/>
    <col min="13612" max="13612" width="3.85546875" style="241" customWidth="1"/>
    <col min="13613" max="13613" width="0" style="241" hidden="1" customWidth="1"/>
    <col min="13614" max="13614" width="9.28515625" style="241" customWidth="1"/>
    <col min="13615" max="13615" width="4.42578125" style="241" customWidth="1"/>
    <col min="13616" max="13616" width="4.5703125" style="241" customWidth="1"/>
    <col min="13617" max="13617" width="10.28515625" style="241" customWidth="1"/>
    <col min="13618" max="13618" width="3.7109375" style="241" customWidth="1"/>
    <col min="13619" max="13619" width="0" style="241" hidden="1" customWidth="1"/>
    <col min="13620" max="13620" width="7.5703125" style="241" customWidth="1"/>
    <col min="13621" max="13621" width="9.7109375" style="241" customWidth="1"/>
    <col min="13622" max="13622" width="0" style="241" hidden="1" customWidth="1"/>
    <col min="13623" max="13623" width="11.5703125" style="241" customWidth="1"/>
    <col min="13624" max="13634" width="0" style="241" hidden="1" customWidth="1"/>
    <col min="13635" max="13635" width="11.42578125" style="241" bestFit="1" customWidth="1"/>
    <col min="13636" max="13636" width="10.85546875" style="241" customWidth="1"/>
    <col min="13637" max="13637" width="10.42578125" style="241" bestFit="1" customWidth="1"/>
    <col min="13638" max="13824" width="9.140625" style="241"/>
    <col min="13825" max="13825" width="2.140625" style="241" customWidth="1"/>
    <col min="13826" max="13826" width="41.7109375" style="241" customWidth="1"/>
    <col min="13827" max="13827" width="6.5703125" style="241" customWidth="1"/>
    <col min="13828" max="13835" width="0" style="241" hidden="1" customWidth="1"/>
    <col min="13836" max="13836" width="2.42578125" style="241" customWidth="1"/>
    <col min="13837" max="13837" width="5.5703125" style="241" customWidth="1"/>
    <col min="13838" max="13838" width="4.5703125" style="241" customWidth="1"/>
    <col min="13839" max="13839" width="5.5703125" style="241" customWidth="1"/>
    <col min="13840" max="13840" width="5" style="241" customWidth="1"/>
    <col min="13841" max="13843" width="0" style="241" hidden="1" customWidth="1"/>
    <col min="13844" max="13844" width="8.85546875" style="241" customWidth="1"/>
    <col min="13845" max="13845" width="10.42578125" style="241" customWidth="1"/>
    <col min="13846" max="13846" width="3.42578125" style="241" customWidth="1"/>
    <col min="13847" max="13847" width="0" style="241" hidden="1" customWidth="1"/>
    <col min="13848" max="13848" width="9.5703125" style="241" customWidth="1"/>
    <col min="13849" max="13849" width="3.140625" style="241" customWidth="1"/>
    <col min="13850" max="13850" width="0" style="241" hidden="1" customWidth="1"/>
    <col min="13851" max="13851" width="7.7109375" style="241" customWidth="1"/>
    <col min="13852" max="13853" width="0" style="241" hidden="1" customWidth="1"/>
    <col min="13854" max="13854" width="8" style="241" customWidth="1"/>
    <col min="13855" max="13856" width="0" style="241" hidden="1" customWidth="1"/>
    <col min="13857" max="13857" width="8.140625" style="241" customWidth="1"/>
    <col min="13858" max="13859" width="0" style="241" hidden="1" customWidth="1"/>
    <col min="13860" max="13860" width="7.7109375" style="241" customWidth="1"/>
    <col min="13861" max="13861" width="3.42578125" style="241" customWidth="1"/>
    <col min="13862" max="13862" width="0" style="241" hidden="1" customWidth="1"/>
    <col min="13863" max="13863" width="8.42578125" style="241" customWidth="1"/>
    <col min="13864" max="13864" width="3.42578125" style="241" customWidth="1"/>
    <col min="13865" max="13865" width="0" style="241" hidden="1" customWidth="1"/>
    <col min="13866" max="13866" width="6.7109375" style="241" customWidth="1"/>
    <col min="13867" max="13867" width="11" style="241" customWidth="1"/>
    <col min="13868" max="13868" width="3.85546875" style="241" customWidth="1"/>
    <col min="13869" max="13869" width="0" style="241" hidden="1" customWidth="1"/>
    <col min="13870" max="13870" width="9.28515625" style="241" customWidth="1"/>
    <col min="13871" max="13871" width="4.42578125" style="241" customWidth="1"/>
    <col min="13872" max="13872" width="4.5703125" style="241" customWidth="1"/>
    <col min="13873" max="13873" width="10.28515625" style="241" customWidth="1"/>
    <col min="13874" max="13874" width="3.7109375" style="241" customWidth="1"/>
    <col min="13875" max="13875" width="0" style="241" hidden="1" customWidth="1"/>
    <col min="13876" max="13876" width="7.5703125" style="241" customWidth="1"/>
    <col min="13877" max="13877" width="9.7109375" style="241" customWidth="1"/>
    <col min="13878" max="13878" width="0" style="241" hidden="1" customWidth="1"/>
    <col min="13879" max="13879" width="11.5703125" style="241" customWidth="1"/>
    <col min="13880" max="13890" width="0" style="241" hidden="1" customWidth="1"/>
    <col min="13891" max="13891" width="11.42578125" style="241" bestFit="1" customWidth="1"/>
    <col min="13892" max="13892" width="10.85546875" style="241" customWidth="1"/>
    <col min="13893" max="13893" width="10.42578125" style="241" bestFit="1" customWidth="1"/>
    <col min="13894" max="14080" width="9.140625" style="241"/>
    <col min="14081" max="14081" width="2.140625" style="241" customWidth="1"/>
    <col min="14082" max="14082" width="41.7109375" style="241" customWidth="1"/>
    <col min="14083" max="14083" width="6.5703125" style="241" customWidth="1"/>
    <col min="14084" max="14091" width="0" style="241" hidden="1" customWidth="1"/>
    <col min="14092" max="14092" width="2.42578125" style="241" customWidth="1"/>
    <col min="14093" max="14093" width="5.5703125" style="241" customWidth="1"/>
    <col min="14094" max="14094" width="4.5703125" style="241" customWidth="1"/>
    <col min="14095" max="14095" width="5.5703125" style="241" customWidth="1"/>
    <col min="14096" max="14096" width="5" style="241" customWidth="1"/>
    <col min="14097" max="14099" width="0" style="241" hidden="1" customWidth="1"/>
    <col min="14100" max="14100" width="8.85546875" style="241" customWidth="1"/>
    <col min="14101" max="14101" width="10.42578125" style="241" customWidth="1"/>
    <col min="14102" max="14102" width="3.42578125" style="241" customWidth="1"/>
    <col min="14103" max="14103" width="0" style="241" hidden="1" customWidth="1"/>
    <col min="14104" max="14104" width="9.5703125" style="241" customWidth="1"/>
    <col min="14105" max="14105" width="3.140625" style="241" customWidth="1"/>
    <col min="14106" max="14106" width="0" style="241" hidden="1" customWidth="1"/>
    <col min="14107" max="14107" width="7.7109375" style="241" customWidth="1"/>
    <col min="14108" max="14109" width="0" style="241" hidden="1" customWidth="1"/>
    <col min="14110" max="14110" width="8" style="241" customWidth="1"/>
    <col min="14111" max="14112" width="0" style="241" hidden="1" customWidth="1"/>
    <col min="14113" max="14113" width="8.140625" style="241" customWidth="1"/>
    <col min="14114" max="14115" width="0" style="241" hidden="1" customWidth="1"/>
    <col min="14116" max="14116" width="7.7109375" style="241" customWidth="1"/>
    <col min="14117" max="14117" width="3.42578125" style="241" customWidth="1"/>
    <col min="14118" max="14118" width="0" style="241" hidden="1" customWidth="1"/>
    <col min="14119" max="14119" width="8.42578125" style="241" customWidth="1"/>
    <col min="14120" max="14120" width="3.42578125" style="241" customWidth="1"/>
    <col min="14121" max="14121" width="0" style="241" hidden="1" customWidth="1"/>
    <col min="14122" max="14122" width="6.7109375" style="241" customWidth="1"/>
    <col min="14123" max="14123" width="11" style="241" customWidth="1"/>
    <col min="14124" max="14124" width="3.85546875" style="241" customWidth="1"/>
    <col min="14125" max="14125" width="0" style="241" hidden="1" customWidth="1"/>
    <col min="14126" max="14126" width="9.28515625" style="241" customWidth="1"/>
    <col min="14127" max="14127" width="4.42578125" style="241" customWidth="1"/>
    <col min="14128" max="14128" width="4.5703125" style="241" customWidth="1"/>
    <col min="14129" max="14129" width="10.28515625" style="241" customWidth="1"/>
    <col min="14130" max="14130" width="3.7109375" style="241" customWidth="1"/>
    <col min="14131" max="14131" width="0" style="241" hidden="1" customWidth="1"/>
    <col min="14132" max="14132" width="7.5703125" style="241" customWidth="1"/>
    <col min="14133" max="14133" width="9.7109375" style="241" customWidth="1"/>
    <col min="14134" max="14134" width="0" style="241" hidden="1" customWidth="1"/>
    <col min="14135" max="14135" width="11.5703125" style="241" customWidth="1"/>
    <col min="14136" max="14146" width="0" style="241" hidden="1" customWidth="1"/>
    <col min="14147" max="14147" width="11.42578125" style="241" bestFit="1" customWidth="1"/>
    <col min="14148" max="14148" width="10.85546875" style="241" customWidth="1"/>
    <col min="14149" max="14149" width="10.42578125" style="241" bestFit="1" customWidth="1"/>
    <col min="14150" max="14336" width="9.140625" style="241"/>
    <col min="14337" max="14337" width="2.140625" style="241" customWidth="1"/>
    <col min="14338" max="14338" width="41.7109375" style="241" customWidth="1"/>
    <col min="14339" max="14339" width="6.5703125" style="241" customWidth="1"/>
    <col min="14340" max="14347" width="0" style="241" hidden="1" customWidth="1"/>
    <col min="14348" max="14348" width="2.42578125" style="241" customWidth="1"/>
    <col min="14349" max="14349" width="5.5703125" style="241" customWidth="1"/>
    <col min="14350" max="14350" width="4.5703125" style="241" customWidth="1"/>
    <col min="14351" max="14351" width="5.5703125" style="241" customWidth="1"/>
    <col min="14352" max="14352" width="5" style="241" customWidth="1"/>
    <col min="14353" max="14355" width="0" style="241" hidden="1" customWidth="1"/>
    <col min="14356" max="14356" width="8.85546875" style="241" customWidth="1"/>
    <col min="14357" max="14357" width="10.42578125" style="241" customWidth="1"/>
    <col min="14358" max="14358" width="3.42578125" style="241" customWidth="1"/>
    <col min="14359" max="14359" width="0" style="241" hidden="1" customWidth="1"/>
    <col min="14360" max="14360" width="9.5703125" style="241" customWidth="1"/>
    <col min="14361" max="14361" width="3.140625" style="241" customWidth="1"/>
    <col min="14362" max="14362" width="0" style="241" hidden="1" customWidth="1"/>
    <col min="14363" max="14363" width="7.7109375" style="241" customWidth="1"/>
    <col min="14364" max="14365" width="0" style="241" hidden="1" customWidth="1"/>
    <col min="14366" max="14366" width="8" style="241" customWidth="1"/>
    <col min="14367" max="14368" width="0" style="241" hidden="1" customWidth="1"/>
    <col min="14369" max="14369" width="8.140625" style="241" customWidth="1"/>
    <col min="14370" max="14371" width="0" style="241" hidden="1" customWidth="1"/>
    <col min="14372" max="14372" width="7.7109375" style="241" customWidth="1"/>
    <col min="14373" max="14373" width="3.42578125" style="241" customWidth="1"/>
    <col min="14374" max="14374" width="0" style="241" hidden="1" customWidth="1"/>
    <col min="14375" max="14375" width="8.42578125" style="241" customWidth="1"/>
    <col min="14376" max="14376" width="3.42578125" style="241" customWidth="1"/>
    <col min="14377" max="14377" width="0" style="241" hidden="1" customWidth="1"/>
    <col min="14378" max="14378" width="6.7109375" style="241" customWidth="1"/>
    <col min="14379" max="14379" width="11" style="241" customWidth="1"/>
    <col min="14380" max="14380" width="3.85546875" style="241" customWidth="1"/>
    <col min="14381" max="14381" width="0" style="241" hidden="1" customWidth="1"/>
    <col min="14382" max="14382" width="9.28515625" style="241" customWidth="1"/>
    <col min="14383" max="14383" width="4.42578125" style="241" customWidth="1"/>
    <col min="14384" max="14384" width="4.5703125" style="241" customWidth="1"/>
    <col min="14385" max="14385" width="10.28515625" style="241" customWidth="1"/>
    <col min="14386" max="14386" width="3.7109375" style="241" customWidth="1"/>
    <col min="14387" max="14387" width="0" style="241" hidden="1" customWidth="1"/>
    <col min="14388" max="14388" width="7.5703125" style="241" customWidth="1"/>
    <col min="14389" max="14389" width="9.7109375" style="241" customWidth="1"/>
    <col min="14390" max="14390" width="0" style="241" hidden="1" customWidth="1"/>
    <col min="14391" max="14391" width="11.5703125" style="241" customWidth="1"/>
    <col min="14392" max="14402" width="0" style="241" hidden="1" customWidth="1"/>
    <col min="14403" max="14403" width="11.42578125" style="241" bestFit="1" customWidth="1"/>
    <col min="14404" max="14404" width="10.85546875" style="241" customWidth="1"/>
    <col min="14405" max="14405" width="10.42578125" style="241" bestFit="1" customWidth="1"/>
    <col min="14406" max="14592" width="9.140625" style="241"/>
    <col min="14593" max="14593" width="2.140625" style="241" customWidth="1"/>
    <col min="14594" max="14594" width="41.7109375" style="241" customWidth="1"/>
    <col min="14595" max="14595" width="6.5703125" style="241" customWidth="1"/>
    <col min="14596" max="14603" width="0" style="241" hidden="1" customWidth="1"/>
    <col min="14604" max="14604" width="2.42578125" style="241" customWidth="1"/>
    <col min="14605" max="14605" width="5.5703125" style="241" customWidth="1"/>
    <col min="14606" max="14606" width="4.5703125" style="241" customWidth="1"/>
    <col min="14607" max="14607" width="5.5703125" style="241" customWidth="1"/>
    <col min="14608" max="14608" width="5" style="241" customWidth="1"/>
    <col min="14609" max="14611" width="0" style="241" hidden="1" customWidth="1"/>
    <col min="14612" max="14612" width="8.85546875" style="241" customWidth="1"/>
    <col min="14613" max="14613" width="10.42578125" style="241" customWidth="1"/>
    <col min="14614" max="14614" width="3.42578125" style="241" customWidth="1"/>
    <col min="14615" max="14615" width="0" style="241" hidden="1" customWidth="1"/>
    <col min="14616" max="14616" width="9.5703125" style="241" customWidth="1"/>
    <col min="14617" max="14617" width="3.140625" style="241" customWidth="1"/>
    <col min="14618" max="14618" width="0" style="241" hidden="1" customWidth="1"/>
    <col min="14619" max="14619" width="7.7109375" style="241" customWidth="1"/>
    <col min="14620" max="14621" width="0" style="241" hidden="1" customWidth="1"/>
    <col min="14622" max="14622" width="8" style="241" customWidth="1"/>
    <col min="14623" max="14624" width="0" style="241" hidden="1" customWidth="1"/>
    <col min="14625" max="14625" width="8.140625" style="241" customWidth="1"/>
    <col min="14626" max="14627" width="0" style="241" hidden="1" customWidth="1"/>
    <col min="14628" max="14628" width="7.7109375" style="241" customWidth="1"/>
    <col min="14629" max="14629" width="3.42578125" style="241" customWidth="1"/>
    <col min="14630" max="14630" width="0" style="241" hidden="1" customWidth="1"/>
    <col min="14631" max="14631" width="8.42578125" style="241" customWidth="1"/>
    <col min="14632" max="14632" width="3.42578125" style="241" customWidth="1"/>
    <col min="14633" max="14633" width="0" style="241" hidden="1" customWidth="1"/>
    <col min="14634" max="14634" width="6.7109375" style="241" customWidth="1"/>
    <col min="14635" max="14635" width="11" style="241" customWidth="1"/>
    <col min="14636" max="14636" width="3.85546875" style="241" customWidth="1"/>
    <col min="14637" max="14637" width="0" style="241" hidden="1" customWidth="1"/>
    <col min="14638" max="14638" width="9.28515625" style="241" customWidth="1"/>
    <col min="14639" max="14639" width="4.42578125" style="241" customWidth="1"/>
    <col min="14640" max="14640" width="4.5703125" style="241" customWidth="1"/>
    <col min="14641" max="14641" width="10.28515625" style="241" customWidth="1"/>
    <col min="14642" max="14642" width="3.7109375" style="241" customWidth="1"/>
    <col min="14643" max="14643" width="0" style="241" hidden="1" customWidth="1"/>
    <col min="14644" max="14644" width="7.5703125" style="241" customWidth="1"/>
    <col min="14645" max="14645" width="9.7109375" style="241" customWidth="1"/>
    <col min="14646" max="14646" width="0" style="241" hidden="1" customWidth="1"/>
    <col min="14647" max="14647" width="11.5703125" style="241" customWidth="1"/>
    <col min="14648" max="14658" width="0" style="241" hidden="1" customWidth="1"/>
    <col min="14659" max="14659" width="11.42578125" style="241" bestFit="1" customWidth="1"/>
    <col min="14660" max="14660" width="10.85546875" style="241" customWidth="1"/>
    <col min="14661" max="14661" width="10.42578125" style="241" bestFit="1" customWidth="1"/>
    <col min="14662" max="14848" width="9.140625" style="241"/>
    <col min="14849" max="14849" width="2.140625" style="241" customWidth="1"/>
    <col min="14850" max="14850" width="41.7109375" style="241" customWidth="1"/>
    <col min="14851" max="14851" width="6.5703125" style="241" customWidth="1"/>
    <col min="14852" max="14859" width="0" style="241" hidden="1" customWidth="1"/>
    <col min="14860" max="14860" width="2.42578125" style="241" customWidth="1"/>
    <col min="14861" max="14861" width="5.5703125" style="241" customWidth="1"/>
    <col min="14862" max="14862" width="4.5703125" style="241" customWidth="1"/>
    <col min="14863" max="14863" width="5.5703125" style="241" customWidth="1"/>
    <col min="14864" max="14864" width="5" style="241" customWidth="1"/>
    <col min="14865" max="14867" width="0" style="241" hidden="1" customWidth="1"/>
    <col min="14868" max="14868" width="8.85546875" style="241" customWidth="1"/>
    <col min="14869" max="14869" width="10.42578125" style="241" customWidth="1"/>
    <col min="14870" max="14870" width="3.42578125" style="241" customWidth="1"/>
    <col min="14871" max="14871" width="0" style="241" hidden="1" customWidth="1"/>
    <col min="14872" max="14872" width="9.5703125" style="241" customWidth="1"/>
    <col min="14873" max="14873" width="3.140625" style="241" customWidth="1"/>
    <col min="14874" max="14874" width="0" style="241" hidden="1" customWidth="1"/>
    <col min="14875" max="14875" width="7.7109375" style="241" customWidth="1"/>
    <col min="14876" max="14877" width="0" style="241" hidden="1" customWidth="1"/>
    <col min="14878" max="14878" width="8" style="241" customWidth="1"/>
    <col min="14879" max="14880" width="0" style="241" hidden="1" customWidth="1"/>
    <col min="14881" max="14881" width="8.140625" style="241" customWidth="1"/>
    <col min="14882" max="14883" width="0" style="241" hidden="1" customWidth="1"/>
    <col min="14884" max="14884" width="7.7109375" style="241" customWidth="1"/>
    <col min="14885" max="14885" width="3.42578125" style="241" customWidth="1"/>
    <col min="14886" max="14886" width="0" style="241" hidden="1" customWidth="1"/>
    <col min="14887" max="14887" width="8.42578125" style="241" customWidth="1"/>
    <col min="14888" max="14888" width="3.42578125" style="241" customWidth="1"/>
    <col min="14889" max="14889" width="0" style="241" hidden="1" customWidth="1"/>
    <col min="14890" max="14890" width="6.7109375" style="241" customWidth="1"/>
    <col min="14891" max="14891" width="11" style="241" customWidth="1"/>
    <col min="14892" max="14892" width="3.85546875" style="241" customWidth="1"/>
    <col min="14893" max="14893" width="0" style="241" hidden="1" customWidth="1"/>
    <col min="14894" max="14894" width="9.28515625" style="241" customWidth="1"/>
    <col min="14895" max="14895" width="4.42578125" style="241" customWidth="1"/>
    <col min="14896" max="14896" width="4.5703125" style="241" customWidth="1"/>
    <col min="14897" max="14897" width="10.28515625" style="241" customWidth="1"/>
    <col min="14898" max="14898" width="3.7109375" style="241" customWidth="1"/>
    <col min="14899" max="14899" width="0" style="241" hidden="1" customWidth="1"/>
    <col min="14900" max="14900" width="7.5703125" style="241" customWidth="1"/>
    <col min="14901" max="14901" width="9.7109375" style="241" customWidth="1"/>
    <col min="14902" max="14902" width="0" style="241" hidden="1" customWidth="1"/>
    <col min="14903" max="14903" width="11.5703125" style="241" customWidth="1"/>
    <col min="14904" max="14914" width="0" style="241" hidden="1" customWidth="1"/>
    <col min="14915" max="14915" width="11.42578125" style="241" bestFit="1" customWidth="1"/>
    <col min="14916" max="14916" width="10.85546875" style="241" customWidth="1"/>
    <col min="14917" max="14917" width="10.42578125" style="241" bestFit="1" customWidth="1"/>
    <col min="14918" max="15104" width="9.140625" style="241"/>
    <col min="15105" max="15105" width="2.140625" style="241" customWidth="1"/>
    <col min="15106" max="15106" width="41.7109375" style="241" customWidth="1"/>
    <col min="15107" max="15107" width="6.5703125" style="241" customWidth="1"/>
    <col min="15108" max="15115" width="0" style="241" hidden="1" customWidth="1"/>
    <col min="15116" max="15116" width="2.42578125" style="241" customWidth="1"/>
    <col min="15117" max="15117" width="5.5703125" style="241" customWidth="1"/>
    <col min="15118" max="15118" width="4.5703125" style="241" customWidth="1"/>
    <col min="15119" max="15119" width="5.5703125" style="241" customWidth="1"/>
    <col min="15120" max="15120" width="5" style="241" customWidth="1"/>
    <col min="15121" max="15123" width="0" style="241" hidden="1" customWidth="1"/>
    <col min="15124" max="15124" width="8.85546875" style="241" customWidth="1"/>
    <col min="15125" max="15125" width="10.42578125" style="241" customWidth="1"/>
    <col min="15126" max="15126" width="3.42578125" style="241" customWidth="1"/>
    <col min="15127" max="15127" width="0" style="241" hidden="1" customWidth="1"/>
    <col min="15128" max="15128" width="9.5703125" style="241" customWidth="1"/>
    <col min="15129" max="15129" width="3.140625" style="241" customWidth="1"/>
    <col min="15130" max="15130" width="0" style="241" hidden="1" customWidth="1"/>
    <col min="15131" max="15131" width="7.7109375" style="241" customWidth="1"/>
    <col min="15132" max="15133" width="0" style="241" hidden="1" customWidth="1"/>
    <col min="15134" max="15134" width="8" style="241" customWidth="1"/>
    <col min="15135" max="15136" width="0" style="241" hidden="1" customWidth="1"/>
    <col min="15137" max="15137" width="8.140625" style="241" customWidth="1"/>
    <col min="15138" max="15139" width="0" style="241" hidden="1" customWidth="1"/>
    <col min="15140" max="15140" width="7.7109375" style="241" customWidth="1"/>
    <col min="15141" max="15141" width="3.42578125" style="241" customWidth="1"/>
    <col min="15142" max="15142" width="0" style="241" hidden="1" customWidth="1"/>
    <col min="15143" max="15143" width="8.42578125" style="241" customWidth="1"/>
    <col min="15144" max="15144" width="3.42578125" style="241" customWidth="1"/>
    <col min="15145" max="15145" width="0" style="241" hidden="1" customWidth="1"/>
    <col min="15146" max="15146" width="6.7109375" style="241" customWidth="1"/>
    <col min="15147" max="15147" width="11" style="241" customWidth="1"/>
    <col min="15148" max="15148" width="3.85546875" style="241" customWidth="1"/>
    <col min="15149" max="15149" width="0" style="241" hidden="1" customWidth="1"/>
    <col min="15150" max="15150" width="9.28515625" style="241" customWidth="1"/>
    <col min="15151" max="15151" width="4.42578125" style="241" customWidth="1"/>
    <col min="15152" max="15152" width="4.5703125" style="241" customWidth="1"/>
    <col min="15153" max="15153" width="10.28515625" style="241" customWidth="1"/>
    <col min="15154" max="15154" width="3.7109375" style="241" customWidth="1"/>
    <col min="15155" max="15155" width="0" style="241" hidden="1" customWidth="1"/>
    <col min="15156" max="15156" width="7.5703125" style="241" customWidth="1"/>
    <col min="15157" max="15157" width="9.7109375" style="241" customWidth="1"/>
    <col min="15158" max="15158" width="0" style="241" hidden="1" customWidth="1"/>
    <col min="15159" max="15159" width="11.5703125" style="241" customWidth="1"/>
    <col min="15160" max="15170" width="0" style="241" hidden="1" customWidth="1"/>
    <col min="15171" max="15171" width="11.42578125" style="241" bestFit="1" customWidth="1"/>
    <col min="15172" max="15172" width="10.85546875" style="241" customWidth="1"/>
    <col min="15173" max="15173" width="10.42578125" style="241" bestFit="1" customWidth="1"/>
    <col min="15174" max="15360" width="9.140625" style="241"/>
    <col min="15361" max="15361" width="2.140625" style="241" customWidth="1"/>
    <col min="15362" max="15362" width="41.7109375" style="241" customWidth="1"/>
    <col min="15363" max="15363" width="6.5703125" style="241" customWidth="1"/>
    <col min="15364" max="15371" width="0" style="241" hidden="1" customWidth="1"/>
    <col min="15372" max="15372" width="2.42578125" style="241" customWidth="1"/>
    <col min="15373" max="15373" width="5.5703125" style="241" customWidth="1"/>
    <col min="15374" max="15374" width="4.5703125" style="241" customWidth="1"/>
    <col min="15375" max="15375" width="5.5703125" style="241" customWidth="1"/>
    <col min="15376" max="15376" width="5" style="241" customWidth="1"/>
    <col min="15377" max="15379" width="0" style="241" hidden="1" customWidth="1"/>
    <col min="15380" max="15380" width="8.85546875" style="241" customWidth="1"/>
    <col min="15381" max="15381" width="10.42578125" style="241" customWidth="1"/>
    <col min="15382" max="15382" width="3.42578125" style="241" customWidth="1"/>
    <col min="15383" max="15383" width="0" style="241" hidden="1" customWidth="1"/>
    <col min="15384" max="15384" width="9.5703125" style="241" customWidth="1"/>
    <col min="15385" max="15385" width="3.140625" style="241" customWidth="1"/>
    <col min="15386" max="15386" width="0" style="241" hidden="1" customWidth="1"/>
    <col min="15387" max="15387" width="7.7109375" style="241" customWidth="1"/>
    <col min="15388" max="15389" width="0" style="241" hidden="1" customWidth="1"/>
    <col min="15390" max="15390" width="8" style="241" customWidth="1"/>
    <col min="15391" max="15392" width="0" style="241" hidden="1" customWidth="1"/>
    <col min="15393" max="15393" width="8.140625" style="241" customWidth="1"/>
    <col min="15394" max="15395" width="0" style="241" hidden="1" customWidth="1"/>
    <col min="15396" max="15396" width="7.7109375" style="241" customWidth="1"/>
    <col min="15397" max="15397" width="3.42578125" style="241" customWidth="1"/>
    <col min="15398" max="15398" width="0" style="241" hidden="1" customWidth="1"/>
    <col min="15399" max="15399" width="8.42578125" style="241" customWidth="1"/>
    <col min="15400" max="15400" width="3.42578125" style="241" customWidth="1"/>
    <col min="15401" max="15401" width="0" style="241" hidden="1" customWidth="1"/>
    <col min="15402" max="15402" width="6.7109375" style="241" customWidth="1"/>
    <col min="15403" max="15403" width="11" style="241" customWidth="1"/>
    <col min="15404" max="15404" width="3.85546875" style="241" customWidth="1"/>
    <col min="15405" max="15405" width="0" style="241" hidden="1" customWidth="1"/>
    <col min="15406" max="15406" width="9.28515625" style="241" customWidth="1"/>
    <col min="15407" max="15407" width="4.42578125" style="241" customWidth="1"/>
    <col min="15408" max="15408" width="4.5703125" style="241" customWidth="1"/>
    <col min="15409" max="15409" width="10.28515625" style="241" customWidth="1"/>
    <col min="15410" max="15410" width="3.7109375" style="241" customWidth="1"/>
    <col min="15411" max="15411" width="0" style="241" hidden="1" customWidth="1"/>
    <col min="15412" max="15412" width="7.5703125" style="241" customWidth="1"/>
    <col min="15413" max="15413" width="9.7109375" style="241" customWidth="1"/>
    <col min="15414" max="15414" width="0" style="241" hidden="1" customWidth="1"/>
    <col min="15415" max="15415" width="11.5703125" style="241" customWidth="1"/>
    <col min="15416" max="15426" width="0" style="241" hidden="1" customWidth="1"/>
    <col min="15427" max="15427" width="11.42578125" style="241" bestFit="1" customWidth="1"/>
    <col min="15428" max="15428" width="10.85546875" style="241" customWidth="1"/>
    <col min="15429" max="15429" width="10.42578125" style="241" bestFit="1" customWidth="1"/>
    <col min="15430" max="15616" width="9.140625" style="241"/>
    <col min="15617" max="15617" width="2.140625" style="241" customWidth="1"/>
    <col min="15618" max="15618" width="41.7109375" style="241" customWidth="1"/>
    <col min="15619" max="15619" width="6.5703125" style="241" customWidth="1"/>
    <col min="15620" max="15627" width="0" style="241" hidden="1" customWidth="1"/>
    <col min="15628" max="15628" width="2.42578125" style="241" customWidth="1"/>
    <col min="15629" max="15629" width="5.5703125" style="241" customWidth="1"/>
    <col min="15630" max="15630" width="4.5703125" style="241" customWidth="1"/>
    <col min="15631" max="15631" width="5.5703125" style="241" customWidth="1"/>
    <col min="15632" max="15632" width="5" style="241" customWidth="1"/>
    <col min="15633" max="15635" width="0" style="241" hidden="1" customWidth="1"/>
    <col min="15636" max="15636" width="8.85546875" style="241" customWidth="1"/>
    <col min="15637" max="15637" width="10.42578125" style="241" customWidth="1"/>
    <col min="15638" max="15638" width="3.42578125" style="241" customWidth="1"/>
    <col min="15639" max="15639" width="0" style="241" hidden="1" customWidth="1"/>
    <col min="15640" max="15640" width="9.5703125" style="241" customWidth="1"/>
    <col min="15641" max="15641" width="3.140625" style="241" customWidth="1"/>
    <col min="15642" max="15642" width="0" style="241" hidden="1" customWidth="1"/>
    <col min="15643" max="15643" width="7.7109375" style="241" customWidth="1"/>
    <col min="15644" max="15645" width="0" style="241" hidden="1" customWidth="1"/>
    <col min="15646" max="15646" width="8" style="241" customWidth="1"/>
    <col min="15647" max="15648" width="0" style="241" hidden="1" customWidth="1"/>
    <col min="15649" max="15649" width="8.140625" style="241" customWidth="1"/>
    <col min="15650" max="15651" width="0" style="241" hidden="1" customWidth="1"/>
    <col min="15652" max="15652" width="7.7109375" style="241" customWidth="1"/>
    <col min="15653" max="15653" width="3.42578125" style="241" customWidth="1"/>
    <col min="15654" max="15654" width="0" style="241" hidden="1" customWidth="1"/>
    <col min="15655" max="15655" width="8.42578125" style="241" customWidth="1"/>
    <col min="15656" max="15656" width="3.42578125" style="241" customWidth="1"/>
    <col min="15657" max="15657" width="0" style="241" hidden="1" customWidth="1"/>
    <col min="15658" max="15658" width="6.7109375" style="241" customWidth="1"/>
    <col min="15659" max="15659" width="11" style="241" customWidth="1"/>
    <col min="15660" max="15660" width="3.85546875" style="241" customWidth="1"/>
    <col min="15661" max="15661" width="0" style="241" hidden="1" customWidth="1"/>
    <col min="15662" max="15662" width="9.28515625" style="241" customWidth="1"/>
    <col min="15663" max="15663" width="4.42578125" style="241" customWidth="1"/>
    <col min="15664" max="15664" width="4.5703125" style="241" customWidth="1"/>
    <col min="15665" max="15665" width="10.28515625" style="241" customWidth="1"/>
    <col min="15666" max="15666" width="3.7109375" style="241" customWidth="1"/>
    <col min="15667" max="15667" width="0" style="241" hidden="1" customWidth="1"/>
    <col min="15668" max="15668" width="7.5703125" style="241" customWidth="1"/>
    <col min="15669" max="15669" width="9.7109375" style="241" customWidth="1"/>
    <col min="15670" max="15670" width="0" style="241" hidden="1" customWidth="1"/>
    <col min="15671" max="15671" width="11.5703125" style="241" customWidth="1"/>
    <col min="15672" max="15682" width="0" style="241" hidden="1" customWidth="1"/>
    <col min="15683" max="15683" width="11.42578125" style="241" bestFit="1" customWidth="1"/>
    <col min="15684" max="15684" width="10.85546875" style="241" customWidth="1"/>
    <col min="15685" max="15685" width="10.42578125" style="241" bestFit="1" customWidth="1"/>
    <col min="15686" max="15872" width="9.140625" style="241"/>
    <col min="15873" max="15873" width="2.140625" style="241" customWidth="1"/>
    <col min="15874" max="15874" width="41.7109375" style="241" customWidth="1"/>
    <col min="15875" max="15875" width="6.5703125" style="241" customWidth="1"/>
    <col min="15876" max="15883" width="0" style="241" hidden="1" customWidth="1"/>
    <col min="15884" max="15884" width="2.42578125" style="241" customWidth="1"/>
    <col min="15885" max="15885" width="5.5703125" style="241" customWidth="1"/>
    <col min="15886" max="15886" width="4.5703125" style="241" customWidth="1"/>
    <col min="15887" max="15887" width="5.5703125" style="241" customWidth="1"/>
    <col min="15888" max="15888" width="5" style="241" customWidth="1"/>
    <col min="15889" max="15891" width="0" style="241" hidden="1" customWidth="1"/>
    <col min="15892" max="15892" width="8.85546875" style="241" customWidth="1"/>
    <col min="15893" max="15893" width="10.42578125" style="241" customWidth="1"/>
    <col min="15894" max="15894" width="3.42578125" style="241" customWidth="1"/>
    <col min="15895" max="15895" width="0" style="241" hidden="1" customWidth="1"/>
    <col min="15896" max="15896" width="9.5703125" style="241" customWidth="1"/>
    <col min="15897" max="15897" width="3.140625" style="241" customWidth="1"/>
    <col min="15898" max="15898" width="0" style="241" hidden="1" customWidth="1"/>
    <col min="15899" max="15899" width="7.7109375" style="241" customWidth="1"/>
    <col min="15900" max="15901" width="0" style="241" hidden="1" customWidth="1"/>
    <col min="15902" max="15902" width="8" style="241" customWidth="1"/>
    <col min="15903" max="15904" width="0" style="241" hidden="1" customWidth="1"/>
    <col min="15905" max="15905" width="8.140625" style="241" customWidth="1"/>
    <col min="15906" max="15907" width="0" style="241" hidden="1" customWidth="1"/>
    <col min="15908" max="15908" width="7.7109375" style="241" customWidth="1"/>
    <col min="15909" max="15909" width="3.42578125" style="241" customWidth="1"/>
    <col min="15910" max="15910" width="0" style="241" hidden="1" customWidth="1"/>
    <col min="15911" max="15911" width="8.42578125" style="241" customWidth="1"/>
    <col min="15912" max="15912" width="3.42578125" style="241" customWidth="1"/>
    <col min="15913" max="15913" width="0" style="241" hidden="1" customWidth="1"/>
    <col min="15914" max="15914" width="6.7109375" style="241" customWidth="1"/>
    <col min="15915" max="15915" width="11" style="241" customWidth="1"/>
    <col min="15916" max="15916" width="3.85546875" style="241" customWidth="1"/>
    <col min="15917" max="15917" width="0" style="241" hidden="1" customWidth="1"/>
    <col min="15918" max="15918" width="9.28515625" style="241" customWidth="1"/>
    <col min="15919" max="15919" width="4.42578125" style="241" customWidth="1"/>
    <col min="15920" max="15920" width="4.5703125" style="241" customWidth="1"/>
    <col min="15921" max="15921" width="10.28515625" style="241" customWidth="1"/>
    <col min="15922" max="15922" width="3.7109375" style="241" customWidth="1"/>
    <col min="15923" max="15923" width="0" style="241" hidden="1" customWidth="1"/>
    <col min="15924" max="15924" width="7.5703125" style="241" customWidth="1"/>
    <col min="15925" max="15925" width="9.7109375" style="241" customWidth="1"/>
    <col min="15926" max="15926" width="0" style="241" hidden="1" customWidth="1"/>
    <col min="15927" max="15927" width="11.5703125" style="241" customWidth="1"/>
    <col min="15928" max="15938" width="0" style="241" hidden="1" customWidth="1"/>
    <col min="15939" max="15939" width="11.42578125" style="241" bestFit="1" customWidth="1"/>
    <col min="15940" max="15940" width="10.85546875" style="241" customWidth="1"/>
    <col min="15941" max="15941" width="10.42578125" style="241" bestFit="1" customWidth="1"/>
    <col min="15942" max="16128" width="9.140625" style="241"/>
    <col min="16129" max="16129" width="2.140625" style="241" customWidth="1"/>
    <col min="16130" max="16130" width="41.7109375" style="241" customWidth="1"/>
    <col min="16131" max="16131" width="6.5703125" style="241" customWidth="1"/>
    <col min="16132" max="16139" width="0" style="241" hidden="1" customWidth="1"/>
    <col min="16140" max="16140" width="2.42578125" style="241" customWidth="1"/>
    <col min="16141" max="16141" width="5.5703125" style="241" customWidth="1"/>
    <col min="16142" max="16142" width="4.5703125" style="241" customWidth="1"/>
    <col min="16143" max="16143" width="5.5703125" style="241" customWidth="1"/>
    <col min="16144" max="16144" width="5" style="241" customWidth="1"/>
    <col min="16145" max="16147" width="0" style="241" hidden="1" customWidth="1"/>
    <col min="16148" max="16148" width="8.85546875" style="241" customWidth="1"/>
    <col min="16149" max="16149" width="10.42578125" style="241" customWidth="1"/>
    <col min="16150" max="16150" width="3.42578125" style="241" customWidth="1"/>
    <col min="16151" max="16151" width="0" style="241" hidden="1" customWidth="1"/>
    <col min="16152" max="16152" width="9.5703125" style="241" customWidth="1"/>
    <col min="16153" max="16153" width="3.140625" style="241" customWidth="1"/>
    <col min="16154" max="16154" width="0" style="241" hidden="1" customWidth="1"/>
    <col min="16155" max="16155" width="7.7109375" style="241" customWidth="1"/>
    <col min="16156" max="16157" width="0" style="241" hidden="1" customWidth="1"/>
    <col min="16158" max="16158" width="8" style="241" customWidth="1"/>
    <col min="16159" max="16160" width="0" style="241" hidden="1" customWidth="1"/>
    <col min="16161" max="16161" width="8.140625" style="241" customWidth="1"/>
    <col min="16162" max="16163" width="0" style="241" hidden="1" customWidth="1"/>
    <col min="16164" max="16164" width="7.7109375" style="241" customWidth="1"/>
    <col min="16165" max="16165" width="3.42578125" style="241" customWidth="1"/>
    <col min="16166" max="16166" width="0" style="241" hidden="1" customWidth="1"/>
    <col min="16167" max="16167" width="8.42578125" style="241" customWidth="1"/>
    <col min="16168" max="16168" width="3.42578125" style="241" customWidth="1"/>
    <col min="16169" max="16169" width="0" style="241" hidden="1" customWidth="1"/>
    <col min="16170" max="16170" width="6.7109375" style="241" customWidth="1"/>
    <col min="16171" max="16171" width="11" style="241" customWidth="1"/>
    <col min="16172" max="16172" width="3.85546875" style="241" customWidth="1"/>
    <col min="16173" max="16173" width="0" style="241" hidden="1" customWidth="1"/>
    <col min="16174" max="16174" width="9.28515625" style="241" customWidth="1"/>
    <col min="16175" max="16175" width="4.42578125" style="241" customWidth="1"/>
    <col min="16176" max="16176" width="4.5703125" style="241" customWidth="1"/>
    <col min="16177" max="16177" width="10.28515625" style="241" customWidth="1"/>
    <col min="16178" max="16178" width="3.7109375" style="241" customWidth="1"/>
    <col min="16179" max="16179" width="0" style="241" hidden="1" customWidth="1"/>
    <col min="16180" max="16180" width="7.5703125" style="241" customWidth="1"/>
    <col min="16181" max="16181" width="9.7109375" style="241" customWidth="1"/>
    <col min="16182" max="16182" width="0" style="241" hidden="1" customWidth="1"/>
    <col min="16183" max="16183" width="11.5703125" style="241" customWidth="1"/>
    <col min="16184" max="16194" width="0" style="241" hidden="1" customWidth="1"/>
    <col min="16195" max="16195" width="11.42578125" style="241" bestFit="1" customWidth="1"/>
    <col min="16196" max="16196" width="10.85546875" style="241" customWidth="1"/>
    <col min="16197" max="16197" width="10.42578125" style="241" bestFit="1" customWidth="1"/>
    <col min="16198" max="16384" width="9.140625" style="241"/>
  </cols>
  <sheetData>
    <row r="1" spans="2:59" ht="19.149999999999999" customHeight="1" x14ac:dyDescent="0.25">
      <c r="B1" s="239"/>
      <c r="C1" s="239"/>
      <c r="D1" s="239"/>
      <c r="E1" s="239"/>
      <c r="F1" s="239"/>
      <c r="G1" s="239"/>
      <c r="H1" s="239"/>
      <c r="I1" s="239"/>
      <c r="J1" s="239"/>
      <c r="K1" s="239"/>
      <c r="L1" s="239"/>
      <c r="M1" s="240"/>
      <c r="N1" s="239"/>
      <c r="O1" s="239"/>
      <c r="P1" s="239"/>
      <c r="Q1" s="239"/>
      <c r="R1" s="240"/>
      <c r="S1" s="240"/>
      <c r="T1" s="239"/>
      <c r="U1" s="239"/>
      <c r="V1" s="239"/>
      <c r="W1" s="239"/>
      <c r="X1" s="239"/>
      <c r="Y1" s="239"/>
      <c r="Z1" s="239"/>
      <c r="AA1" s="239"/>
      <c r="AB1" s="239"/>
      <c r="AC1" s="239"/>
      <c r="AD1" s="239"/>
      <c r="AE1" s="239"/>
      <c r="AF1" s="239"/>
      <c r="AG1" s="239"/>
    </row>
    <row r="2" spans="2:59" ht="19.149999999999999" customHeight="1" x14ac:dyDescent="0.3">
      <c r="B2" s="243" t="s">
        <v>149</v>
      </c>
      <c r="C2" s="239"/>
      <c r="D2" s="239"/>
      <c r="E2" s="239"/>
      <c r="F2" s="239"/>
      <c r="G2" s="241"/>
      <c r="H2" s="241"/>
      <c r="I2" s="241"/>
      <c r="J2" s="241"/>
      <c r="K2" s="241"/>
      <c r="M2" s="244"/>
      <c r="T2" s="239"/>
      <c r="U2" s="239"/>
      <c r="V2" s="239"/>
      <c r="W2" s="239"/>
      <c r="X2" s="239"/>
      <c r="Y2" s="239"/>
      <c r="Z2" s="239"/>
      <c r="AA2" s="239"/>
      <c r="AB2" s="239"/>
      <c r="AC2" s="239"/>
      <c r="AD2" s="245" t="s">
        <v>150</v>
      </c>
      <c r="AE2" s="239"/>
      <c r="AF2" s="239"/>
      <c r="AG2" s="239"/>
      <c r="AW2" s="246" t="s">
        <v>151</v>
      </c>
    </row>
    <row r="3" spans="2:59" ht="19.149999999999999" customHeight="1" x14ac:dyDescent="0.25">
      <c r="B3" s="25"/>
      <c r="C3" s="239"/>
      <c r="D3" s="239"/>
      <c r="E3" s="239"/>
      <c r="F3" s="239"/>
      <c r="G3" s="241"/>
      <c r="H3" s="241"/>
      <c r="I3" s="241"/>
      <c r="J3" s="241"/>
      <c r="K3" s="241"/>
      <c r="M3" s="247"/>
      <c r="T3" s="239"/>
      <c r="U3" s="239"/>
      <c r="V3" s="239"/>
      <c r="W3" s="239"/>
      <c r="X3" s="239"/>
      <c r="Y3" s="239"/>
      <c r="Z3" s="239"/>
      <c r="AA3" s="239"/>
      <c r="AB3" s="239"/>
      <c r="AC3" s="239"/>
      <c r="AD3" s="239"/>
      <c r="AE3" s="239"/>
      <c r="AF3" s="239"/>
      <c r="AG3" s="239"/>
      <c r="AT3" s="248" t="s">
        <v>152</v>
      </c>
      <c r="AU3" s="248"/>
      <c r="AV3" s="248"/>
      <c r="AW3" s="249">
        <f>BF3</f>
        <v>27873796.32203706</v>
      </c>
      <c r="AX3" s="248"/>
      <c r="AY3" s="248"/>
      <c r="AZ3" s="250" t="s">
        <v>153</v>
      </c>
      <c r="BA3" s="248"/>
      <c r="BF3" s="251">
        <f>BC664</f>
        <v>27873796.32203706</v>
      </c>
      <c r="BG3" s="252">
        <v>3693977</v>
      </c>
    </row>
    <row r="4" spans="2:59" ht="19.149999999999999" customHeight="1" x14ac:dyDescent="0.25">
      <c r="B4" s="253" t="s">
        <v>154</v>
      </c>
      <c r="C4" s="239"/>
      <c r="D4" s="239"/>
      <c r="E4" s="239"/>
      <c r="F4" s="239"/>
      <c r="G4" s="241"/>
      <c r="H4" s="241"/>
      <c r="I4" s="241"/>
      <c r="J4" s="241"/>
      <c r="K4" s="241"/>
      <c r="M4" s="241"/>
      <c r="T4" s="239"/>
      <c r="U4" s="239"/>
      <c r="V4" s="239"/>
      <c r="W4" s="239"/>
      <c r="X4" s="239"/>
      <c r="Y4" s="239"/>
      <c r="Z4" s="239"/>
      <c r="AA4" s="239"/>
      <c r="AB4" s="239"/>
      <c r="AC4" s="239"/>
      <c r="AD4" s="239"/>
      <c r="AE4" s="239"/>
      <c r="AF4" s="239"/>
      <c r="AG4" s="239"/>
      <c r="AT4" s="254" t="s">
        <v>155</v>
      </c>
      <c r="AU4" s="248"/>
      <c r="AV4" s="248"/>
      <c r="AW4" s="248"/>
      <c r="AX4" s="248"/>
      <c r="AY4" s="248"/>
      <c r="AZ4" s="248"/>
      <c r="BA4" s="248"/>
      <c r="BF4" s="251">
        <f>BG3</f>
        <v>3693977</v>
      </c>
      <c r="BG4" s="241">
        <f>BF3/BG3</f>
        <v>7.5457417092843455</v>
      </c>
    </row>
    <row r="5" spans="2:59" ht="27" customHeight="1" x14ac:dyDescent="0.25">
      <c r="B5" s="253" t="s">
        <v>156</v>
      </c>
      <c r="C5" s="253" t="s">
        <v>157</v>
      </c>
      <c r="D5" s="239"/>
      <c r="E5" s="239"/>
      <c r="F5" s="239"/>
      <c r="G5" s="241"/>
      <c r="H5" s="241"/>
      <c r="I5" s="241"/>
      <c r="J5" s="241"/>
      <c r="K5" s="241"/>
      <c r="M5" s="247"/>
      <c r="T5" s="239"/>
      <c r="U5" s="239"/>
      <c r="V5" s="239"/>
      <c r="W5" s="239"/>
      <c r="X5" s="239"/>
      <c r="Y5" s="239"/>
      <c r="Z5" s="239"/>
      <c r="AA5" s="239"/>
      <c r="AB5" s="239"/>
      <c r="AC5" s="239"/>
      <c r="AD5" s="239"/>
      <c r="AE5" s="239"/>
      <c r="AF5" s="239"/>
      <c r="AG5" s="239"/>
      <c r="AT5" s="254" t="s">
        <v>158</v>
      </c>
      <c r="AU5" s="248"/>
      <c r="AV5" s="248"/>
      <c r="AW5" s="248"/>
      <c r="AX5" s="248"/>
      <c r="AY5" s="248"/>
      <c r="AZ5" s="248"/>
      <c r="BA5" s="248"/>
    </row>
    <row r="6" spans="2:59" ht="19.149999999999999" customHeight="1" x14ac:dyDescent="0.25">
      <c r="B6" s="253" t="s">
        <v>159</v>
      </c>
      <c r="C6" s="239"/>
      <c r="D6" s="239"/>
      <c r="E6" s="239"/>
      <c r="F6" s="239"/>
      <c r="G6" s="241"/>
      <c r="H6" s="241"/>
      <c r="I6" s="241"/>
      <c r="J6" s="241"/>
      <c r="K6" s="241"/>
      <c r="M6" s="247"/>
      <c r="T6" s="239"/>
      <c r="U6" s="239"/>
      <c r="V6" s="239"/>
      <c r="W6" s="239"/>
      <c r="X6" s="239"/>
      <c r="Y6" s="239"/>
      <c r="Z6" s="239"/>
      <c r="AA6" s="239"/>
      <c r="AB6" s="239"/>
      <c r="AC6" s="239"/>
      <c r="AD6" s="239"/>
      <c r="AE6" s="239"/>
      <c r="AF6" s="239"/>
      <c r="AG6" s="239"/>
      <c r="AT6" s="248"/>
      <c r="AU6" s="248"/>
      <c r="AV6" s="248"/>
      <c r="AW6" s="248" t="s">
        <v>160</v>
      </c>
      <c r="AX6" s="248"/>
      <c r="AY6" s="248"/>
      <c r="AZ6" s="248"/>
      <c r="BA6" s="248"/>
    </row>
    <row r="7" spans="2:59" ht="19.149999999999999" customHeight="1" x14ac:dyDescent="0.25">
      <c r="B7" s="25"/>
      <c r="C7" s="239"/>
      <c r="D7" s="239"/>
      <c r="E7" s="239"/>
      <c r="F7" s="239"/>
      <c r="G7" s="241"/>
      <c r="H7" s="241"/>
      <c r="I7" s="241"/>
      <c r="J7" s="241"/>
      <c r="K7" s="241"/>
      <c r="T7" s="239"/>
      <c r="U7" s="239"/>
      <c r="V7" s="239"/>
      <c r="W7" s="239"/>
      <c r="X7" s="239"/>
      <c r="Y7" s="239"/>
      <c r="Z7" s="239"/>
      <c r="AA7" s="239"/>
      <c r="AB7" s="239"/>
      <c r="AC7" s="239"/>
      <c r="AD7" s="239"/>
      <c r="AE7" s="239"/>
      <c r="AF7" s="239"/>
      <c r="AG7" s="239"/>
      <c r="AT7" s="248"/>
      <c r="AU7" s="248"/>
      <c r="AV7" s="248"/>
      <c r="AW7" s="248" t="s">
        <v>161</v>
      </c>
      <c r="AX7" s="248"/>
      <c r="AY7" s="248"/>
      <c r="AZ7" s="248"/>
      <c r="BA7" s="248"/>
    </row>
    <row r="8" spans="2:59" ht="19.149999999999999" customHeight="1" x14ac:dyDescent="0.25">
      <c r="B8" s="253" t="s">
        <v>162</v>
      </c>
      <c r="D8" s="241"/>
      <c r="E8" s="241"/>
      <c r="F8" s="241"/>
      <c r="G8" s="241"/>
      <c r="H8" s="241"/>
      <c r="I8" s="241"/>
      <c r="J8" s="241"/>
      <c r="K8" s="241"/>
      <c r="AT8" s="248"/>
      <c r="AU8" s="248"/>
      <c r="AV8" s="248"/>
      <c r="AW8" s="248" t="s">
        <v>163</v>
      </c>
      <c r="AX8" s="248"/>
      <c r="AY8" s="248"/>
      <c r="AZ8" s="248"/>
      <c r="BA8" s="248"/>
    </row>
    <row r="9" spans="2:59" ht="25.5" customHeight="1" x14ac:dyDescent="0.25">
      <c r="B9" s="253" t="s">
        <v>156</v>
      </c>
      <c r="C9" s="255" t="s">
        <v>164</v>
      </c>
      <c r="D9" s="241"/>
      <c r="E9" s="241"/>
      <c r="F9" s="241"/>
      <c r="G9" s="241"/>
      <c r="H9" s="241"/>
      <c r="I9" s="241"/>
      <c r="J9" s="241"/>
      <c r="K9" s="241"/>
    </row>
    <row r="10" spans="2:59" ht="19.149999999999999" customHeight="1" x14ac:dyDescent="0.25">
      <c r="B10" s="253" t="s">
        <v>165</v>
      </c>
      <c r="D10" s="241"/>
      <c r="E10" s="241"/>
      <c r="F10" s="241"/>
      <c r="G10" s="241"/>
      <c r="H10" s="241"/>
      <c r="I10" s="241"/>
      <c r="J10" s="241"/>
      <c r="K10" s="241"/>
    </row>
    <row r="11" spans="2:59" ht="11.25" customHeight="1" x14ac:dyDescent="0.25">
      <c r="B11" s="25"/>
      <c r="D11" s="241"/>
      <c r="E11" s="241"/>
      <c r="F11" s="241"/>
      <c r="G11" s="241"/>
      <c r="H11" s="241"/>
      <c r="I11" s="241"/>
      <c r="J11" s="241"/>
      <c r="K11" s="241"/>
    </row>
    <row r="12" spans="2:59" ht="19.149999999999999" customHeight="1" x14ac:dyDescent="0.25">
      <c r="B12" s="253" t="s">
        <v>166</v>
      </c>
      <c r="D12" s="241"/>
      <c r="E12" s="241"/>
      <c r="F12" s="241"/>
      <c r="G12" s="241"/>
      <c r="H12" s="241"/>
      <c r="I12" s="241"/>
      <c r="J12" s="241"/>
      <c r="K12" s="241"/>
    </row>
    <row r="13" spans="2:59" ht="30.75" customHeight="1" x14ac:dyDescent="0.25">
      <c r="B13" s="253" t="s">
        <v>156</v>
      </c>
      <c r="C13" s="253" t="s">
        <v>167</v>
      </c>
      <c r="D13" s="241"/>
      <c r="E13" s="241"/>
      <c r="F13" s="241"/>
      <c r="G13" s="241"/>
      <c r="H13" s="241"/>
      <c r="I13" s="241"/>
      <c r="J13" s="241"/>
      <c r="K13" s="241"/>
    </row>
    <row r="14" spans="2:59" ht="19.149999999999999" customHeight="1" x14ac:dyDescent="0.25">
      <c r="B14" s="253" t="s">
        <v>168</v>
      </c>
      <c r="D14" s="241"/>
      <c r="E14" s="241"/>
      <c r="F14" s="241"/>
      <c r="G14" s="241"/>
      <c r="H14" s="241"/>
      <c r="I14" s="241"/>
      <c r="J14" s="241"/>
      <c r="K14" s="241"/>
    </row>
    <row r="15" spans="2:59" ht="19.149999999999999" customHeight="1" x14ac:dyDescent="0.25">
      <c r="B15" s="253"/>
      <c r="D15" s="241"/>
      <c r="E15" s="241"/>
      <c r="F15" s="241"/>
      <c r="G15" s="241"/>
      <c r="H15" s="241"/>
      <c r="I15" s="241"/>
      <c r="J15" s="241"/>
      <c r="K15" s="241"/>
    </row>
    <row r="16" spans="2:59" ht="19.149999999999999" customHeight="1" x14ac:dyDescent="0.25">
      <c r="B16" s="253" t="s">
        <v>169</v>
      </c>
      <c r="D16" s="241"/>
      <c r="E16" s="241"/>
      <c r="F16" s="241"/>
      <c r="G16" s="241"/>
      <c r="H16" s="241"/>
      <c r="I16" s="241"/>
      <c r="J16" s="241"/>
      <c r="K16" s="241"/>
    </row>
    <row r="17" spans="1:65" ht="34.5" customHeight="1" x14ac:dyDescent="0.25">
      <c r="B17" s="253" t="s">
        <v>156</v>
      </c>
      <c r="C17" s="253" t="s">
        <v>170</v>
      </c>
      <c r="D17" s="241"/>
      <c r="E17" s="241"/>
      <c r="F17" s="241"/>
      <c r="G17" s="241"/>
      <c r="H17" s="241"/>
      <c r="I17" s="241"/>
      <c r="J17" s="241"/>
      <c r="K17" s="241"/>
    </row>
    <row r="18" spans="1:65" ht="19.149999999999999" customHeight="1" x14ac:dyDescent="0.25">
      <c r="B18" s="253" t="s">
        <v>168</v>
      </c>
      <c r="D18" s="241"/>
      <c r="E18" s="241"/>
      <c r="F18" s="241"/>
      <c r="G18" s="241"/>
      <c r="H18" s="241"/>
      <c r="I18" s="241"/>
      <c r="J18" s="241"/>
      <c r="K18" s="241"/>
    </row>
    <row r="19" spans="1:65" ht="19.149999999999999" customHeight="1" x14ac:dyDescent="0.25">
      <c r="D19" s="241"/>
      <c r="E19" s="241"/>
      <c r="F19" s="241"/>
      <c r="G19" s="241"/>
      <c r="H19" s="241"/>
      <c r="I19" s="241"/>
      <c r="J19" s="241"/>
      <c r="K19" s="241"/>
    </row>
    <row r="20" spans="1:65" s="248" customFormat="1" ht="26.25" customHeight="1" x14ac:dyDescent="0.25">
      <c r="A20" s="2049" t="s">
        <v>171</v>
      </c>
      <c r="B20" s="2049"/>
      <c r="C20" s="2049"/>
      <c r="D20" s="2049"/>
      <c r="E20" s="2049"/>
      <c r="F20" s="2049"/>
      <c r="G20" s="2049"/>
      <c r="H20" s="2049"/>
      <c r="I20" s="2049"/>
      <c r="J20" s="2049"/>
      <c r="K20" s="2049"/>
      <c r="L20" s="2049"/>
      <c r="M20" s="2049"/>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c r="AL20" s="2049"/>
      <c r="AM20" s="2049"/>
      <c r="AN20" s="2049"/>
      <c r="AO20" s="2049"/>
      <c r="AP20" s="2049"/>
      <c r="AQ20" s="2049"/>
      <c r="AR20" s="2049"/>
      <c r="AS20" s="2049"/>
      <c r="AT20" s="2049"/>
      <c r="AU20" s="2049"/>
      <c r="AV20" s="2049"/>
      <c r="AW20" s="2049"/>
      <c r="AX20" s="2049"/>
      <c r="AY20" s="2049"/>
      <c r="AZ20" s="2049"/>
      <c r="BA20" s="2049"/>
      <c r="BB20" s="2049"/>
      <c r="BC20" s="2049"/>
      <c r="BD20" s="256"/>
      <c r="BE20" s="256"/>
    </row>
    <row r="21" spans="1:65" s="248" customFormat="1" ht="14.25" customHeight="1" x14ac:dyDescent="0.25">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row>
    <row r="22" spans="1:65" ht="21" customHeight="1" thickBot="1" x14ac:dyDescent="0.3">
      <c r="B22" s="257" t="s">
        <v>172</v>
      </c>
      <c r="C22" s="257">
        <f>[3]тар!B5</f>
        <v>3028</v>
      </c>
      <c r="D22" s="257"/>
      <c r="E22" s="257"/>
      <c r="F22" s="257"/>
      <c r="G22" s="257"/>
      <c r="H22" s="257"/>
      <c r="I22" s="257"/>
      <c r="J22" s="257"/>
      <c r="K22" s="257"/>
      <c r="L22" s="257"/>
      <c r="M22" s="257" t="s">
        <v>173</v>
      </c>
      <c r="N22" s="257"/>
    </row>
    <row r="23" spans="1:65" ht="100.9" customHeight="1" x14ac:dyDescent="0.25">
      <c r="A23" s="2019" t="s">
        <v>174</v>
      </c>
      <c r="B23" s="2021" t="s">
        <v>175</v>
      </c>
      <c r="C23" s="2024" t="s">
        <v>176</v>
      </c>
      <c r="D23" s="2027" t="s">
        <v>177</v>
      </c>
      <c r="E23" s="2028"/>
      <c r="F23" s="2028"/>
      <c r="G23" s="2028"/>
      <c r="H23" s="2028"/>
      <c r="I23" s="2028"/>
      <c r="J23" s="2028"/>
      <c r="K23" s="2029"/>
      <c r="L23" s="2030" t="s">
        <v>178</v>
      </c>
      <c r="M23" s="2033" t="s">
        <v>179</v>
      </c>
      <c r="N23" s="2013" t="s">
        <v>180</v>
      </c>
      <c r="O23" s="2013" t="s">
        <v>181</v>
      </c>
      <c r="P23" s="2013" t="s">
        <v>182</v>
      </c>
      <c r="Q23" s="2013" t="s">
        <v>183</v>
      </c>
      <c r="R23" s="2013" t="s">
        <v>184</v>
      </c>
      <c r="S23" s="2015" t="s">
        <v>185</v>
      </c>
      <c r="T23" s="2016"/>
      <c r="U23" s="2010" t="s">
        <v>186</v>
      </c>
      <c r="V23" s="1991" t="s">
        <v>187</v>
      </c>
      <c r="W23" s="1992"/>
      <c r="X23" s="1993"/>
      <c r="Y23" s="1994" t="s">
        <v>188</v>
      </c>
      <c r="Z23" s="1992"/>
      <c r="AA23" s="1993"/>
      <c r="AB23" s="2036" t="s">
        <v>189</v>
      </c>
      <c r="AC23" s="2037"/>
      <c r="AD23" s="2038"/>
      <c r="AE23" s="1994" t="s">
        <v>190</v>
      </c>
      <c r="AF23" s="1992"/>
      <c r="AG23" s="1993"/>
      <c r="AH23" s="1994" t="s">
        <v>191</v>
      </c>
      <c r="AI23" s="1992"/>
      <c r="AJ23" s="1993"/>
      <c r="AK23" s="2036" t="s">
        <v>192</v>
      </c>
      <c r="AL23" s="2037"/>
      <c r="AM23" s="2038"/>
      <c r="AN23" s="1994" t="s">
        <v>193</v>
      </c>
      <c r="AO23" s="1992"/>
      <c r="AP23" s="1993"/>
      <c r="AQ23" s="2010" t="s">
        <v>194</v>
      </c>
      <c r="AR23" s="1991" t="s">
        <v>195</v>
      </c>
      <c r="AS23" s="1992"/>
      <c r="AT23" s="1993"/>
      <c r="AU23" s="1994" t="s">
        <v>196</v>
      </c>
      <c r="AV23" s="1992"/>
      <c r="AW23" s="1992"/>
      <c r="AX23" s="1992"/>
      <c r="AY23" s="1992"/>
      <c r="AZ23" s="1993"/>
      <c r="BA23" s="1995" t="s">
        <v>197</v>
      </c>
      <c r="BB23" s="1998" t="s">
        <v>198</v>
      </c>
      <c r="BC23" s="1999"/>
      <c r="BD23" s="258"/>
      <c r="BE23" s="258"/>
      <c r="BF23" s="251">
        <f>BC45-BA28</f>
        <v>1915067.3899999997</v>
      </c>
    </row>
    <row r="24" spans="1:65" ht="10.9" customHeight="1" x14ac:dyDescent="0.25">
      <c r="A24" s="2020"/>
      <c r="B24" s="2022"/>
      <c r="C24" s="2025"/>
      <c r="D24" s="2004" t="s">
        <v>199</v>
      </c>
      <c r="E24" s="2005"/>
      <c r="F24" s="2005"/>
      <c r="G24" s="2005"/>
      <c r="H24" s="2005"/>
      <c r="I24" s="2005"/>
      <c r="J24" s="2005"/>
      <c r="K24" s="2006"/>
      <c r="L24" s="2031"/>
      <c r="M24" s="2034"/>
      <c r="N24" s="2014"/>
      <c r="O24" s="2014"/>
      <c r="P24" s="2014"/>
      <c r="Q24" s="2014"/>
      <c r="R24" s="2014"/>
      <c r="S24" s="2017"/>
      <c r="T24" s="2018"/>
      <c r="U24" s="2011"/>
      <c r="V24" s="1989" t="s">
        <v>200</v>
      </c>
      <c r="W24" s="1979" t="s">
        <v>201</v>
      </c>
      <c r="X24" s="1980"/>
      <c r="Y24" s="1983" t="s">
        <v>200</v>
      </c>
      <c r="Z24" s="1979" t="s">
        <v>201</v>
      </c>
      <c r="AA24" s="1980"/>
      <c r="AB24" s="1983" t="s">
        <v>200</v>
      </c>
      <c r="AC24" s="259"/>
      <c r="AD24" s="1985" t="s">
        <v>201</v>
      </c>
      <c r="AE24" s="1983" t="s">
        <v>200</v>
      </c>
      <c r="AF24" s="1979" t="s">
        <v>201</v>
      </c>
      <c r="AG24" s="1980"/>
      <c r="AH24" s="1983" t="s">
        <v>200</v>
      </c>
      <c r="AI24" s="1979" t="s">
        <v>201</v>
      </c>
      <c r="AJ24" s="1980"/>
      <c r="AK24" s="1983" t="s">
        <v>200</v>
      </c>
      <c r="AL24" s="1979" t="s">
        <v>201</v>
      </c>
      <c r="AM24" s="1980"/>
      <c r="AN24" s="1983" t="s">
        <v>200</v>
      </c>
      <c r="AO24" s="1979" t="s">
        <v>201</v>
      </c>
      <c r="AP24" s="1980"/>
      <c r="AQ24" s="2011"/>
      <c r="AR24" s="1989" t="s">
        <v>200</v>
      </c>
      <c r="AS24" s="1979" t="s">
        <v>201</v>
      </c>
      <c r="AT24" s="1980"/>
      <c r="AU24" s="1985" t="s">
        <v>202</v>
      </c>
      <c r="AV24" s="1985" t="s">
        <v>200</v>
      </c>
      <c r="AW24" s="1985" t="s">
        <v>201</v>
      </c>
      <c r="AX24" s="1983" t="s">
        <v>200</v>
      </c>
      <c r="AY24" s="1979" t="s">
        <v>201</v>
      </c>
      <c r="AZ24" s="1980"/>
      <c r="BA24" s="1996"/>
      <c r="BB24" s="2000"/>
      <c r="BC24" s="2001"/>
      <c r="BD24" s="258"/>
      <c r="BE24" s="258"/>
    </row>
    <row r="25" spans="1:65" ht="36" customHeight="1" x14ac:dyDescent="0.25">
      <c r="A25" s="1990"/>
      <c r="B25" s="2023"/>
      <c r="C25" s="2026"/>
      <c r="D25" s="260" t="s">
        <v>203</v>
      </c>
      <c r="E25" s="261" t="s">
        <v>204</v>
      </c>
      <c r="F25" s="261" t="s">
        <v>205</v>
      </c>
      <c r="G25" s="261" t="s">
        <v>206</v>
      </c>
      <c r="H25" s="261" t="s">
        <v>207</v>
      </c>
      <c r="I25" s="261" t="s">
        <v>208</v>
      </c>
      <c r="J25" s="261" t="s">
        <v>209</v>
      </c>
      <c r="K25" s="262" t="s">
        <v>210</v>
      </c>
      <c r="L25" s="2032"/>
      <c r="M25" s="2035"/>
      <c r="N25" s="1986"/>
      <c r="O25" s="1986"/>
      <c r="P25" s="1986"/>
      <c r="Q25" s="1986"/>
      <c r="R25" s="1986"/>
      <c r="S25" s="263" t="s">
        <v>211</v>
      </c>
      <c r="T25" s="424" t="s">
        <v>212</v>
      </c>
      <c r="U25" s="2012"/>
      <c r="V25" s="1990"/>
      <c r="W25" s="1981"/>
      <c r="X25" s="1982"/>
      <c r="Y25" s="1984"/>
      <c r="Z25" s="1981"/>
      <c r="AA25" s="1982"/>
      <c r="AB25" s="1984"/>
      <c r="AC25" s="264"/>
      <c r="AD25" s="1986"/>
      <c r="AE25" s="1984"/>
      <c r="AF25" s="1981"/>
      <c r="AG25" s="1982"/>
      <c r="AH25" s="1984"/>
      <c r="AI25" s="1981"/>
      <c r="AJ25" s="1982"/>
      <c r="AK25" s="1984"/>
      <c r="AL25" s="1981"/>
      <c r="AM25" s="1982"/>
      <c r="AN25" s="1984"/>
      <c r="AO25" s="1981"/>
      <c r="AP25" s="1982"/>
      <c r="AQ25" s="2012"/>
      <c r="AR25" s="1990"/>
      <c r="AS25" s="1981"/>
      <c r="AT25" s="1982"/>
      <c r="AU25" s="1986"/>
      <c r="AV25" s="1986"/>
      <c r="AW25" s="1986"/>
      <c r="AX25" s="1984"/>
      <c r="AY25" s="1981"/>
      <c r="AZ25" s="1982"/>
      <c r="BA25" s="1997"/>
      <c r="BB25" s="2002"/>
      <c r="BC25" s="2003"/>
      <c r="BD25" s="265"/>
      <c r="BE25" s="265"/>
      <c r="BF25" s="260" t="s">
        <v>203</v>
      </c>
      <c r="BG25" s="261" t="s">
        <v>204</v>
      </c>
      <c r="BH25" s="261" t="s">
        <v>205</v>
      </c>
      <c r="BI25" s="261" t="s">
        <v>206</v>
      </c>
      <c r="BJ25" s="261" t="s">
        <v>207</v>
      </c>
      <c r="BK25" s="261" t="s">
        <v>208</v>
      </c>
      <c r="BL25" s="261" t="s">
        <v>209</v>
      </c>
      <c r="BM25" s="262" t="s">
        <v>210</v>
      </c>
    </row>
    <row r="26" spans="1:65" s="269" customFormat="1" hidden="1" x14ac:dyDescent="0.25">
      <c r="A26" s="266">
        <v>1</v>
      </c>
      <c r="B26" s="267">
        <v>2</v>
      </c>
      <c r="C26" s="268">
        <v>3</v>
      </c>
      <c r="D26" s="267">
        <v>5</v>
      </c>
      <c r="E26" s="268">
        <v>6</v>
      </c>
      <c r="F26" s="268">
        <v>7</v>
      </c>
      <c r="G26" s="267">
        <v>8</v>
      </c>
      <c r="H26" s="268">
        <v>9</v>
      </c>
      <c r="I26" s="268">
        <v>10</v>
      </c>
      <c r="J26" s="267">
        <v>11</v>
      </c>
      <c r="K26" s="268">
        <v>12</v>
      </c>
      <c r="L26" s="268">
        <v>4</v>
      </c>
      <c r="M26" s="267">
        <v>5</v>
      </c>
      <c r="N26" s="268">
        <v>6</v>
      </c>
      <c r="O26" s="268">
        <v>7</v>
      </c>
      <c r="P26" s="267">
        <v>8</v>
      </c>
      <c r="Q26" s="268">
        <v>9</v>
      </c>
      <c r="R26" s="268">
        <v>10</v>
      </c>
      <c r="S26" s="267">
        <v>11</v>
      </c>
      <c r="T26" s="268">
        <v>12</v>
      </c>
      <c r="U26" s="268">
        <v>13</v>
      </c>
      <c r="V26" s="267">
        <v>14</v>
      </c>
      <c r="W26" s="268">
        <v>24</v>
      </c>
      <c r="X26" s="268">
        <v>15</v>
      </c>
      <c r="Y26" s="267">
        <v>16</v>
      </c>
      <c r="Z26" s="268">
        <v>30</v>
      </c>
      <c r="AA26" s="268">
        <v>17</v>
      </c>
      <c r="AB26" s="267">
        <v>18</v>
      </c>
      <c r="AC26" s="267"/>
      <c r="AD26" s="268">
        <v>19</v>
      </c>
      <c r="AE26" s="267">
        <v>18</v>
      </c>
      <c r="AF26" s="268">
        <v>33</v>
      </c>
      <c r="AG26" s="268">
        <v>19</v>
      </c>
      <c r="AH26" s="267">
        <v>20</v>
      </c>
      <c r="AI26" s="268">
        <v>36</v>
      </c>
      <c r="AJ26" s="268">
        <v>21</v>
      </c>
      <c r="AK26" s="267">
        <v>22</v>
      </c>
      <c r="AL26" s="268">
        <v>39</v>
      </c>
      <c r="AM26" s="268">
        <v>23</v>
      </c>
      <c r="AN26" s="267">
        <v>22</v>
      </c>
      <c r="AO26" s="268">
        <v>39</v>
      </c>
      <c r="AP26" s="268">
        <v>23</v>
      </c>
      <c r="AQ26" s="267">
        <v>24</v>
      </c>
      <c r="AR26" s="268">
        <v>25</v>
      </c>
      <c r="AS26" s="268">
        <v>43</v>
      </c>
      <c r="AT26" s="267">
        <v>26</v>
      </c>
      <c r="AU26" s="268">
        <v>27</v>
      </c>
      <c r="AV26" s="268">
        <v>28</v>
      </c>
      <c r="AW26" s="267">
        <v>29</v>
      </c>
      <c r="AX26" s="268">
        <v>30</v>
      </c>
      <c r="AY26" s="268">
        <v>43</v>
      </c>
      <c r="AZ26" s="267">
        <v>31</v>
      </c>
      <c r="BA26" s="268">
        <v>32</v>
      </c>
      <c r="BB26" s="268">
        <v>49</v>
      </c>
      <c r="BC26" s="267">
        <v>33</v>
      </c>
    </row>
    <row r="27" spans="1:65" s="275" customFormat="1" ht="26.25" customHeight="1" x14ac:dyDescent="0.25">
      <c r="A27" s="270" t="s">
        <v>213</v>
      </c>
      <c r="B27" s="271" t="s">
        <v>97</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3"/>
      <c r="BD27" s="274"/>
      <c r="BE27" s="274"/>
    </row>
    <row r="28" spans="1:65" s="287" customFormat="1" ht="18.75" customHeight="1" x14ac:dyDescent="0.25">
      <c r="A28" s="276"/>
      <c r="B28" s="277" t="s">
        <v>146</v>
      </c>
      <c r="C28" s="278">
        <v>1</v>
      </c>
      <c r="D28" s="279"/>
      <c r="E28" s="279"/>
      <c r="F28" s="279"/>
      <c r="G28" s="279"/>
      <c r="H28" s="279"/>
      <c r="I28" s="279"/>
      <c r="J28" s="279">
        <v>1</v>
      </c>
      <c r="K28" s="279"/>
      <c r="L28" s="277"/>
      <c r="M28" s="280">
        <f>C$22</f>
        <v>3028</v>
      </c>
      <c r="N28" s="281">
        <v>2</v>
      </c>
      <c r="O28" s="282">
        <v>4.5</v>
      </c>
      <c r="P28" s="282">
        <f t="shared" ref="P28:P42" si="0">P$244</f>
        <v>1.58</v>
      </c>
      <c r="Q28" s="282"/>
      <c r="R28" s="283">
        <f>[3]тар!G5*3</f>
        <v>495</v>
      </c>
      <c r="S28" s="280">
        <f>T28/(R28/4)</f>
        <v>347.94343434343432</v>
      </c>
      <c r="T28" s="425">
        <f t="shared" ref="T28:T42" si="1">ROUND(M28*N28*O28*P28,0)</f>
        <v>43058</v>
      </c>
      <c r="U28" s="284">
        <f>T28*C28*3</f>
        <v>129174</v>
      </c>
      <c r="V28" s="277"/>
      <c r="W28" s="285"/>
      <c r="X28" s="285">
        <f>U28*V28%</f>
        <v>0</v>
      </c>
      <c r="Y28" s="277"/>
      <c r="Z28" s="277"/>
      <c r="AA28" s="277"/>
      <c r="AB28" s="277"/>
      <c r="AC28" s="277"/>
      <c r="AD28" s="277"/>
      <c r="AE28" s="277"/>
      <c r="AF28" s="277"/>
      <c r="AG28" s="277"/>
      <c r="AH28" s="277"/>
      <c r="AI28" s="277"/>
      <c r="AJ28" s="277"/>
      <c r="AK28" s="277"/>
      <c r="AL28" s="277"/>
      <c r="AM28" s="285">
        <f t="shared" ref="AM28:AM44" si="2">T28*AK28%*3</f>
        <v>0</v>
      </c>
      <c r="AN28" s="277"/>
      <c r="AO28" s="277"/>
      <c r="AP28" s="285"/>
      <c r="AQ28" s="284">
        <f>X28+AA28+AD28+AG28+AJ28+AM28+AP28</f>
        <v>0</v>
      </c>
      <c r="AR28" s="285"/>
      <c r="AS28" s="285">
        <f t="shared" ref="AS28:AS43" si="3">AT28/C28</f>
        <v>43058</v>
      </c>
      <c r="AT28" s="280">
        <f>T28</f>
        <v>43058</v>
      </c>
      <c r="AU28" s="277"/>
      <c r="AV28" s="277">
        <v>100</v>
      </c>
      <c r="AW28" s="277">
        <f>AU28*T28</f>
        <v>0</v>
      </c>
      <c r="AX28" s="285"/>
      <c r="AY28" s="285"/>
      <c r="AZ28" s="280"/>
      <c r="BA28" s="284">
        <f>AT28+AW28+AZ28</f>
        <v>43058</v>
      </c>
      <c r="BB28" s="284">
        <f t="shared" ref="BB28:BB43" si="4">BC28/C28</f>
        <v>172232</v>
      </c>
      <c r="BC28" s="284">
        <f t="shared" ref="BC28:BC43" si="5">BA28+AQ28+U28</f>
        <v>172232</v>
      </c>
      <c r="BD28" s="286">
        <f>BC28/C28/3</f>
        <v>57410.666666666664</v>
      </c>
      <c r="BE28" s="286"/>
      <c r="BF28" s="251">
        <f>IF(D28=1,BC28,0)</f>
        <v>0</v>
      </c>
      <c r="BG28" s="251">
        <f>IF(E28=1,BC28,0)</f>
        <v>0</v>
      </c>
      <c r="BH28" s="251">
        <f>IF(F28=1,BC28,0)</f>
        <v>0</v>
      </c>
      <c r="BI28" s="251">
        <f>IF(G28=1,BC28,0)</f>
        <v>0</v>
      </c>
      <c r="BJ28" s="251">
        <f>IF(H28=1,BC28,0)</f>
        <v>0</v>
      </c>
      <c r="BK28" s="251">
        <f>IF(I28=1,BC28,0)</f>
        <v>0</v>
      </c>
      <c r="BL28" s="251">
        <f>IF(J28=1,BC28,0)</f>
        <v>172232</v>
      </c>
      <c r="BM28" s="251">
        <f>IF(K28=1,BC28,0)</f>
        <v>0</v>
      </c>
    </row>
    <row r="29" spans="1:65" s="287" customFormat="1" x14ac:dyDescent="0.25">
      <c r="A29" s="276"/>
      <c r="B29" s="288" t="s">
        <v>214</v>
      </c>
      <c r="C29" s="278">
        <v>1</v>
      </c>
      <c r="D29" s="279"/>
      <c r="E29" s="279"/>
      <c r="F29" s="279"/>
      <c r="G29" s="279"/>
      <c r="H29" s="279"/>
      <c r="I29" s="279"/>
      <c r="J29" s="279">
        <v>1</v>
      </c>
      <c r="K29" s="279"/>
      <c r="L29" s="277"/>
      <c r="M29" s="280">
        <f t="shared" ref="M29:M42" si="6">C$22</f>
        <v>3028</v>
      </c>
      <c r="N29" s="281">
        <v>2</v>
      </c>
      <c r="O29" s="282">
        <f>O28*80%</f>
        <v>3.6</v>
      </c>
      <c r="P29" s="282">
        <f t="shared" si="0"/>
        <v>1.58</v>
      </c>
      <c r="Q29" s="282"/>
      <c r="R29" s="283">
        <f>$R$28</f>
        <v>495</v>
      </c>
      <c r="S29" s="280">
        <f>T29/(R29/4)</f>
        <v>278.35959595959594</v>
      </c>
      <c r="T29" s="425">
        <f t="shared" si="1"/>
        <v>34447</v>
      </c>
      <c r="U29" s="284">
        <f t="shared" ref="U29:U43" si="7">T29*C29*3</f>
        <v>103341</v>
      </c>
      <c r="V29" s="277">
        <v>30</v>
      </c>
      <c r="W29" s="285"/>
      <c r="X29" s="285">
        <f>U29*V29%</f>
        <v>31002.3</v>
      </c>
      <c r="Y29" s="277"/>
      <c r="Z29" s="277"/>
      <c r="AA29" s="277"/>
      <c r="AB29" s="277"/>
      <c r="AC29" s="277"/>
      <c r="AD29" s="277"/>
      <c r="AE29" s="277"/>
      <c r="AF29" s="277"/>
      <c r="AG29" s="277"/>
      <c r="AH29" s="277"/>
      <c r="AI29" s="277"/>
      <c r="AJ29" s="277"/>
      <c r="AK29" s="277">
        <v>7</v>
      </c>
      <c r="AL29" s="277"/>
      <c r="AM29" s="285">
        <f>T29*AK29%*3</f>
        <v>7233.8700000000008</v>
      </c>
      <c r="AN29" s="277"/>
      <c r="AO29" s="277"/>
      <c r="AP29" s="277"/>
      <c r="AQ29" s="284">
        <f>X29+AA29+AD29+AG29+AJ29+AM29+AP29</f>
        <v>38236.17</v>
      </c>
      <c r="AR29" s="277">
        <v>20</v>
      </c>
      <c r="AS29" s="277">
        <f t="shared" si="3"/>
        <v>20668.2</v>
      </c>
      <c r="AT29" s="283">
        <f t="shared" ref="AT29:AT43" si="8">(U29)*AR29%</f>
        <v>20668.2</v>
      </c>
      <c r="AU29" s="277"/>
      <c r="AV29" s="277">
        <v>100</v>
      </c>
      <c r="AW29" s="277">
        <f t="shared" ref="AW29:AW43" si="9">AU29*T29</f>
        <v>0</v>
      </c>
      <c r="AX29" s="277"/>
      <c r="AY29" s="277"/>
      <c r="AZ29" s="283"/>
      <c r="BA29" s="284">
        <f t="shared" ref="BA29:BA43" si="10">AT29+AW29+AZ29</f>
        <v>20668.2</v>
      </c>
      <c r="BB29" s="284">
        <f t="shared" si="4"/>
        <v>162245.37</v>
      </c>
      <c r="BC29" s="284">
        <f t="shared" si="5"/>
        <v>162245.37</v>
      </c>
      <c r="BD29" s="286">
        <f t="shared" ref="BD29:BD45" si="11">BC29/C29/3</f>
        <v>54081.79</v>
      </c>
      <c r="BE29" s="286"/>
      <c r="BF29" s="251">
        <f>IF(D29=1,BC29,0)</f>
        <v>0</v>
      </c>
      <c r="BG29" s="251">
        <f>IF(E29=1,BC29,0)</f>
        <v>0</v>
      </c>
      <c r="BH29" s="251">
        <f>IF(F29=1,BC29,0)</f>
        <v>0</v>
      </c>
      <c r="BI29" s="251">
        <f>IF(G29=1,BC29,0)</f>
        <v>0</v>
      </c>
      <c r="BJ29" s="251">
        <f>IF(H29=1,BC29,0)</f>
        <v>0</v>
      </c>
      <c r="BK29" s="251">
        <f>IF(I29=1,BC29,0)</f>
        <v>0</v>
      </c>
      <c r="BL29" s="251">
        <f>IF(J29=1,BC29,0)</f>
        <v>162245.37</v>
      </c>
      <c r="BM29" s="251">
        <f>IF(K29=1,BC29,0)</f>
        <v>0</v>
      </c>
    </row>
    <row r="30" spans="1:65" s="287" customFormat="1" x14ac:dyDescent="0.25">
      <c r="A30" s="276"/>
      <c r="B30" s="288" t="s">
        <v>215</v>
      </c>
      <c r="C30" s="278">
        <v>1</v>
      </c>
      <c r="D30" s="279"/>
      <c r="E30" s="279"/>
      <c r="F30" s="279"/>
      <c r="G30" s="279"/>
      <c r="H30" s="279"/>
      <c r="I30" s="279"/>
      <c r="J30" s="279">
        <v>1</v>
      </c>
      <c r="K30" s="279"/>
      <c r="L30" s="277"/>
      <c r="M30" s="280">
        <f t="shared" si="6"/>
        <v>3028</v>
      </c>
      <c r="N30" s="281">
        <f>N$29</f>
        <v>2</v>
      </c>
      <c r="O30" s="282">
        <v>3.38</v>
      </c>
      <c r="P30" s="282">
        <f t="shared" si="0"/>
        <v>1.58</v>
      </c>
      <c r="Q30" s="282"/>
      <c r="R30" s="283">
        <f>$R$28</f>
        <v>495</v>
      </c>
      <c r="S30" s="280">
        <f>T30/(R30/4)</f>
        <v>261.34141414141413</v>
      </c>
      <c r="T30" s="425">
        <f t="shared" si="1"/>
        <v>32341</v>
      </c>
      <c r="U30" s="284">
        <f>T30*C30*3</f>
        <v>97023</v>
      </c>
      <c r="V30" s="277">
        <v>30</v>
      </c>
      <c r="W30" s="285"/>
      <c r="X30" s="285">
        <f>U30*V30%</f>
        <v>29106.899999999998</v>
      </c>
      <c r="Y30" s="277"/>
      <c r="Z30" s="277"/>
      <c r="AA30" s="277"/>
      <c r="AB30" s="277"/>
      <c r="AC30" s="277"/>
      <c r="AD30" s="277"/>
      <c r="AE30" s="277"/>
      <c r="AF30" s="277"/>
      <c r="AG30" s="277"/>
      <c r="AH30" s="277"/>
      <c r="AI30" s="277"/>
      <c r="AJ30" s="277"/>
      <c r="AK30" s="277">
        <v>7</v>
      </c>
      <c r="AL30" s="277"/>
      <c r="AM30" s="285">
        <f>T30*AK30%*3</f>
        <v>6791.6100000000006</v>
      </c>
      <c r="AN30" s="277"/>
      <c r="AO30" s="277"/>
      <c r="AP30" s="277"/>
      <c r="AQ30" s="284">
        <f>X30+AA30+AD30+AG30+AJ30+AM30+AP30</f>
        <v>35898.509999999995</v>
      </c>
      <c r="AR30" s="277">
        <v>20</v>
      </c>
      <c r="AS30" s="277">
        <f>AT30/C30</f>
        <v>19404.600000000002</v>
      </c>
      <c r="AT30" s="283">
        <f>(U30)*AR30%</f>
        <v>19404.600000000002</v>
      </c>
      <c r="AU30" s="277"/>
      <c r="AV30" s="277">
        <v>100</v>
      </c>
      <c r="AW30" s="277">
        <f>AU30*T30</f>
        <v>0</v>
      </c>
      <c r="AX30" s="277"/>
      <c r="AY30" s="277"/>
      <c r="AZ30" s="283"/>
      <c r="BA30" s="284">
        <f>AT30+AW30+AZ30</f>
        <v>19404.600000000002</v>
      </c>
      <c r="BB30" s="284">
        <f>BC30/C30</f>
        <v>152326.10999999999</v>
      </c>
      <c r="BC30" s="284">
        <f>BA30+AQ30+U30</f>
        <v>152326.10999999999</v>
      </c>
      <c r="BD30" s="286">
        <f>BC30/C30/3</f>
        <v>50775.369999999995</v>
      </c>
      <c r="BE30" s="286"/>
      <c r="BF30" s="251">
        <f>IF(D30=1,BC30,0)</f>
        <v>0</v>
      </c>
      <c r="BG30" s="251">
        <f>IF(E30=1,BC30,0)</f>
        <v>0</v>
      </c>
      <c r="BH30" s="251">
        <f>IF(F30=1,BC30,0)</f>
        <v>0</v>
      </c>
      <c r="BI30" s="251">
        <f>IF(G30=1,BC30,0)</f>
        <v>0</v>
      </c>
      <c r="BJ30" s="251">
        <f>IF(H30=1,BC30,0)</f>
        <v>0</v>
      </c>
      <c r="BK30" s="251">
        <f>IF(I30=1,BC30,0)</f>
        <v>0</v>
      </c>
      <c r="BL30" s="251">
        <f>IF(J30=1,BC30,0)</f>
        <v>152326.10999999999</v>
      </c>
      <c r="BM30" s="251">
        <f>IF(K30=1,BC30,0)</f>
        <v>0</v>
      </c>
    </row>
    <row r="31" spans="1:65" s="287" customFormat="1" x14ac:dyDescent="0.25">
      <c r="A31" s="276"/>
      <c r="B31" s="288" t="s">
        <v>216</v>
      </c>
      <c r="C31" s="278">
        <v>1</v>
      </c>
      <c r="D31" s="279"/>
      <c r="E31" s="279"/>
      <c r="F31" s="279"/>
      <c r="G31" s="279"/>
      <c r="H31" s="279"/>
      <c r="I31" s="279"/>
      <c r="J31" s="279">
        <v>1</v>
      </c>
      <c r="K31" s="279"/>
      <c r="L31" s="277"/>
      <c r="M31" s="280">
        <f t="shared" si="6"/>
        <v>3028</v>
      </c>
      <c r="N31" s="281">
        <f t="shared" ref="N31:N43" si="12">N$29</f>
        <v>2</v>
      </c>
      <c r="O31" s="282">
        <v>3.38</v>
      </c>
      <c r="P31" s="282">
        <f t="shared" si="0"/>
        <v>1.58</v>
      </c>
      <c r="Q31" s="282"/>
      <c r="R31" s="283">
        <f t="shared" ref="R31:R43" si="13">$R$28</f>
        <v>495</v>
      </c>
      <c r="S31" s="280">
        <f>T31/(R31/4)</f>
        <v>261.34141414141413</v>
      </c>
      <c r="T31" s="425">
        <f t="shared" si="1"/>
        <v>32341</v>
      </c>
      <c r="U31" s="284">
        <f t="shared" si="7"/>
        <v>97023</v>
      </c>
      <c r="V31" s="277">
        <v>30</v>
      </c>
      <c r="W31" s="285"/>
      <c r="X31" s="285">
        <f>U31*V31%</f>
        <v>29106.899999999998</v>
      </c>
      <c r="Y31" s="277"/>
      <c r="Z31" s="277"/>
      <c r="AA31" s="277"/>
      <c r="AB31" s="277"/>
      <c r="AC31" s="277"/>
      <c r="AD31" s="277"/>
      <c r="AE31" s="277"/>
      <c r="AF31" s="277"/>
      <c r="AG31" s="277"/>
      <c r="AH31" s="277"/>
      <c r="AI31" s="277"/>
      <c r="AJ31" s="277"/>
      <c r="AK31" s="277">
        <v>15</v>
      </c>
      <c r="AL31" s="277"/>
      <c r="AM31" s="285">
        <f t="shared" si="2"/>
        <v>14553.449999999999</v>
      </c>
      <c r="AN31" s="277"/>
      <c r="AO31" s="277"/>
      <c r="AP31" s="277"/>
      <c r="AQ31" s="284">
        <f>X31+AA31+AD31+AG31+AJ31+AM31+AP31</f>
        <v>43660.35</v>
      </c>
      <c r="AR31" s="277">
        <f>AR$29</f>
        <v>20</v>
      </c>
      <c r="AS31" s="277">
        <f t="shared" si="3"/>
        <v>19404.600000000002</v>
      </c>
      <c r="AT31" s="283">
        <f t="shared" si="8"/>
        <v>19404.600000000002</v>
      </c>
      <c r="AU31" s="277"/>
      <c r="AV31" s="277">
        <v>100</v>
      </c>
      <c r="AW31" s="277">
        <f t="shared" si="9"/>
        <v>0</v>
      </c>
      <c r="AX31" s="277"/>
      <c r="AY31" s="277"/>
      <c r="AZ31" s="283"/>
      <c r="BA31" s="284">
        <f t="shared" si="10"/>
        <v>19404.600000000002</v>
      </c>
      <c r="BB31" s="284">
        <f t="shared" si="4"/>
        <v>160087.95000000001</v>
      </c>
      <c r="BC31" s="284">
        <f t="shared" si="5"/>
        <v>160087.95000000001</v>
      </c>
      <c r="BD31" s="286">
        <f t="shared" si="11"/>
        <v>53362.65</v>
      </c>
      <c r="BE31" s="286"/>
      <c r="BF31" s="251">
        <f t="shared" ref="BF31:BF43" si="14">IF(D31=1,BC31,0)</f>
        <v>0</v>
      </c>
      <c r="BG31" s="251">
        <f t="shared" ref="BG31:BG43" si="15">IF(E31=1,BC31,0)</f>
        <v>0</v>
      </c>
      <c r="BH31" s="251">
        <f t="shared" ref="BH31:BH43" si="16">IF(F31=1,BC31,0)</f>
        <v>0</v>
      </c>
      <c r="BI31" s="251">
        <f t="shared" ref="BI31:BI43" si="17">IF(G31=1,BC31,0)</f>
        <v>0</v>
      </c>
      <c r="BJ31" s="251">
        <f t="shared" ref="BJ31:BJ43" si="18">IF(H31=1,BC31,0)</f>
        <v>0</v>
      </c>
      <c r="BK31" s="251">
        <f t="shared" ref="BK31:BK43" si="19">IF(I31=1,BC31,0)</f>
        <v>0</v>
      </c>
      <c r="BL31" s="251">
        <f t="shared" ref="BL31:BL43" si="20">IF(J31=1,BC31,0)</f>
        <v>160087.95000000001</v>
      </c>
      <c r="BM31" s="251">
        <f t="shared" ref="BM31:BM43" si="21">IF(K31=1,BC31,0)</f>
        <v>0</v>
      </c>
    </row>
    <row r="32" spans="1:65" s="287" customFormat="1" x14ac:dyDescent="0.25">
      <c r="A32" s="276"/>
      <c r="B32" s="288" t="s">
        <v>217</v>
      </c>
      <c r="C32" s="278">
        <v>4</v>
      </c>
      <c r="D32" s="279"/>
      <c r="E32" s="279"/>
      <c r="F32" s="279"/>
      <c r="G32" s="279"/>
      <c r="H32" s="279"/>
      <c r="I32" s="279"/>
      <c r="J32" s="279">
        <v>1</v>
      </c>
      <c r="K32" s="279"/>
      <c r="L32" s="277"/>
      <c r="M32" s="280">
        <f t="shared" si="6"/>
        <v>3028</v>
      </c>
      <c r="N32" s="281">
        <f t="shared" si="12"/>
        <v>2</v>
      </c>
      <c r="O32" s="282">
        <v>2</v>
      </c>
      <c r="P32" s="282">
        <f t="shared" si="0"/>
        <v>1.58</v>
      </c>
      <c r="Q32" s="282"/>
      <c r="R32" s="283">
        <f t="shared" si="13"/>
        <v>495</v>
      </c>
      <c r="S32" s="280">
        <f>T32/(R32/4)</f>
        <v>154.64242424242425</v>
      </c>
      <c r="T32" s="425">
        <f t="shared" si="1"/>
        <v>19137</v>
      </c>
      <c r="U32" s="284">
        <f>T32*C32*3</f>
        <v>229644</v>
      </c>
      <c r="V32" s="277">
        <v>20</v>
      </c>
      <c r="W32" s="285"/>
      <c r="X32" s="285">
        <f>U32*V32%</f>
        <v>45928.800000000003</v>
      </c>
      <c r="Y32" s="277"/>
      <c r="Z32" s="277"/>
      <c r="AA32" s="277"/>
      <c r="AB32" s="277"/>
      <c r="AC32" s="277"/>
      <c r="AD32" s="277"/>
      <c r="AE32" s="277"/>
      <c r="AF32" s="277"/>
      <c r="AG32" s="277"/>
      <c r="AH32" s="277"/>
      <c r="AI32" s="277"/>
      <c r="AJ32" s="277"/>
      <c r="AK32" s="277">
        <f>(7)/1</f>
        <v>7</v>
      </c>
      <c r="AL32" s="277"/>
      <c r="AM32" s="285">
        <f>1*T32*AK32%*3</f>
        <v>4018.7700000000004</v>
      </c>
      <c r="AN32" s="277"/>
      <c r="AO32" s="277"/>
      <c r="AP32" s="277"/>
      <c r="AQ32" s="284">
        <f>X32+AA32+AD32+AG32+AJ32+AM32+AP32</f>
        <v>49947.570000000007</v>
      </c>
      <c r="AR32" s="277">
        <f t="shared" ref="AR32:AR43" si="22">AR$29</f>
        <v>20</v>
      </c>
      <c r="AS32" s="277">
        <f>AT32/C32</f>
        <v>11482.2</v>
      </c>
      <c r="AT32" s="283">
        <f>(U32)*AR32%</f>
        <v>45928.800000000003</v>
      </c>
      <c r="AU32" s="277">
        <v>1</v>
      </c>
      <c r="AV32" s="277">
        <v>100</v>
      </c>
      <c r="AW32" s="277">
        <f>AU32*T32</f>
        <v>19137</v>
      </c>
      <c r="AX32" s="277"/>
      <c r="AY32" s="277"/>
      <c r="AZ32" s="283"/>
      <c r="BA32" s="284">
        <f>AT32+AW32+AZ32</f>
        <v>65065.8</v>
      </c>
      <c r="BB32" s="284">
        <f>BC32/C32</f>
        <v>86164.342499999999</v>
      </c>
      <c r="BC32" s="284">
        <f>BA32+AQ32+U32</f>
        <v>344657.37</v>
      </c>
      <c r="BD32" s="286">
        <f>BC32/C32/3</f>
        <v>28721.447499999998</v>
      </c>
      <c r="BE32" s="286"/>
      <c r="BF32" s="251">
        <f>IF(D32=1,BC32,0)</f>
        <v>0</v>
      </c>
      <c r="BG32" s="251">
        <f>IF(E32=1,BC32,0)</f>
        <v>0</v>
      </c>
      <c r="BH32" s="251">
        <f>IF(F32=1,BC32,0)</f>
        <v>0</v>
      </c>
      <c r="BI32" s="251">
        <f>IF(G32=1,BC32,0)</f>
        <v>0</v>
      </c>
      <c r="BJ32" s="251">
        <f>IF(H32=1,BC32,0)</f>
        <v>0</v>
      </c>
      <c r="BK32" s="251">
        <f>IF(I32=1,BC32,0)</f>
        <v>0</v>
      </c>
      <c r="BL32" s="251">
        <f>IF(J32=1,BC32,0)</f>
        <v>344657.37</v>
      </c>
      <c r="BM32" s="251">
        <f>IF(K32=1,BC32,0)</f>
        <v>0</v>
      </c>
    </row>
    <row r="33" spans="1:68" s="287" customFormat="1" x14ac:dyDescent="0.25">
      <c r="A33" s="276"/>
      <c r="B33" s="288" t="s">
        <v>218</v>
      </c>
      <c r="C33" s="278">
        <v>1</v>
      </c>
      <c r="D33" s="279"/>
      <c r="E33" s="279"/>
      <c r="F33" s="279"/>
      <c r="G33" s="279"/>
      <c r="H33" s="279"/>
      <c r="I33" s="279"/>
      <c r="J33" s="279">
        <v>1</v>
      </c>
      <c r="K33" s="279"/>
      <c r="L33" s="277"/>
      <c r="M33" s="280">
        <f t="shared" si="6"/>
        <v>3028</v>
      </c>
      <c r="N33" s="281">
        <f t="shared" si="12"/>
        <v>2</v>
      </c>
      <c r="O33" s="282">
        <v>3.15</v>
      </c>
      <c r="P33" s="282">
        <f t="shared" si="0"/>
        <v>1.58</v>
      </c>
      <c r="Q33" s="282"/>
      <c r="R33" s="283">
        <f t="shared" si="13"/>
        <v>495</v>
      </c>
      <c r="S33" s="280">
        <f t="shared" ref="S33:S42" si="23">T33/(R33/4)</f>
        <v>243.56363636363636</v>
      </c>
      <c r="T33" s="425">
        <f t="shared" si="1"/>
        <v>30141</v>
      </c>
      <c r="U33" s="284">
        <f t="shared" si="7"/>
        <v>90423</v>
      </c>
      <c r="V33" s="277">
        <v>30</v>
      </c>
      <c r="W33" s="285"/>
      <c r="X33" s="285">
        <f t="shared" ref="X33:X42" si="24">U33*V33%</f>
        <v>27126.899999999998</v>
      </c>
      <c r="Y33" s="277"/>
      <c r="Z33" s="277"/>
      <c r="AA33" s="277"/>
      <c r="AB33" s="277"/>
      <c r="AC33" s="277"/>
      <c r="AD33" s="277"/>
      <c r="AE33" s="277"/>
      <c r="AF33" s="277"/>
      <c r="AG33" s="277"/>
      <c r="AH33" s="277"/>
      <c r="AI33" s="277"/>
      <c r="AJ33" s="277"/>
      <c r="AK33" s="277">
        <v>20</v>
      </c>
      <c r="AL33" s="277"/>
      <c r="AM33" s="285">
        <f>T33*AK33%*3</f>
        <v>18084.600000000002</v>
      </c>
      <c r="AN33" s="277"/>
      <c r="AO33" s="277"/>
      <c r="AP33" s="277"/>
      <c r="AQ33" s="284">
        <f t="shared" ref="AQ33:AQ44" si="25">X33+AA33+AD33+AG33+AJ33+AM33+AP33</f>
        <v>45211.5</v>
      </c>
      <c r="AR33" s="277">
        <f t="shared" si="22"/>
        <v>20</v>
      </c>
      <c r="AS33" s="277">
        <f t="shared" si="3"/>
        <v>18084.600000000002</v>
      </c>
      <c r="AT33" s="283">
        <f t="shared" si="8"/>
        <v>18084.600000000002</v>
      </c>
      <c r="AU33" s="277"/>
      <c r="AV33" s="277">
        <v>100</v>
      </c>
      <c r="AW33" s="277">
        <f t="shared" si="9"/>
        <v>0</v>
      </c>
      <c r="AX33" s="277"/>
      <c r="AY33" s="277"/>
      <c r="AZ33" s="283"/>
      <c r="BA33" s="284">
        <f t="shared" si="10"/>
        <v>18084.600000000002</v>
      </c>
      <c r="BB33" s="284">
        <f t="shared" si="4"/>
        <v>153719.1</v>
      </c>
      <c r="BC33" s="284">
        <f t="shared" si="5"/>
        <v>153719.1</v>
      </c>
      <c r="BD33" s="286">
        <f t="shared" si="11"/>
        <v>51239.700000000004</v>
      </c>
      <c r="BE33" s="286"/>
      <c r="BF33" s="251">
        <f t="shared" si="14"/>
        <v>0</v>
      </c>
      <c r="BG33" s="251">
        <f t="shared" si="15"/>
        <v>0</v>
      </c>
      <c r="BH33" s="251">
        <f t="shared" si="16"/>
        <v>0</v>
      </c>
      <c r="BI33" s="251">
        <f t="shared" si="17"/>
        <v>0</v>
      </c>
      <c r="BJ33" s="251">
        <f t="shared" si="18"/>
        <v>0</v>
      </c>
      <c r="BK33" s="251">
        <f t="shared" si="19"/>
        <v>0</v>
      </c>
      <c r="BL33" s="251">
        <f t="shared" si="20"/>
        <v>153719.1</v>
      </c>
      <c r="BM33" s="251">
        <f t="shared" si="21"/>
        <v>0</v>
      </c>
    </row>
    <row r="34" spans="1:68" s="301" customFormat="1" x14ac:dyDescent="0.25">
      <c r="A34" s="289"/>
      <c r="B34" s="290" t="s">
        <v>219</v>
      </c>
      <c r="C34" s="291">
        <v>1</v>
      </c>
      <c r="D34" s="292"/>
      <c r="E34" s="292"/>
      <c r="F34" s="292"/>
      <c r="G34" s="292"/>
      <c r="H34" s="292"/>
      <c r="I34" s="292"/>
      <c r="J34" s="292">
        <v>1</v>
      </c>
      <c r="K34" s="292"/>
      <c r="L34" s="293"/>
      <c r="M34" s="294">
        <f>M$35</f>
        <v>3028</v>
      </c>
      <c r="N34" s="281">
        <f t="shared" si="12"/>
        <v>2</v>
      </c>
      <c r="O34" s="295">
        <v>2.2000000000000002</v>
      </c>
      <c r="P34" s="295">
        <f t="shared" si="0"/>
        <v>1.58</v>
      </c>
      <c r="Q34" s="295"/>
      <c r="R34" s="296">
        <f t="shared" si="13"/>
        <v>495</v>
      </c>
      <c r="S34" s="294">
        <f t="shared" si="23"/>
        <v>170.1090909090909</v>
      </c>
      <c r="T34" s="291">
        <f t="shared" si="1"/>
        <v>21051</v>
      </c>
      <c r="U34" s="297">
        <f t="shared" si="7"/>
        <v>63153</v>
      </c>
      <c r="V34" s="293">
        <v>20</v>
      </c>
      <c r="W34" s="298"/>
      <c r="X34" s="298">
        <f t="shared" si="24"/>
        <v>12630.6</v>
      </c>
      <c r="Y34" s="293"/>
      <c r="Z34" s="293"/>
      <c r="AA34" s="293"/>
      <c r="AB34" s="293"/>
      <c r="AC34" s="293"/>
      <c r="AD34" s="293"/>
      <c r="AE34" s="293"/>
      <c r="AF34" s="293"/>
      <c r="AG34" s="293"/>
      <c r="AH34" s="293"/>
      <c r="AI34" s="293"/>
      <c r="AJ34" s="293"/>
      <c r="AK34" s="277">
        <v>7</v>
      </c>
      <c r="AL34" s="293"/>
      <c r="AM34" s="285">
        <f>T34*AK34%*3</f>
        <v>4420.7100000000009</v>
      </c>
      <c r="AN34" s="293"/>
      <c r="AO34" s="293"/>
      <c r="AP34" s="293"/>
      <c r="AQ34" s="297">
        <f t="shared" si="25"/>
        <v>17051.310000000001</v>
      </c>
      <c r="AR34" s="293">
        <f t="shared" si="22"/>
        <v>20</v>
      </c>
      <c r="AS34" s="298">
        <f t="shared" si="3"/>
        <v>12630.6</v>
      </c>
      <c r="AT34" s="294">
        <f t="shared" si="8"/>
        <v>12630.6</v>
      </c>
      <c r="AU34" s="293"/>
      <c r="AV34" s="293">
        <v>100</v>
      </c>
      <c r="AW34" s="293">
        <f t="shared" si="9"/>
        <v>0</v>
      </c>
      <c r="AX34" s="293"/>
      <c r="AY34" s="298"/>
      <c r="AZ34" s="294"/>
      <c r="BA34" s="297">
        <f t="shared" si="10"/>
        <v>12630.6</v>
      </c>
      <c r="BB34" s="297">
        <f t="shared" si="4"/>
        <v>92834.91</v>
      </c>
      <c r="BC34" s="297">
        <f t="shared" si="5"/>
        <v>92834.91</v>
      </c>
      <c r="BD34" s="299">
        <f t="shared" si="11"/>
        <v>30944.97</v>
      </c>
      <c r="BE34" s="299"/>
      <c r="BF34" s="300">
        <f t="shared" si="14"/>
        <v>0</v>
      </c>
      <c r="BG34" s="300">
        <f t="shared" si="15"/>
        <v>0</v>
      </c>
      <c r="BH34" s="300">
        <f t="shared" si="16"/>
        <v>0</v>
      </c>
      <c r="BI34" s="300">
        <f t="shared" si="17"/>
        <v>0</v>
      </c>
      <c r="BJ34" s="300">
        <f t="shared" si="18"/>
        <v>0</v>
      </c>
      <c r="BK34" s="300">
        <f t="shared" si="19"/>
        <v>0</v>
      </c>
      <c r="BL34" s="300">
        <f t="shared" si="20"/>
        <v>92834.91</v>
      </c>
      <c r="BM34" s="300">
        <f t="shared" si="21"/>
        <v>0</v>
      </c>
    </row>
    <row r="35" spans="1:68" s="287" customFormat="1" x14ac:dyDescent="0.25">
      <c r="A35" s="276"/>
      <c r="B35" s="288" t="s">
        <v>220</v>
      </c>
      <c r="C35" s="278">
        <v>1</v>
      </c>
      <c r="D35" s="279"/>
      <c r="E35" s="279"/>
      <c r="F35" s="279"/>
      <c r="G35" s="279"/>
      <c r="H35" s="279"/>
      <c r="I35" s="279"/>
      <c r="J35" s="279">
        <v>1</v>
      </c>
      <c r="K35" s="279"/>
      <c r="L35" s="277"/>
      <c r="M35" s="280">
        <f t="shared" si="6"/>
        <v>3028</v>
      </c>
      <c r="N35" s="281">
        <f t="shared" si="12"/>
        <v>2</v>
      </c>
      <c r="O35" s="282">
        <v>2.8</v>
      </c>
      <c r="P35" s="282">
        <f t="shared" si="0"/>
        <v>1.58</v>
      </c>
      <c r="Q35" s="282"/>
      <c r="R35" s="283">
        <f t="shared" si="13"/>
        <v>495</v>
      </c>
      <c r="S35" s="280">
        <f t="shared" si="23"/>
        <v>216.50101010101011</v>
      </c>
      <c r="T35" s="425">
        <f t="shared" si="1"/>
        <v>26792</v>
      </c>
      <c r="U35" s="284">
        <f t="shared" si="7"/>
        <v>80376</v>
      </c>
      <c r="V35" s="277">
        <v>20</v>
      </c>
      <c r="W35" s="285"/>
      <c r="X35" s="285">
        <f t="shared" si="24"/>
        <v>16075.2</v>
      </c>
      <c r="Y35" s="277"/>
      <c r="Z35" s="277"/>
      <c r="AA35" s="277"/>
      <c r="AB35" s="277"/>
      <c r="AC35" s="277"/>
      <c r="AD35" s="277"/>
      <c r="AE35" s="277"/>
      <c r="AF35" s="277"/>
      <c r="AG35" s="277"/>
      <c r="AH35" s="277"/>
      <c r="AI35" s="277"/>
      <c r="AJ35" s="277"/>
      <c r="AK35" s="277"/>
      <c r="AL35" s="277"/>
      <c r="AM35" s="285">
        <f t="shared" si="2"/>
        <v>0</v>
      </c>
      <c r="AN35" s="277"/>
      <c r="AO35" s="277"/>
      <c r="AP35" s="277"/>
      <c r="AQ35" s="284">
        <f t="shared" si="25"/>
        <v>16075.2</v>
      </c>
      <c r="AR35" s="277">
        <f t="shared" si="22"/>
        <v>20</v>
      </c>
      <c r="AS35" s="277"/>
      <c r="AT35" s="283">
        <f t="shared" si="8"/>
        <v>16075.2</v>
      </c>
      <c r="AU35" s="277"/>
      <c r="AV35" s="277">
        <v>100</v>
      </c>
      <c r="AW35" s="277"/>
      <c r="AX35" s="277"/>
      <c r="AY35" s="277"/>
      <c r="AZ35" s="283"/>
      <c r="BA35" s="284">
        <f>AT35+AW35+AZ35</f>
        <v>16075.2</v>
      </c>
      <c r="BB35" s="284">
        <f>BC35/C35</f>
        <v>112526.39999999999</v>
      </c>
      <c r="BC35" s="284">
        <f>BA35+AQ35+U35</f>
        <v>112526.39999999999</v>
      </c>
      <c r="BD35" s="286">
        <f t="shared" si="11"/>
        <v>37508.799999999996</v>
      </c>
      <c r="BE35" s="286"/>
      <c r="BF35" s="251"/>
      <c r="BG35" s="251"/>
      <c r="BH35" s="251"/>
      <c r="BI35" s="251"/>
      <c r="BJ35" s="251"/>
      <c r="BK35" s="251"/>
      <c r="BL35" s="251"/>
      <c r="BM35" s="251"/>
    </row>
    <row r="36" spans="1:68" s="287" customFormat="1" x14ac:dyDescent="0.25">
      <c r="A36" s="276"/>
      <c r="B36" s="288" t="s">
        <v>221</v>
      </c>
      <c r="C36" s="425">
        <f>1</f>
        <v>1</v>
      </c>
      <c r="D36" s="279"/>
      <c r="E36" s="279"/>
      <c r="F36" s="279"/>
      <c r="G36" s="279"/>
      <c r="H36" s="279"/>
      <c r="I36" s="279"/>
      <c r="J36" s="279">
        <v>1</v>
      </c>
      <c r="K36" s="279"/>
      <c r="L36" s="277"/>
      <c r="M36" s="280">
        <f t="shared" si="6"/>
        <v>3028</v>
      </c>
      <c r="N36" s="281">
        <f t="shared" si="12"/>
        <v>2</v>
      </c>
      <c r="O36" s="282">
        <v>2.2000000000000002</v>
      </c>
      <c r="P36" s="282">
        <f t="shared" si="0"/>
        <v>1.58</v>
      </c>
      <c r="Q36" s="282"/>
      <c r="R36" s="283">
        <f t="shared" si="13"/>
        <v>495</v>
      </c>
      <c r="S36" s="280">
        <f t="shared" si="23"/>
        <v>170.1090909090909</v>
      </c>
      <c r="T36" s="425">
        <f t="shared" si="1"/>
        <v>21051</v>
      </c>
      <c r="U36" s="284">
        <f t="shared" si="7"/>
        <v>63153</v>
      </c>
      <c r="V36" s="277">
        <v>20</v>
      </c>
      <c r="W36" s="285"/>
      <c r="X36" s="285">
        <f t="shared" si="24"/>
        <v>12630.6</v>
      </c>
      <c r="Y36" s="277"/>
      <c r="Z36" s="277"/>
      <c r="AA36" s="277"/>
      <c r="AB36" s="277"/>
      <c r="AC36" s="277"/>
      <c r="AD36" s="277"/>
      <c r="AE36" s="277"/>
      <c r="AF36" s="277"/>
      <c r="AG36" s="277"/>
      <c r="AH36" s="277"/>
      <c r="AI36" s="277"/>
      <c r="AJ36" s="277"/>
      <c r="AK36" s="277"/>
      <c r="AL36" s="277"/>
      <c r="AM36" s="285">
        <f t="shared" si="2"/>
        <v>0</v>
      </c>
      <c r="AN36" s="277"/>
      <c r="AO36" s="277"/>
      <c r="AP36" s="277"/>
      <c r="AQ36" s="284">
        <f t="shared" si="25"/>
        <v>12630.6</v>
      </c>
      <c r="AR36" s="277">
        <f t="shared" si="22"/>
        <v>20</v>
      </c>
      <c r="AS36" s="285">
        <f t="shared" si="3"/>
        <v>12630.6</v>
      </c>
      <c r="AT36" s="280">
        <f t="shared" si="8"/>
        <v>12630.6</v>
      </c>
      <c r="AU36" s="277"/>
      <c r="AV36" s="277">
        <v>100</v>
      </c>
      <c r="AW36" s="277">
        <f>AU36*T36</f>
        <v>0</v>
      </c>
      <c r="AX36" s="277"/>
      <c r="AY36" s="285"/>
      <c r="AZ36" s="280"/>
      <c r="BA36" s="284">
        <f t="shared" si="10"/>
        <v>12630.6</v>
      </c>
      <c r="BB36" s="284">
        <f t="shared" si="4"/>
        <v>88414.2</v>
      </c>
      <c r="BC36" s="284">
        <f t="shared" si="5"/>
        <v>88414.2</v>
      </c>
      <c r="BD36" s="286">
        <f t="shared" si="11"/>
        <v>29471.399999999998</v>
      </c>
      <c r="BE36" s="286"/>
      <c r="BF36" s="251">
        <f t="shared" si="14"/>
        <v>0</v>
      </c>
      <c r="BG36" s="251">
        <f t="shared" si="15"/>
        <v>0</v>
      </c>
      <c r="BH36" s="251">
        <f t="shared" si="16"/>
        <v>0</v>
      </c>
      <c r="BI36" s="251">
        <f t="shared" si="17"/>
        <v>0</v>
      </c>
      <c r="BJ36" s="251">
        <f t="shared" si="18"/>
        <v>0</v>
      </c>
      <c r="BK36" s="251">
        <f t="shared" si="19"/>
        <v>0</v>
      </c>
      <c r="BL36" s="251">
        <f t="shared" si="20"/>
        <v>88414.2</v>
      </c>
      <c r="BM36" s="251">
        <f t="shared" si="21"/>
        <v>0</v>
      </c>
    </row>
    <row r="37" spans="1:68" s="287" customFormat="1" x14ac:dyDescent="0.25">
      <c r="A37" s="276"/>
      <c r="B37" s="288" t="s">
        <v>222</v>
      </c>
      <c r="C37" s="425">
        <f>1</f>
        <v>1</v>
      </c>
      <c r="D37" s="279"/>
      <c r="E37" s="279"/>
      <c r="F37" s="279"/>
      <c r="G37" s="279"/>
      <c r="H37" s="279"/>
      <c r="I37" s="279"/>
      <c r="J37" s="279">
        <v>1</v>
      </c>
      <c r="K37" s="279"/>
      <c r="L37" s="277"/>
      <c r="M37" s="280">
        <f t="shared" si="6"/>
        <v>3028</v>
      </c>
      <c r="N37" s="281">
        <f t="shared" si="12"/>
        <v>2</v>
      </c>
      <c r="O37" s="282">
        <v>2.2000000000000002</v>
      </c>
      <c r="P37" s="282">
        <f t="shared" si="0"/>
        <v>1.58</v>
      </c>
      <c r="Q37" s="282"/>
      <c r="R37" s="283">
        <f t="shared" si="13"/>
        <v>495</v>
      </c>
      <c r="S37" s="280">
        <f>T37/(R37/4)</f>
        <v>170.1090909090909</v>
      </c>
      <c r="T37" s="425">
        <f>ROUND(M37*N37*O37*P37,0)</f>
        <v>21051</v>
      </c>
      <c r="U37" s="284">
        <f>T37*C37*3</f>
        <v>63153</v>
      </c>
      <c r="V37" s="277">
        <v>20</v>
      </c>
      <c r="W37" s="285"/>
      <c r="X37" s="285">
        <f>U37*V37%</f>
        <v>12630.6</v>
      </c>
      <c r="Y37" s="277"/>
      <c r="Z37" s="277"/>
      <c r="AA37" s="277"/>
      <c r="AB37" s="277"/>
      <c r="AC37" s="277"/>
      <c r="AD37" s="277"/>
      <c r="AE37" s="277"/>
      <c r="AF37" s="277"/>
      <c r="AG37" s="277"/>
      <c r="AH37" s="277"/>
      <c r="AI37" s="277"/>
      <c r="AJ37" s="277"/>
      <c r="AK37" s="277">
        <v>10</v>
      </c>
      <c r="AL37" s="277"/>
      <c r="AM37" s="285">
        <f>T37*AK37%*3</f>
        <v>6315.2999999999993</v>
      </c>
      <c r="AN37" s="277"/>
      <c r="AO37" s="277"/>
      <c r="AP37" s="277"/>
      <c r="AQ37" s="284">
        <f>X37+AA37+AD37+AG37+AJ37+AM37+AP37</f>
        <v>18945.900000000001</v>
      </c>
      <c r="AR37" s="277">
        <f t="shared" si="22"/>
        <v>20</v>
      </c>
      <c r="AS37" s="285">
        <f>AT37/C37</f>
        <v>12630.6</v>
      </c>
      <c r="AT37" s="280">
        <f>(U37)*AR37%</f>
        <v>12630.6</v>
      </c>
      <c r="AU37" s="277"/>
      <c r="AV37" s="277">
        <v>100</v>
      </c>
      <c r="AW37" s="277">
        <f>AU37*T37</f>
        <v>0</v>
      </c>
      <c r="AX37" s="277"/>
      <c r="AY37" s="285"/>
      <c r="AZ37" s="280"/>
      <c r="BA37" s="284">
        <f>AT37+AW37+AZ37</f>
        <v>12630.6</v>
      </c>
      <c r="BB37" s="284">
        <f>BC37/C37</f>
        <v>94729.5</v>
      </c>
      <c r="BC37" s="284">
        <f>BA37+AQ37+U37</f>
        <v>94729.5</v>
      </c>
      <c r="BD37" s="286">
        <f>BC37/C37/3</f>
        <v>31576.5</v>
      </c>
      <c r="BE37" s="286"/>
      <c r="BF37" s="251">
        <f>IF(D37=1,BC37,0)</f>
        <v>0</v>
      </c>
      <c r="BG37" s="251">
        <f>IF(E37=1,BC37,0)</f>
        <v>0</v>
      </c>
      <c r="BH37" s="251">
        <f>IF(F37=1,BC37,0)</f>
        <v>0</v>
      </c>
      <c r="BI37" s="251">
        <f>IF(G37=1,BC37,0)</f>
        <v>0</v>
      </c>
      <c r="BJ37" s="251">
        <f>IF(H37=1,BC37,0)</f>
        <v>0</v>
      </c>
      <c r="BK37" s="251">
        <f>IF(I37=1,BC37,0)</f>
        <v>0</v>
      </c>
      <c r="BL37" s="251">
        <f>IF(J37=1,BC37,0)</f>
        <v>94729.5</v>
      </c>
      <c r="BM37" s="251">
        <f>IF(K37=1,BC37,0)</f>
        <v>0</v>
      </c>
    </row>
    <row r="38" spans="1:68" s="287" customFormat="1" x14ac:dyDescent="0.25">
      <c r="A38" s="276"/>
      <c r="B38" s="288" t="s">
        <v>223</v>
      </c>
      <c r="C38" s="278">
        <v>1</v>
      </c>
      <c r="D38" s="279"/>
      <c r="E38" s="279"/>
      <c r="F38" s="279"/>
      <c r="G38" s="279"/>
      <c r="H38" s="279"/>
      <c r="I38" s="279"/>
      <c r="J38" s="279">
        <v>1</v>
      </c>
      <c r="K38" s="279"/>
      <c r="L38" s="277"/>
      <c r="M38" s="280">
        <f t="shared" si="6"/>
        <v>3028</v>
      </c>
      <c r="N38" s="281">
        <f t="shared" si="12"/>
        <v>2</v>
      </c>
      <c r="O38" s="282">
        <v>2.2000000000000002</v>
      </c>
      <c r="P38" s="282">
        <f t="shared" si="0"/>
        <v>1.58</v>
      </c>
      <c r="Q38" s="282"/>
      <c r="R38" s="283">
        <f t="shared" si="13"/>
        <v>495</v>
      </c>
      <c r="S38" s="280">
        <f t="shared" si="23"/>
        <v>170.1090909090909</v>
      </c>
      <c r="T38" s="425">
        <f t="shared" si="1"/>
        <v>21051</v>
      </c>
      <c r="U38" s="284">
        <f t="shared" si="7"/>
        <v>63153</v>
      </c>
      <c r="V38" s="277">
        <v>20</v>
      </c>
      <c r="W38" s="285"/>
      <c r="X38" s="285">
        <f t="shared" si="24"/>
        <v>12630.6</v>
      </c>
      <c r="Y38" s="277"/>
      <c r="Z38" s="277"/>
      <c r="AA38" s="277"/>
      <c r="AB38" s="277"/>
      <c r="AC38" s="277"/>
      <c r="AD38" s="277"/>
      <c r="AE38" s="277"/>
      <c r="AF38" s="277"/>
      <c r="AG38" s="277"/>
      <c r="AH38" s="277"/>
      <c r="AI38" s="277"/>
      <c r="AJ38" s="277"/>
      <c r="AK38" s="277">
        <v>7</v>
      </c>
      <c r="AL38" s="277"/>
      <c r="AM38" s="285">
        <f t="shared" si="2"/>
        <v>4420.7100000000009</v>
      </c>
      <c r="AN38" s="277"/>
      <c r="AO38" s="277"/>
      <c r="AP38" s="277"/>
      <c r="AQ38" s="284">
        <f t="shared" si="25"/>
        <v>17051.310000000001</v>
      </c>
      <c r="AR38" s="277">
        <f t="shared" si="22"/>
        <v>20</v>
      </c>
      <c r="AS38" s="277">
        <f t="shared" si="3"/>
        <v>12630.6</v>
      </c>
      <c r="AT38" s="283">
        <f t="shared" si="8"/>
        <v>12630.6</v>
      </c>
      <c r="AU38" s="277"/>
      <c r="AV38" s="277">
        <v>100</v>
      </c>
      <c r="AW38" s="277">
        <f t="shared" si="9"/>
        <v>0</v>
      </c>
      <c r="AX38" s="277"/>
      <c r="AY38" s="277"/>
      <c r="AZ38" s="283"/>
      <c r="BA38" s="284">
        <f t="shared" si="10"/>
        <v>12630.6</v>
      </c>
      <c r="BB38" s="284">
        <f t="shared" si="4"/>
        <v>92834.91</v>
      </c>
      <c r="BC38" s="284">
        <f t="shared" si="5"/>
        <v>92834.91</v>
      </c>
      <c r="BD38" s="286">
        <f t="shared" si="11"/>
        <v>30944.97</v>
      </c>
      <c r="BE38" s="286"/>
      <c r="BF38" s="251">
        <f t="shared" si="14"/>
        <v>0</v>
      </c>
      <c r="BG38" s="251">
        <f t="shared" si="15"/>
        <v>0</v>
      </c>
      <c r="BH38" s="251">
        <f t="shared" si="16"/>
        <v>0</v>
      </c>
      <c r="BI38" s="251">
        <f t="shared" si="17"/>
        <v>0</v>
      </c>
      <c r="BJ38" s="251">
        <f t="shared" si="18"/>
        <v>0</v>
      </c>
      <c r="BK38" s="251">
        <f t="shared" si="19"/>
        <v>0</v>
      </c>
      <c r="BL38" s="251">
        <f t="shared" si="20"/>
        <v>92834.91</v>
      </c>
      <c r="BM38" s="251">
        <f t="shared" si="21"/>
        <v>0</v>
      </c>
    </row>
    <row r="39" spans="1:68" s="287" customFormat="1" x14ac:dyDescent="0.25">
      <c r="A39" s="276"/>
      <c r="B39" s="288" t="s">
        <v>224</v>
      </c>
      <c r="C39" s="278">
        <v>1</v>
      </c>
      <c r="D39" s="279"/>
      <c r="E39" s="279"/>
      <c r="F39" s="279"/>
      <c r="G39" s="279"/>
      <c r="H39" s="279"/>
      <c r="I39" s="279"/>
      <c r="J39" s="279">
        <v>1</v>
      </c>
      <c r="K39" s="279"/>
      <c r="L39" s="277"/>
      <c r="M39" s="280">
        <f t="shared" si="6"/>
        <v>3028</v>
      </c>
      <c r="N39" s="281">
        <f t="shared" si="12"/>
        <v>2</v>
      </c>
      <c r="O39" s="282">
        <v>2</v>
      </c>
      <c r="P39" s="282">
        <f t="shared" si="0"/>
        <v>1.58</v>
      </c>
      <c r="Q39" s="282"/>
      <c r="R39" s="283">
        <f t="shared" si="13"/>
        <v>495</v>
      </c>
      <c r="S39" s="280">
        <f t="shared" si="23"/>
        <v>154.64242424242425</v>
      </c>
      <c r="T39" s="425">
        <f t="shared" si="1"/>
        <v>19137</v>
      </c>
      <c r="U39" s="284">
        <f t="shared" si="7"/>
        <v>57411</v>
      </c>
      <c r="V39" s="277">
        <v>20</v>
      </c>
      <c r="W39" s="285"/>
      <c r="X39" s="285">
        <f t="shared" si="24"/>
        <v>11482.2</v>
      </c>
      <c r="Y39" s="277"/>
      <c r="Z39" s="277"/>
      <c r="AA39" s="277"/>
      <c r="AB39" s="277"/>
      <c r="AC39" s="277"/>
      <c r="AD39" s="277"/>
      <c r="AE39" s="277"/>
      <c r="AF39" s="277"/>
      <c r="AG39" s="277"/>
      <c r="AH39" s="277"/>
      <c r="AI39" s="277"/>
      <c r="AJ39" s="277"/>
      <c r="AK39" s="277">
        <v>15</v>
      </c>
      <c r="AL39" s="277"/>
      <c r="AM39" s="285">
        <f>T39*AK39%*3</f>
        <v>8611.65</v>
      </c>
      <c r="AN39" s="277"/>
      <c r="AO39" s="277"/>
      <c r="AP39" s="277"/>
      <c r="AQ39" s="284">
        <f t="shared" si="25"/>
        <v>20093.849999999999</v>
      </c>
      <c r="AR39" s="277">
        <f t="shared" si="22"/>
        <v>20</v>
      </c>
      <c r="AS39" s="277">
        <f t="shared" si="3"/>
        <v>11482.2</v>
      </c>
      <c r="AT39" s="283">
        <f t="shared" si="8"/>
        <v>11482.2</v>
      </c>
      <c r="AU39" s="277">
        <v>1</v>
      </c>
      <c r="AV39" s="277">
        <v>100</v>
      </c>
      <c r="AW39" s="277">
        <f t="shared" si="9"/>
        <v>19137</v>
      </c>
      <c r="AX39" s="277"/>
      <c r="AY39" s="277"/>
      <c r="AZ39" s="283"/>
      <c r="BA39" s="284">
        <f t="shared" si="10"/>
        <v>30619.200000000001</v>
      </c>
      <c r="BB39" s="284">
        <f t="shared" si="4"/>
        <v>108124.05</v>
      </c>
      <c r="BC39" s="284">
        <f t="shared" si="5"/>
        <v>108124.05</v>
      </c>
      <c r="BD39" s="286">
        <f t="shared" si="11"/>
        <v>36041.35</v>
      </c>
      <c r="BE39" s="286"/>
      <c r="BF39" s="251">
        <f t="shared" si="14"/>
        <v>0</v>
      </c>
      <c r="BG39" s="251">
        <f t="shared" si="15"/>
        <v>0</v>
      </c>
      <c r="BH39" s="251">
        <f t="shared" si="16"/>
        <v>0</v>
      </c>
      <c r="BI39" s="251">
        <f t="shared" si="17"/>
        <v>0</v>
      </c>
      <c r="BJ39" s="251">
        <f t="shared" si="18"/>
        <v>0</v>
      </c>
      <c r="BK39" s="251">
        <f t="shared" si="19"/>
        <v>0</v>
      </c>
      <c r="BL39" s="251">
        <f t="shared" si="20"/>
        <v>108124.05</v>
      </c>
      <c r="BM39" s="251">
        <f t="shared" si="21"/>
        <v>0</v>
      </c>
    </row>
    <row r="40" spans="1:68" s="287" customFormat="1" x14ac:dyDescent="0.25">
      <c r="A40" s="276"/>
      <c r="B40" s="288" t="s">
        <v>225</v>
      </c>
      <c r="C40" s="278">
        <v>1</v>
      </c>
      <c r="D40" s="279"/>
      <c r="E40" s="279"/>
      <c r="F40" s="279"/>
      <c r="G40" s="279"/>
      <c r="H40" s="279"/>
      <c r="I40" s="279"/>
      <c r="J40" s="279">
        <v>1</v>
      </c>
      <c r="K40" s="279"/>
      <c r="L40" s="277"/>
      <c r="M40" s="280">
        <f t="shared" si="6"/>
        <v>3028</v>
      </c>
      <c r="N40" s="281">
        <f t="shared" si="12"/>
        <v>2</v>
      </c>
      <c r="O40" s="282">
        <v>1.26</v>
      </c>
      <c r="P40" s="282">
        <f t="shared" si="0"/>
        <v>1.58</v>
      </c>
      <c r="Q40" s="282"/>
      <c r="R40" s="283">
        <f t="shared" si="13"/>
        <v>495</v>
      </c>
      <c r="S40" s="280">
        <f t="shared" si="23"/>
        <v>97.422222222222217</v>
      </c>
      <c r="T40" s="425">
        <f t="shared" si="1"/>
        <v>12056</v>
      </c>
      <c r="U40" s="284">
        <f t="shared" si="7"/>
        <v>36168</v>
      </c>
      <c r="V40" s="277">
        <v>20</v>
      </c>
      <c r="W40" s="285"/>
      <c r="X40" s="285">
        <f t="shared" si="24"/>
        <v>7233.6</v>
      </c>
      <c r="Y40" s="277"/>
      <c r="Z40" s="277"/>
      <c r="AA40" s="277"/>
      <c r="AB40" s="277"/>
      <c r="AC40" s="277"/>
      <c r="AD40" s="277"/>
      <c r="AE40" s="277"/>
      <c r="AF40" s="277"/>
      <c r="AG40" s="277"/>
      <c r="AH40" s="277"/>
      <c r="AI40" s="277"/>
      <c r="AJ40" s="277"/>
      <c r="AK40" s="277"/>
      <c r="AL40" s="277"/>
      <c r="AM40" s="285">
        <f t="shared" si="2"/>
        <v>0</v>
      </c>
      <c r="AN40" s="277"/>
      <c r="AO40" s="277"/>
      <c r="AP40" s="277"/>
      <c r="AQ40" s="284">
        <f t="shared" si="25"/>
        <v>7233.6</v>
      </c>
      <c r="AR40" s="277">
        <f t="shared" si="22"/>
        <v>20</v>
      </c>
      <c r="AS40" s="277">
        <f t="shared" si="3"/>
        <v>7233.6</v>
      </c>
      <c r="AT40" s="283">
        <f t="shared" si="8"/>
        <v>7233.6</v>
      </c>
      <c r="AU40" s="277"/>
      <c r="AV40" s="277">
        <v>100</v>
      </c>
      <c r="AW40" s="277">
        <f t="shared" si="9"/>
        <v>0</v>
      </c>
      <c r="AX40" s="277"/>
      <c r="AY40" s="277"/>
      <c r="AZ40" s="283"/>
      <c r="BA40" s="284">
        <f t="shared" si="10"/>
        <v>7233.6</v>
      </c>
      <c r="BB40" s="284">
        <f t="shared" si="4"/>
        <v>50635.199999999997</v>
      </c>
      <c r="BC40" s="284">
        <f t="shared" si="5"/>
        <v>50635.199999999997</v>
      </c>
      <c r="BD40" s="286">
        <f t="shared" si="11"/>
        <v>16878.399999999998</v>
      </c>
      <c r="BE40" s="286"/>
      <c r="BF40" s="251">
        <f t="shared" si="14"/>
        <v>0</v>
      </c>
      <c r="BG40" s="251">
        <f t="shared" si="15"/>
        <v>0</v>
      </c>
      <c r="BH40" s="251">
        <f t="shared" si="16"/>
        <v>0</v>
      </c>
      <c r="BI40" s="251">
        <f t="shared" si="17"/>
        <v>0</v>
      </c>
      <c r="BJ40" s="251">
        <f t="shared" si="18"/>
        <v>0</v>
      </c>
      <c r="BK40" s="251">
        <f t="shared" si="19"/>
        <v>0</v>
      </c>
      <c r="BL40" s="251">
        <f t="shared" si="20"/>
        <v>50635.199999999997</v>
      </c>
      <c r="BM40" s="251">
        <f t="shared" si="21"/>
        <v>0</v>
      </c>
    </row>
    <row r="41" spans="1:68" s="287" customFormat="1" x14ac:dyDescent="0.25">
      <c r="A41" s="276"/>
      <c r="B41" s="288" t="s">
        <v>226</v>
      </c>
      <c r="C41" s="278">
        <v>1</v>
      </c>
      <c r="D41" s="279"/>
      <c r="E41" s="279"/>
      <c r="F41" s="279"/>
      <c r="G41" s="279"/>
      <c r="H41" s="279"/>
      <c r="I41" s="279"/>
      <c r="J41" s="279">
        <v>1</v>
      </c>
      <c r="K41" s="279"/>
      <c r="L41" s="277"/>
      <c r="M41" s="280">
        <f t="shared" si="6"/>
        <v>3028</v>
      </c>
      <c r="N41" s="281">
        <f t="shared" si="12"/>
        <v>2</v>
      </c>
      <c r="O41" s="282">
        <v>1.7</v>
      </c>
      <c r="P41" s="282">
        <f t="shared" si="0"/>
        <v>1.58</v>
      </c>
      <c r="Q41" s="282"/>
      <c r="R41" s="283">
        <f t="shared" si="13"/>
        <v>495</v>
      </c>
      <c r="S41" s="280">
        <f t="shared" si="23"/>
        <v>131.44242424242424</v>
      </c>
      <c r="T41" s="425">
        <f t="shared" si="1"/>
        <v>16266</v>
      </c>
      <c r="U41" s="284">
        <f t="shared" si="7"/>
        <v>48798</v>
      </c>
      <c r="V41" s="277">
        <v>20</v>
      </c>
      <c r="W41" s="285"/>
      <c r="X41" s="285">
        <f t="shared" si="24"/>
        <v>9759.6</v>
      </c>
      <c r="Y41" s="277"/>
      <c r="Z41" s="277"/>
      <c r="AA41" s="277"/>
      <c r="AB41" s="277"/>
      <c r="AC41" s="277"/>
      <c r="AD41" s="277"/>
      <c r="AE41" s="277"/>
      <c r="AF41" s="277"/>
      <c r="AG41" s="277"/>
      <c r="AH41" s="277"/>
      <c r="AI41" s="277"/>
      <c r="AJ41" s="277"/>
      <c r="AK41" s="277">
        <v>10</v>
      </c>
      <c r="AL41" s="277"/>
      <c r="AM41" s="285">
        <f t="shared" si="2"/>
        <v>4879.8</v>
      </c>
      <c r="AN41" s="277"/>
      <c r="AO41" s="277"/>
      <c r="AP41" s="277"/>
      <c r="AQ41" s="284">
        <f t="shared" si="25"/>
        <v>14639.400000000001</v>
      </c>
      <c r="AR41" s="277">
        <f t="shared" si="22"/>
        <v>20</v>
      </c>
      <c r="AS41" s="277">
        <f t="shared" si="3"/>
        <v>9759.6</v>
      </c>
      <c r="AT41" s="283">
        <f t="shared" si="8"/>
        <v>9759.6</v>
      </c>
      <c r="AU41" s="277"/>
      <c r="AV41" s="277">
        <v>100</v>
      </c>
      <c r="AW41" s="277">
        <f t="shared" si="9"/>
        <v>0</v>
      </c>
      <c r="AX41" s="277"/>
      <c r="AY41" s="277"/>
      <c r="AZ41" s="283"/>
      <c r="BA41" s="284">
        <f t="shared" si="10"/>
        <v>9759.6</v>
      </c>
      <c r="BB41" s="284">
        <f t="shared" si="4"/>
        <v>73197</v>
      </c>
      <c r="BC41" s="284">
        <f t="shared" si="5"/>
        <v>73197</v>
      </c>
      <c r="BD41" s="286">
        <f t="shared" si="11"/>
        <v>24399</v>
      </c>
      <c r="BE41" s="286"/>
      <c r="BF41" s="251">
        <f t="shared" si="14"/>
        <v>0</v>
      </c>
      <c r="BG41" s="251">
        <f t="shared" si="15"/>
        <v>0</v>
      </c>
      <c r="BH41" s="251">
        <f t="shared" si="16"/>
        <v>0</v>
      </c>
      <c r="BI41" s="251">
        <f t="shared" si="17"/>
        <v>0</v>
      </c>
      <c r="BJ41" s="251">
        <f t="shared" si="18"/>
        <v>0</v>
      </c>
      <c r="BK41" s="251">
        <f t="shared" si="19"/>
        <v>0</v>
      </c>
      <c r="BL41" s="251">
        <f t="shared" si="20"/>
        <v>73197</v>
      </c>
      <c r="BM41" s="251">
        <f t="shared" si="21"/>
        <v>0</v>
      </c>
    </row>
    <row r="42" spans="1:68" s="287" customFormat="1" x14ac:dyDescent="0.25">
      <c r="A42" s="276"/>
      <c r="B42" s="288" t="s">
        <v>227</v>
      </c>
      <c r="C42" s="278">
        <v>1</v>
      </c>
      <c r="D42" s="279"/>
      <c r="E42" s="279"/>
      <c r="F42" s="279"/>
      <c r="G42" s="279"/>
      <c r="H42" s="279"/>
      <c r="I42" s="279"/>
      <c r="J42" s="279">
        <v>1</v>
      </c>
      <c r="K42" s="279"/>
      <c r="L42" s="277"/>
      <c r="M42" s="280">
        <f t="shared" si="6"/>
        <v>3028</v>
      </c>
      <c r="N42" s="281">
        <f t="shared" si="12"/>
        <v>2</v>
      </c>
      <c r="O42" s="282">
        <v>1.6</v>
      </c>
      <c r="P42" s="282">
        <f t="shared" si="0"/>
        <v>1.58</v>
      </c>
      <c r="Q42" s="282"/>
      <c r="R42" s="283">
        <f t="shared" si="13"/>
        <v>495</v>
      </c>
      <c r="S42" s="280">
        <f t="shared" si="23"/>
        <v>123.71717171717172</v>
      </c>
      <c r="T42" s="425">
        <f t="shared" si="1"/>
        <v>15310</v>
      </c>
      <c r="U42" s="284">
        <f t="shared" si="7"/>
        <v>45930</v>
      </c>
      <c r="V42" s="277">
        <v>20</v>
      </c>
      <c r="W42" s="285"/>
      <c r="X42" s="285">
        <f t="shared" si="24"/>
        <v>9186</v>
      </c>
      <c r="Y42" s="277"/>
      <c r="Z42" s="277"/>
      <c r="AA42" s="277"/>
      <c r="AB42" s="277"/>
      <c r="AC42" s="277"/>
      <c r="AD42" s="277"/>
      <c r="AE42" s="277"/>
      <c r="AF42" s="277"/>
      <c r="AG42" s="277"/>
      <c r="AH42" s="277"/>
      <c r="AI42" s="277"/>
      <c r="AJ42" s="277"/>
      <c r="AK42" s="277">
        <v>7</v>
      </c>
      <c r="AL42" s="277"/>
      <c r="AM42" s="285">
        <f t="shared" si="2"/>
        <v>3215.1000000000004</v>
      </c>
      <c r="AN42" s="277"/>
      <c r="AO42" s="277"/>
      <c r="AP42" s="277"/>
      <c r="AQ42" s="284">
        <f t="shared" si="25"/>
        <v>12401.1</v>
      </c>
      <c r="AR42" s="277">
        <f t="shared" si="22"/>
        <v>20</v>
      </c>
      <c r="AS42" s="277">
        <f t="shared" si="3"/>
        <v>9186</v>
      </c>
      <c r="AT42" s="283">
        <f t="shared" si="8"/>
        <v>9186</v>
      </c>
      <c r="AU42" s="277"/>
      <c r="AV42" s="277">
        <v>100</v>
      </c>
      <c r="AW42" s="277">
        <f t="shared" si="9"/>
        <v>0</v>
      </c>
      <c r="AX42" s="277"/>
      <c r="AY42" s="277"/>
      <c r="AZ42" s="283"/>
      <c r="BA42" s="284">
        <f t="shared" si="10"/>
        <v>9186</v>
      </c>
      <c r="BB42" s="284">
        <f t="shared" si="4"/>
        <v>67517.100000000006</v>
      </c>
      <c r="BC42" s="284">
        <f t="shared" si="5"/>
        <v>67517.100000000006</v>
      </c>
      <c r="BD42" s="286">
        <f t="shared" si="11"/>
        <v>22505.7</v>
      </c>
      <c r="BE42" s="286"/>
      <c r="BF42" s="251">
        <f t="shared" si="14"/>
        <v>0</v>
      </c>
      <c r="BG42" s="251">
        <f t="shared" si="15"/>
        <v>0</v>
      </c>
      <c r="BH42" s="251">
        <f t="shared" si="16"/>
        <v>0</v>
      </c>
      <c r="BI42" s="251">
        <f t="shared" si="17"/>
        <v>0</v>
      </c>
      <c r="BJ42" s="251">
        <f t="shared" si="18"/>
        <v>0</v>
      </c>
      <c r="BK42" s="251">
        <f t="shared" si="19"/>
        <v>0</v>
      </c>
      <c r="BL42" s="251">
        <f t="shared" si="20"/>
        <v>67517.100000000006</v>
      </c>
      <c r="BM42" s="251">
        <f t="shared" si="21"/>
        <v>0</v>
      </c>
    </row>
    <row r="43" spans="1:68" s="287" customFormat="1" x14ac:dyDescent="0.25">
      <c r="A43" s="276"/>
      <c r="B43" s="288" t="s">
        <v>228</v>
      </c>
      <c r="C43" s="425">
        <v>1</v>
      </c>
      <c r="D43" s="279"/>
      <c r="E43" s="279"/>
      <c r="F43" s="279"/>
      <c r="G43" s="279"/>
      <c r="H43" s="279"/>
      <c r="I43" s="279"/>
      <c r="J43" s="279">
        <v>1</v>
      </c>
      <c r="K43" s="279"/>
      <c r="L43" s="277"/>
      <c r="M43" s="280">
        <f>M$35</f>
        <v>3028</v>
      </c>
      <c r="N43" s="281">
        <f t="shared" si="12"/>
        <v>2</v>
      </c>
      <c r="O43" s="302">
        <v>1.1000000000000001</v>
      </c>
      <c r="P43" s="303">
        <v>1</v>
      </c>
      <c r="Q43" s="282"/>
      <c r="R43" s="283">
        <f t="shared" si="13"/>
        <v>495</v>
      </c>
      <c r="S43" s="280">
        <f>T43/(R43/4)</f>
        <v>53.834343434343431</v>
      </c>
      <c r="T43" s="425">
        <f>ROUND(M43*N43*O43*P43,0)</f>
        <v>6662</v>
      </c>
      <c r="U43" s="284">
        <f t="shared" si="7"/>
        <v>19986</v>
      </c>
      <c r="V43" s="277">
        <v>0</v>
      </c>
      <c r="W43" s="285"/>
      <c r="X43" s="285">
        <f>U43*V43%</f>
        <v>0</v>
      </c>
      <c r="Y43" s="277"/>
      <c r="Z43" s="277"/>
      <c r="AA43" s="277"/>
      <c r="AB43" s="277"/>
      <c r="AC43" s="277"/>
      <c r="AD43" s="277"/>
      <c r="AE43" s="277"/>
      <c r="AF43" s="277"/>
      <c r="AG43" s="277"/>
      <c r="AH43" s="277"/>
      <c r="AI43" s="277"/>
      <c r="AJ43" s="277"/>
      <c r="AK43" s="277">
        <v>7</v>
      </c>
      <c r="AL43" s="277"/>
      <c r="AM43" s="285">
        <f>T43*AK43%*3</f>
        <v>1399.02</v>
      </c>
      <c r="AN43" s="277"/>
      <c r="AO43" s="277"/>
      <c r="AP43" s="277"/>
      <c r="AQ43" s="284">
        <f>X43+AA43+AD43+AG43+AJ43+AM43+AP43</f>
        <v>1399.02</v>
      </c>
      <c r="AR43" s="277">
        <f t="shared" si="22"/>
        <v>20</v>
      </c>
      <c r="AS43" s="285">
        <f t="shared" si="3"/>
        <v>3997.2000000000003</v>
      </c>
      <c r="AT43" s="280">
        <f t="shared" si="8"/>
        <v>3997.2000000000003</v>
      </c>
      <c r="AU43" s="277">
        <v>1</v>
      </c>
      <c r="AV43" s="277">
        <v>100</v>
      </c>
      <c r="AW43" s="277">
        <f t="shared" si="9"/>
        <v>6662</v>
      </c>
      <c r="AX43" s="277"/>
      <c r="AY43" s="285"/>
      <c r="AZ43" s="304"/>
      <c r="BA43" s="284">
        <f t="shared" si="10"/>
        <v>10659.2</v>
      </c>
      <c r="BB43" s="284">
        <f t="shared" si="4"/>
        <v>32044.22</v>
      </c>
      <c r="BC43" s="284">
        <f t="shared" si="5"/>
        <v>32044.22</v>
      </c>
      <c r="BD43" s="286">
        <f t="shared" si="11"/>
        <v>10681.406666666668</v>
      </c>
      <c r="BE43" s="286"/>
      <c r="BF43" s="251">
        <f t="shared" si="14"/>
        <v>0</v>
      </c>
      <c r="BG43" s="251">
        <f t="shared" si="15"/>
        <v>0</v>
      </c>
      <c r="BH43" s="251">
        <f t="shared" si="16"/>
        <v>0</v>
      </c>
      <c r="BI43" s="251">
        <f t="shared" si="17"/>
        <v>0</v>
      </c>
      <c r="BJ43" s="251">
        <f t="shared" si="18"/>
        <v>0</v>
      </c>
      <c r="BK43" s="251">
        <f t="shared" si="19"/>
        <v>0</v>
      </c>
      <c r="BL43" s="251">
        <f t="shared" si="20"/>
        <v>32044.22</v>
      </c>
      <c r="BM43" s="251">
        <f t="shared" si="21"/>
        <v>0</v>
      </c>
    </row>
    <row r="44" spans="1:68" s="287" customFormat="1" x14ac:dyDescent="0.25">
      <c r="A44" s="276"/>
      <c r="B44" s="288"/>
      <c r="C44" s="305"/>
      <c r="D44" s="279"/>
      <c r="E44" s="279"/>
      <c r="F44" s="279"/>
      <c r="G44" s="279"/>
      <c r="H44" s="279"/>
      <c r="I44" s="279"/>
      <c r="J44" s="279"/>
      <c r="K44" s="279"/>
      <c r="L44" s="277"/>
      <c r="M44" s="280"/>
      <c r="N44" s="281"/>
      <c r="O44" s="277"/>
      <c r="P44" s="282"/>
      <c r="Q44" s="277"/>
      <c r="R44" s="283"/>
      <c r="S44" s="280"/>
      <c r="T44" s="425"/>
      <c r="U44" s="284"/>
      <c r="V44" s="277"/>
      <c r="W44" s="285"/>
      <c r="X44" s="285"/>
      <c r="Y44" s="277"/>
      <c r="Z44" s="277"/>
      <c r="AA44" s="277"/>
      <c r="AB44" s="277"/>
      <c r="AC44" s="277"/>
      <c r="AD44" s="277"/>
      <c r="AE44" s="277"/>
      <c r="AF44" s="277"/>
      <c r="AG44" s="277"/>
      <c r="AH44" s="277"/>
      <c r="AI44" s="277"/>
      <c r="AJ44" s="277"/>
      <c r="AK44" s="277"/>
      <c r="AL44" s="277"/>
      <c r="AM44" s="285">
        <f t="shared" si="2"/>
        <v>0</v>
      </c>
      <c r="AN44" s="277"/>
      <c r="AO44" s="277"/>
      <c r="AP44" s="277"/>
      <c r="AQ44" s="284">
        <f t="shared" si="25"/>
        <v>0</v>
      </c>
      <c r="AR44" s="277"/>
      <c r="AS44" s="277"/>
      <c r="AT44" s="283"/>
      <c r="AU44" s="277"/>
      <c r="AV44" s="277"/>
      <c r="AW44" s="277"/>
      <c r="AX44" s="277"/>
      <c r="AY44" s="277"/>
      <c r="AZ44" s="283"/>
      <c r="BA44" s="284"/>
      <c r="BB44" s="284"/>
      <c r="BC44" s="284"/>
      <c r="BD44" s="286"/>
      <c r="BE44" s="286"/>
      <c r="BF44" s="251"/>
      <c r="BG44" s="251"/>
      <c r="BH44" s="251"/>
      <c r="BI44" s="251"/>
      <c r="BJ44" s="251"/>
      <c r="BK44" s="251"/>
      <c r="BL44" s="251"/>
      <c r="BM44" s="251"/>
    </row>
    <row r="45" spans="1:68" s="316" customFormat="1" ht="14.25" x14ac:dyDescent="0.25">
      <c r="A45" s="306"/>
      <c r="B45" s="307" t="s">
        <v>229</v>
      </c>
      <c r="C45" s="308">
        <f>SUM(C28:C44)</f>
        <v>19</v>
      </c>
      <c r="D45" s="309"/>
      <c r="E45" s="309"/>
      <c r="F45" s="309"/>
      <c r="G45" s="309"/>
      <c r="H45" s="309"/>
      <c r="I45" s="309"/>
      <c r="J45" s="309"/>
      <c r="K45" s="309"/>
      <c r="L45" s="309"/>
      <c r="M45" s="310"/>
      <c r="N45" s="309"/>
      <c r="O45" s="309"/>
      <c r="P45" s="309"/>
      <c r="Q45" s="309"/>
      <c r="R45" s="310"/>
      <c r="S45" s="310"/>
      <c r="T45" s="311">
        <f>U45/3</f>
        <v>429303</v>
      </c>
      <c r="U45" s="312">
        <f>SUM(U28:U44)</f>
        <v>1287909</v>
      </c>
      <c r="V45" s="309"/>
      <c r="W45" s="309"/>
      <c r="X45" s="312">
        <f>SUM(X28:X44)</f>
        <v>266530.80000000005</v>
      </c>
      <c r="Y45" s="312"/>
      <c r="Z45" s="312">
        <f>SUM(Z28:Z44)</f>
        <v>0</v>
      </c>
      <c r="AA45" s="312">
        <f>SUM(AA28:AA44)</f>
        <v>0</v>
      </c>
      <c r="AB45" s="313"/>
      <c r="AC45" s="313"/>
      <c r="AD45" s="312">
        <f>SUM(AD28:AD44)</f>
        <v>0</v>
      </c>
      <c r="AE45" s="312"/>
      <c r="AF45" s="312">
        <f>SUM(AF28:AF44)</f>
        <v>0</v>
      </c>
      <c r="AG45" s="312">
        <f>SUM(AG28:AG44)</f>
        <v>0</v>
      </c>
      <c r="AH45" s="312"/>
      <c r="AI45" s="312">
        <f>SUM(AI28:AI44)</f>
        <v>0</v>
      </c>
      <c r="AJ45" s="312">
        <f>SUM(AJ28:AJ44)</f>
        <v>0</v>
      </c>
      <c r="AK45" s="312"/>
      <c r="AL45" s="312">
        <f>SUM(AL28:AL44)</f>
        <v>0</v>
      </c>
      <c r="AM45" s="312">
        <f>SUM(AM28:AM44)</f>
        <v>83944.590000000011</v>
      </c>
      <c r="AN45" s="312"/>
      <c r="AO45" s="312">
        <f>SUM(AO28:AO44)</f>
        <v>0</v>
      </c>
      <c r="AP45" s="312">
        <f>SUM(AP28:AP44)</f>
        <v>0</v>
      </c>
      <c r="AQ45" s="312">
        <f>SUM(AQ28:AQ44)</f>
        <v>350475.39</v>
      </c>
      <c r="AR45" s="312"/>
      <c r="AS45" s="312">
        <f>SUM(AS28:AS44)</f>
        <v>224283.20000000007</v>
      </c>
      <c r="AT45" s="312">
        <f>SUM(AT28:AT44)</f>
        <v>274805.00000000006</v>
      </c>
      <c r="AU45" s="312">
        <f>SUM(AU28:AU44)</f>
        <v>3</v>
      </c>
      <c r="AV45" s="312"/>
      <c r="AW45" s="312">
        <f>SUM(AW28:AW44)</f>
        <v>44936</v>
      </c>
      <c r="AX45" s="312"/>
      <c r="AY45" s="312">
        <f>SUM(AY28:AY44)</f>
        <v>0</v>
      </c>
      <c r="AZ45" s="312">
        <f>SUM(AZ28:AZ44)</f>
        <v>0</v>
      </c>
      <c r="BA45" s="312">
        <f>SUM(BA28:BA44)</f>
        <v>319741</v>
      </c>
      <c r="BB45" s="312">
        <f>BC45/C45</f>
        <v>103059.23105263156</v>
      </c>
      <c r="BC45" s="312">
        <f>SUM(BC28:BC44)</f>
        <v>1958125.3899999997</v>
      </c>
      <c r="BD45" s="286">
        <f t="shared" si="11"/>
        <v>34353.077017543852</v>
      </c>
      <c r="BE45" s="314"/>
      <c r="BF45" s="315">
        <f t="shared" ref="BF45:BM45" si="26">SUM(BF28:BF44)</f>
        <v>0</v>
      </c>
      <c r="BG45" s="315">
        <f t="shared" si="26"/>
        <v>0</v>
      </c>
      <c r="BH45" s="315">
        <f t="shared" si="26"/>
        <v>0</v>
      </c>
      <c r="BI45" s="315">
        <f t="shared" si="26"/>
        <v>0</v>
      </c>
      <c r="BJ45" s="315">
        <f t="shared" si="26"/>
        <v>0</v>
      </c>
      <c r="BK45" s="315">
        <f t="shared" si="26"/>
        <v>0</v>
      </c>
      <c r="BL45" s="315">
        <f t="shared" si="26"/>
        <v>1845598.9899999998</v>
      </c>
      <c r="BM45" s="315">
        <f t="shared" si="26"/>
        <v>0</v>
      </c>
      <c r="BP45" s="315">
        <f>BC45+BC153+BC261+BC369+BC477+BC582</f>
        <v>8039002.5599999987</v>
      </c>
    </row>
    <row r="46" spans="1:68" s="287" customFormat="1" ht="9.75" customHeight="1" x14ac:dyDescent="0.25">
      <c r="A46" s="276"/>
      <c r="B46" s="317"/>
      <c r="C46" s="318"/>
      <c r="D46" s="319"/>
      <c r="E46" s="319"/>
      <c r="F46" s="319"/>
      <c r="G46" s="319"/>
      <c r="H46" s="319"/>
      <c r="I46" s="319"/>
      <c r="J46" s="319"/>
      <c r="K46" s="319"/>
      <c r="L46" s="319"/>
      <c r="M46" s="320"/>
      <c r="N46" s="319"/>
      <c r="O46" s="319"/>
      <c r="P46" s="319"/>
      <c r="Q46" s="319"/>
      <c r="R46" s="320"/>
      <c r="S46" s="320"/>
      <c r="T46" s="319"/>
      <c r="U46" s="321"/>
      <c r="V46" s="319"/>
      <c r="W46" s="319"/>
      <c r="X46" s="321"/>
      <c r="Y46" s="321"/>
      <c r="Z46" s="321"/>
      <c r="AA46" s="321"/>
      <c r="AB46" s="321"/>
      <c r="AC46" s="321"/>
      <c r="AD46" s="321"/>
      <c r="AE46" s="321"/>
      <c r="AF46" s="321"/>
      <c r="AG46" s="321"/>
      <c r="AH46" s="321"/>
      <c r="AI46" s="321"/>
      <c r="AJ46" s="321"/>
      <c r="AK46" s="321"/>
      <c r="AL46" s="321"/>
      <c r="AM46" s="321"/>
      <c r="AN46" s="321"/>
      <c r="AO46" s="321"/>
      <c r="AP46" s="321"/>
      <c r="AQ46" s="321"/>
      <c r="AR46" s="319"/>
      <c r="AS46" s="319"/>
      <c r="AT46" s="320"/>
      <c r="AU46" s="319"/>
      <c r="AV46" s="319"/>
      <c r="AW46" s="319"/>
      <c r="AX46" s="319"/>
      <c r="AY46" s="319"/>
      <c r="AZ46" s="320"/>
      <c r="BA46" s="321"/>
      <c r="BB46" s="321"/>
      <c r="BC46" s="322"/>
      <c r="BD46" s="314"/>
      <c r="BE46" s="314"/>
      <c r="BF46" s="323"/>
      <c r="BG46" s="323"/>
      <c r="BH46" s="323"/>
      <c r="BI46" s="323"/>
      <c r="BJ46" s="323"/>
      <c r="BK46" s="323"/>
      <c r="BL46" s="323"/>
      <c r="BM46" s="323"/>
    </row>
    <row r="47" spans="1:68" s="275" customFormat="1" ht="21" customHeight="1" x14ac:dyDescent="0.25">
      <c r="A47" s="270" t="s">
        <v>230</v>
      </c>
      <c r="B47" s="324" t="s">
        <v>231</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3"/>
      <c r="BD47" s="274"/>
      <c r="BE47" s="274"/>
    </row>
    <row r="48" spans="1:68" s="275" customFormat="1" ht="14.25" x14ac:dyDescent="0.25">
      <c r="A48" s="270"/>
      <c r="B48" s="271" t="s">
        <v>232</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3"/>
      <c r="BD48" s="274"/>
      <c r="BE48" s="274"/>
    </row>
    <row r="49" spans="1:68" s="275" customFormat="1" ht="19.5" customHeight="1" x14ac:dyDescent="0.25">
      <c r="A49" s="270"/>
      <c r="B49" s="325" t="s">
        <v>233</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7"/>
      <c r="BD49" s="274"/>
      <c r="BE49" s="274"/>
    </row>
    <row r="50" spans="1:68" s="287" customFormat="1" x14ac:dyDescent="0.25">
      <c r="A50" s="276"/>
      <c r="B50" s="288" t="s">
        <v>234</v>
      </c>
      <c r="C50" s="278">
        <v>1</v>
      </c>
      <c r="D50" s="279"/>
      <c r="E50" s="279"/>
      <c r="F50" s="328"/>
      <c r="G50" s="328"/>
      <c r="H50" s="279">
        <v>1</v>
      </c>
      <c r="I50" s="328"/>
      <c r="J50" s="279"/>
      <c r="K50" s="279"/>
      <c r="L50" s="277"/>
      <c r="M50" s="280">
        <f>M$35</f>
        <v>3028</v>
      </c>
      <c r="N50" s="281">
        <f>N$29</f>
        <v>2</v>
      </c>
      <c r="O50" s="277">
        <v>2.2999999999999998</v>
      </c>
      <c r="P50" s="282">
        <f t="shared" ref="P50:P55" si="27">P$244</f>
        <v>1.58</v>
      </c>
      <c r="Q50" s="277"/>
      <c r="R50" s="283">
        <f>$R$28</f>
        <v>495</v>
      </c>
      <c r="S50" s="280">
        <f t="shared" ref="S50:S55" si="28">T50/(R50/4)</f>
        <v>177.84242424242424</v>
      </c>
      <c r="T50" s="425">
        <f t="shared" ref="T50:T55" si="29">ROUND(M50*N50*O50*P50,0)</f>
        <v>22008</v>
      </c>
      <c r="U50" s="284">
        <f t="shared" ref="U50:U55" si="30">T50*C50*3</f>
        <v>66024</v>
      </c>
      <c r="V50" s="277">
        <v>30</v>
      </c>
      <c r="W50" s="285"/>
      <c r="X50" s="285">
        <f t="shared" ref="X50:X55" si="31">U50*V50%</f>
        <v>19807.2</v>
      </c>
      <c r="Y50" s="277"/>
      <c r="Z50" s="277"/>
      <c r="AA50" s="277"/>
      <c r="AB50" s="277"/>
      <c r="AC50" s="277"/>
      <c r="AD50" s="277"/>
      <c r="AE50" s="277"/>
      <c r="AF50" s="277"/>
      <c r="AG50" s="277"/>
      <c r="AH50" s="277"/>
      <c r="AI50" s="277"/>
      <c r="AJ50" s="277"/>
      <c r="AK50" s="277">
        <v>7</v>
      </c>
      <c r="AL50" s="277"/>
      <c r="AM50" s="285">
        <f t="shared" ref="AM50:AM55" si="32">T50*AK50%*3</f>
        <v>4621.68</v>
      </c>
      <c r="AN50" s="277"/>
      <c r="AO50" s="277"/>
      <c r="AP50" s="285"/>
      <c r="AQ50" s="284">
        <f t="shared" ref="AQ50:AQ55" si="33">X50+AA50+AD50+AG50+AJ50+AM50+AP50</f>
        <v>24428.880000000001</v>
      </c>
      <c r="AR50" s="277">
        <f>AR$29</f>
        <v>20</v>
      </c>
      <c r="AS50" s="277">
        <f>AT50/C50</f>
        <v>13204.800000000001</v>
      </c>
      <c r="AT50" s="283">
        <f t="shared" ref="AT50:AT55" si="34">(U50)*AR50%</f>
        <v>13204.800000000001</v>
      </c>
      <c r="AU50" s="277">
        <v>1</v>
      </c>
      <c r="AV50" s="277">
        <v>100</v>
      </c>
      <c r="AW50" s="277">
        <f>AU50*T50</f>
        <v>22008</v>
      </c>
      <c r="AX50" s="277"/>
      <c r="AY50" s="277"/>
      <c r="AZ50" s="283"/>
      <c r="BA50" s="284">
        <f t="shared" ref="BA50:BA55" si="35">AT50+AW50+AZ50</f>
        <v>35212.800000000003</v>
      </c>
      <c r="BB50" s="284">
        <f t="shared" ref="BB50:BB55" si="36">BC50/C50</f>
        <v>125665.68000000001</v>
      </c>
      <c r="BC50" s="284">
        <f t="shared" ref="BC50:BC55" si="37">BA50+AQ50+U50</f>
        <v>125665.68000000001</v>
      </c>
      <c r="BD50" s="286">
        <f>BC50/C50/3</f>
        <v>41888.560000000005</v>
      </c>
      <c r="BE50" s="286"/>
      <c r="BF50" s="241">
        <f>IF(D50=1,BC50,0)</f>
        <v>0</v>
      </c>
      <c r="BG50" s="241">
        <f>IF(E50=1,BC50,0)</f>
        <v>0</v>
      </c>
      <c r="BH50" s="241">
        <f>IF(F50=1,BC50,0)</f>
        <v>0</v>
      </c>
      <c r="BI50" s="241">
        <f>IF(G50=1,BC50,0)</f>
        <v>0</v>
      </c>
      <c r="BJ50" s="251">
        <f>IF(H50=1,BC50,0)</f>
        <v>125665.68000000001</v>
      </c>
      <c r="BK50" s="251">
        <f>IF(I50=1,BC50,0)</f>
        <v>0</v>
      </c>
      <c r="BL50" s="251">
        <f>IF(J50=1,BC50,0)</f>
        <v>0</v>
      </c>
      <c r="BM50" s="241">
        <f>IF(K50=1,BC50,0)</f>
        <v>0</v>
      </c>
    </row>
    <row r="51" spans="1:68" s="287" customFormat="1" x14ac:dyDescent="0.25">
      <c r="A51" s="276"/>
      <c r="B51" s="290" t="s">
        <v>235</v>
      </c>
      <c r="C51" s="278">
        <v>1</v>
      </c>
      <c r="D51" s="279"/>
      <c r="E51" s="279"/>
      <c r="F51" s="328"/>
      <c r="G51" s="328"/>
      <c r="H51" s="279">
        <v>1</v>
      </c>
      <c r="I51" s="328"/>
      <c r="J51" s="279"/>
      <c r="K51" s="279"/>
      <c r="L51" s="277"/>
      <c r="M51" s="280">
        <f>M$35</f>
        <v>3028</v>
      </c>
      <c r="N51" s="281">
        <f>N$29</f>
        <v>2</v>
      </c>
      <c r="O51" s="293">
        <v>2</v>
      </c>
      <c r="P51" s="282">
        <f t="shared" si="27"/>
        <v>1.58</v>
      </c>
      <c r="Q51" s="277"/>
      <c r="R51" s="283">
        <f>$R$28</f>
        <v>495</v>
      </c>
      <c r="S51" s="280">
        <f t="shared" si="28"/>
        <v>154.64242424242425</v>
      </c>
      <c r="T51" s="425">
        <f t="shared" si="29"/>
        <v>19137</v>
      </c>
      <c r="U51" s="284">
        <f t="shared" si="30"/>
        <v>57411</v>
      </c>
      <c r="V51" s="277">
        <v>20</v>
      </c>
      <c r="W51" s="285"/>
      <c r="X51" s="285">
        <f t="shared" si="31"/>
        <v>11482.2</v>
      </c>
      <c r="Y51" s="277"/>
      <c r="Z51" s="277"/>
      <c r="AA51" s="277"/>
      <c r="AB51" s="277"/>
      <c r="AC51" s="277"/>
      <c r="AD51" s="277"/>
      <c r="AE51" s="277"/>
      <c r="AF51" s="277"/>
      <c r="AG51" s="277"/>
      <c r="AH51" s="277"/>
      <c r="AI51" s="277"/>
      <c r="AJ51" s="277"/>
      <c r="AK51" s="277">
        <v>15</v>
      </c>
      <c r="AL51" s="277"/>
      <c r="AM51" s="285">
        <f t="shared" si="32"/>
        <v>8611.65</v>
      </c>
      <c r="AN51" s="277"/>
      <c r="AO51" s="277"/>
      <c r="AP51" s="285"/>
      <c r="AQ51" s="284">
        <f t="shared" si="33"/>
        <v>20093.849999999999</v>
      </c>
      <c r="AR51" s="277">
        <f>AR$29</f>
        <v>20</v>
      </c>
      <c r="AS51" s="277">
        <f>AT51/C51</f>
        <v>11482.2</v>
      </c>
      <c r="AT51" s="283">
        <f t="shared" si="34"/>
        <v>11482.2</v>
      </c>
      <c r="AU51" s="277"/>
      <c r="AV51" s="277">
        <v>100</v>
      </c>
      <c r="AW51" s="277">
        <f>AU51*T51</f>
        <v>0</v>
      </c>
      <c r="AX51" s="277"/>
      <c r="AY51" s="277"/>
      <c r="AZ51" s="283"/>
      <c r="BA51" s="284">
        <f t="shared" si="35"/>
        <v>11482.2</v>
      </c>
      <c r="BB51" s="284">
        <f t="shared" si="36"/>
        <v>88987.05</v>
      </c>
      <c r="BC51" s="284">
        <f t="shared" si="37"/>
        <v>88987.05</v>
      </c>
      <c r="BD51" s="286">
        <f t="shared" ref="BD51:BD117" si="38">BC51/C51/3</f>
        <v>29662.350000000002</v>
      </c>
      <c r="BE51" s="286"/>
      <c r="BF51" s="241"/>
      <c r="BG51" s="241"/>
      <c r="BH51" s="241"/>
      <c r="BI51" s="241"/>
      <c r="BJ51" s="251"/>
      <c r="BK51" s="251"/>
      <c r="BL51" s="251"/>
      <c r="BM51" s="241"/>
    </row>
    <row r="52" spans="1:68" s="287" customFormat="1" ht="28.5" x14ac:dyDescent="0.25">
      <c r="A52" s="276"/>
      <c r="B52" s="288" t="s">
        <v>236</v>
      </c>
      <c r="C52" s="278">
        <v>1</v>
      </c>
      <c r="D52" s="279"/>
      <c r="E52" s="279"/>
      <c r="F52" s="328"/>
      <c r="G52" s="328"/>
      <c r="H52" s="279">
        <v>1</v>
      </c>
      <c r="I52" s="328"/>
      <c r="J52" s="279"/>
      <c r="K52" s="279"/>
      <c r="L52" s="277"/>
      <c r="M52" s="280">
        <f>M$35</f>
        <v>3028</v>
      </c>
      <c r="N52" s="281">
        <f>N$29</f>
        <v>2</v>
      </c>
      <c r="O52" s="277">
        <v>1.9</v>
      </c>
      <c r="P52" s="282">
        <f t="shared" si="27"/>
        <v>1.58</v>
      </c>
      <c r="Q52" s="277"/>
      <c r="R52" s="283">
        <f>$R$28</f>
        <v>495</v>
      </c>
      <c r="S52" s="280">
        <f t="shared" si="28"/>
        <v>146.90909090909091</v>
      </c>
      <c r="T52" s="425">
        <f t="shared" si="29"/>
        <v>18180</v>
      </c>
      <c r="U52" s="284">
        <f t="shared" si="30"/>
        <v>54540</v>
      </c>
      <c r="V52" s="277">
        <v>20</v>
      </c>
      <c r="W52" s="285"/>
      <c r="X52" s="285">
        <f t="shared" si="31"/>
        <v>10908</v>
      </c>
      <c r="Y52" s="277"/>
      <c r="Z52" s="277"/>
      <c r="AA52" s="277"/>
      <c r="AB52" s="277"/>
      <c r="AC52" s="277"/>
      <c r="AD52" s="277"/>
      <c r="AE52" s="277"/>
      <c r="AF52" s="277"/>
      <c r="AG52" s="277"/>
      <c r="AH52" s="277"/>
      <c r="AI52" s="277"/>
      <c r="AJ52" s="277"/>
      <c r="AK52" s="277">
        <v>10</v>
      </c>
      <c r="AL52" s="277"/>
      <c r="AM52" s="285">
        <f t="shared" si="32"/>
        <v>5454</v>
      </c>
      <c r="AN52" s="277"/>
      <c r="AO52" s="277"/>
      <c r="AP52" s="285"/>
      <c r="AQ52" s="284">
        <f t="shared" si="33"/>
        <v>16362</v>
      </c>
      <c r="AR52" s="277">
        <f>AR$29</f>
        <v>20</v>
      </c>
      <c r="AS52" s="277">
        <f>AT52/C52</f>
        <v>10908</v>
      </c>
      <c r="AT52" s="283">
        <f t="shared" si="34"/>
        <v>10908</v>
      </c>
      <c r="AU52" s="277"/>
      <c r="AV52" s="277">
        <v>100</v>
      </c>
      <c r="AW52" s="277">
        <f>AU52*T52</f>
        <v>0</v>
      </c>
      <c r="AX52" s="277"/>
      <c r="AY52" s="277"/>
      <c r="AZ52" s="283"/>
      <c r="BA52" s="284">
        <f t="shared" si="35"/>
        <v>10908</v>
      </c>
      <c r="BB52" s="284">
        <f t="shared" si="36"/>
        <v>81810</v>
      </c>
      <c r="BC52" s="284">
        <f t="shared" si="37"/>
        <v>81810</v>
      </c>
      <c r="BD52" s="286">
        <f t="shared" si="38"/>
        <v>27270</v>
      </c>
      <c r="BE52" s="286"/>
      <c r="BF52" s="241"/>
      <c r="BG52" s="241"/>
      <c r="BH52" s="241"/>
      <c r="BI52" s="241"/>
      <c r="BJ52" s="251"/>
      <c r="BK52" s="251"/>
      <c r="BL52" s="251"/>
      <c r="BM52" s="241"/>
    </row>
    <row r="53" spans="1:68" s="287" customFormat="1" x14ac:dyDescent="0.25">
      <c r="A53" s="276"/>
      <c r="B53" s="277" t="s">
        <v>237</v>
      </c>
      <c r="C53" s="278">
        <v>1</v>
      </c>
      <c r="D53" s="279"/>
      <c r="E53" s="279"/>
      <c r="F53" s="328"/>
      <c r="G53" s="328"/>
      <c r="H53" s="279">
        <v>1</v>
      </c>
      <c r="I53" s="328"/>
      <c r="J53" s="279"/>
      <c r="K53" s="279"/>
      <c r="L53" s="277"/>
      <c r="M53" s="280">
        <f>M$35</f>
        <v>3028</v>
      </c>
      <c r="N53" s="281">
        <f>N$29</f>
        <v>2</v>
      </c>
      <c r="O53" s="277">
        <v>1.9</v>
      </c>
      <c r="P53" s="282">
        <f t="shared" si="27"/>
        <v>1.58</v>
      </c>
      <c r="Q53" s="277"/>
      <c r="R53" s="283">
        <f>$R$28</f>
        <v>495</v>
      </c>
      <c r="S53" s="280">
        <f t="shared" si="28"/>
        <v>146.90909090909091</v>
      </c>
      <c r="T53" s="425">
        <f t="shared" si="29"/>
        <v>18180</v>
      </c>
      <c r="U53" s="284">
        <f t="shared" si="30"/>
        <v>54540</v>
      </c>
      <c r="V53" s="277">
        <v>20</v>
      </c>
      <c r="W53" s="285"/>
      <c r="X53" s="285">
        <f t="shared" si="31"/>
        <v>10908</v>
      </c>
      <c r="Y53" s="277"/>
      <c r="Z53" s="277"/>
      <c r="AA53" s="277"/>
      <c r="AB53" s="277"/>
      <c r="AC53" s="277"/>
      <c r="AD53" s="277"/>
      <c r="AE53" s="277"/>
      <c r="AF53" s="277"/>
      <c r="AG53" s="277"/>
      <c r="AH53" s="277"/>
      <c r="AI53" s="277"/>
      <c r="AJ53" s="277"/>
      <c r="AK53" s="277"/>
      <c r="AL53" s="277"/>
      <c r="AM53" s="285">
        <f t="shared" si="32"/>
        <v>0</v>
      </c>
      <c r="AN53" s="277"/>
      <c r="AO53" s="277"/>
      <c r="AP53" s="277"/>
      <c r="AQ53" s="284">
        <f t="shared" si="33"/>
        <v>10908</v>
      </c>
      <c r="AR53" s="277">
        <f>AR$29</f>
        <v>20</v>
      </c>
      <c r="AS53" s="277">
        <f>AT53/C53</f>
        <v>10908</v>
      </c>
      <c r="AT53" s="283">
        <f t="shared" si="34"/>
        <v>10908</v>
      </c>
      <c r="AU53" s="277"/>
      <c r="AV53" s="277">
        <v>100</v>
      </c>
      <c r="AW53" s="277">
        <f>AU53*T53</f>
        <v>0</v>
      </c>
      <c r="AX53" s="277"/>
      <c r="AY53" s="277"/>
      <c r="AZ53" s="283"/>
      <c r="BA53" s="284">
        <f t="shared" si="35"/>
        <v>10908</v>
      </c>
      <c r="BB53" s="284">
        <f t="shared" si="36"/>
        <v>76356</v>
      </c>
      <c r="BC53" s="284">
        <f t="shared" si="37"/>
        <v>76356</v>
      </c>
      <c r="BD53" s="286">
        <f t="shared" si="38"/>
        <v>25452</v>
      </c>
      <c r="BE53" s="286"/>
      <c r="BF53" s="241">
        <f>IF(D53=1,BC53,0)</f>
        <v>0</v>
      </c>
      <c r="BG53" s="241">
        <f>IF(E53=1,BC53,0)</f>
        <v>0</v>
      </c>
      <c r="BH53" s="241">
        <f>IF(F53=1,BC53,0)</f>
        <v>0</v>
      </c>
      <c r="BI53" s="241">
        <f>IF(G53=1,BC53,0)</f>
        <v>0</v>
      </c>
      <c r="BJ53" s="251">
        <f>IF(H53=1,BC53,0)</f>
        <v>76356</v>
      </c>
      <c r="BK53" s="251">
        <f>IF(I53=1,BC53,0)</f>
        <v>0</v>
      </c>
      <c r="BL53" s="251">
        <f>IF(J53=1,BC53,0)</f>
        <v>0</v>
      </c>
      <c r="BM53" s="241">
        <f>IF(K53=1,BC53,0)</f>
        <v>0</v>
      </c>
    </row>
    <row r="54" spans="1:68" s="287" customFormat="1" x14ac:dyDescent="0.25">
      <c r="A54" s="276"/>
      <c r="B54" s="288" t="s">
        <v>238</v>
      </c>
      <c r="C54" s="425">
        <v>1</v>
      </c>
      <c r="D54" s="279"/>
      <c r="E54" s="279"/>
      <c r="F54" s="279"/>
      <c r="G54" s="279"/>
      <c r="H54" s="279"/>
      <c r="I54" s="279">
        <v>1</v>
      </c>
      <c r="J54" s="279"/>
      <c r="K54" s="279"/>
      <c r="L54" s="277"/>
      <c r="M54" s="280">
        <f>M$35</f>
        <v>3028</v>
      </c>
      <c r="N54" s="281">
        <f>N$29</f>
        <v>2</v>
      </c>
      <c r="O54" s="277">
        <v>2</v>
      </c>
      <c r="P54" s="282">
        <f t="shared" si="27"/>
        <v>1.58</v>
      </c>
      <c r="Q54" s="282"/>
      <c r="R54" s="283">
        <f>$R$28</f>
        <v>495</v>
      </c>
      <c r="S54" s="280">
        <f t="shared" si="28"/>
        <v>154.64242424242425</v>
      </c>
      <c r="T54" s="425">
        <f t="shared" si="29"/>
        <v>19137</v>
      </c>
      <c r="U54" s="284">
        <f t="shared" si="30"/>
        <v>57411</v>
      </c>
      <c r="V54" s="277">
        <v>20</v>
      </c>
      <c r="W54" s="285"/>
      <c r="X54" s="285">
        <f t="shared" si="31"/>
        <v>11482.2</v>
      </c>
      <c r="Y54" s="277"/>
      <c r="Z54" s="277"/>
      <c r="AA54" s="277"/>
      <c r="AB54" s="277"/>
      <c r="AC54" s="277"/>
      <c r="AD54" s="277"/>
      <c r="AE54" s="277"/>
      <c r="AF54" s="277"/>
      <c r="AG54" s="277"/>
      <c r="AH54" s="277"/>
      <c r="AI54" s="277"/>
      <c r="AJ54" s="277"/>
      <c r="AK54" s="277"/>
      <c r="AL54" s="277"/>
      <c r="AM54" s="285">
        <f t="shared" si="32"/>
        <v>0</v>
      </c>
      <c r="AN54" s="277"/>
      <c r="AO54" s="277"/>
      <c r="AP54" s="277"/>
      <c r="AQ54" s="284">
        <f t="shared" si="33"/>
        <v>11482.2</v>
      </c>
      <c r="AR54" s="277">
        <f>AR$29</f>
        <v>20</v>
      </c>
      <c r="AS54" s="285">
        <f>AT54/C54</f>
        <v>11482.2</v>
      </c>
      <c r="AT54" s="280">
        <f t="shared" si="34"/>
        <v>11482.2</v>
      </c>
      <c r="AU54" s="277"/>
      <c r="AV54" s="277">
        <v>100</v>
      </c>
      <c r="AW54" s="277">
        <f>AU54*T54</f>
        <v>0</v>
      </c>
      <c r="AX54" s="277"/>
      <c r="AY54" s="285"/>
      <c r="AZ54" s="280"/>
      <c r="BA54" s="284">
        <f t="shared" si="35"/>
        <v>11482.2</v>
      </c>
      <c r="BB54" s="284">
        <f t="shared" si="36"/>
        <v>80375.399999999994</v>
      </c>
      <c r="BC54" s="284">
        <f t="shared" si="37"/>
        <v>80375.399999999994</v>
      </c>
      <c r="BD54" s="286">
        <f>BC54/C54/3</f>
        <v>26791.8</v>
      </c>
      <c r="BE54" s="286"/>
      <c r="BF54" s="251">
        <f>IF(D54=1,BC54,0)</f>
        <v>0</v>
      </c>
      <c r="BG54" s="251">
        <f>IF(E54=1,BC54,0)</f>
        <v>0</v>
      </c>
      <c r="BH54" s="251">
        <f>IF(F54=1,BC54,0)</f>
        <v>0</v>
      </c>
      <c r="BI54" s="251">
        <f>IF(G54=1,BC54,0)</f>
        <v>0</v>
      </c>
      <c r="BJ54" s="251">
        <f>IF(H54=1,BC54,0)</f>
        <v>0</v>
      </c>
      <c r="BK54" s="251">
        <f>IF(I54=1,BC54,0)</f>
        <v>80375.399999999994</v>
      </c>
      <c r="BL54" s="251">
        <f>IF(J54=1,BC54,0)</f>
        <v>0</v>
      </c>
      <c r="BM54" s="251">
        <f>IF(K54=1,BC54,0)</f>
        <v>0</v>
      </c>
    </row>
    <row r="55" spans="1:68" s="287" customFormat="1" x14ac:dyDescent="0.25">
      <c r="A55" s="276"/>
      <c r="B55" s="290" t="s">
        <v>242</v>
      </c>
      <c r="C55" s="278">
        <v>1</v>
      </c>
      <c r="D55" s="279"/>
      <c r="E55" s="279"/>
      <c r="F55" s="279"/>
      <c r="G55" s="279"/>
      <c r="H55" s="279"/>
      <c r="I55" s="279"/>
      <c r="J55" s="279">
        <v>1</v>
      </c>
      <c r="K55" s="279"/>
      <c r="L55" s="277"/>
      <c r="M55" s="280">
        <f t="shared" ref="M55:M65" si="39">M$35</f>
        <v>3028</v>
      </c>
      <c r="N55" s="281">
        <f t="shared" ref="N55:N65" si="40">N$29</f>
        <v>2</v>
      </c>
      <c r="O55" s="295">
        <v>1.7</v>
      </c>
      <c r="P55" s="282">
        <f t="shared" si="27"/>
        <v>1.58</v>
      </c>
      <c r="Q55" s="277"/>
      <c r="R55" s="283">
        <f t="shared" ref="R55:R65" si="41">$R$28</f>
        <v>495</v>
      </c>
      <c r="S55" s="280">
        <f t="shared" si="28"/>
        <v>131.44242424242424</v>
      </c>
      <c r="T55" s="425">
        <f t="shared" si="29"/>
        <v>16266</v>
      </c>
      <c r="U55" s="284">
        <f t="shared" si="30"/>
        <v>48798</v>
      </c>
      <c r="V55" s="277"/>
      <c r="W55" s="285"/>
      <c r="X55" s="285">
        <f t="shared" si="31"/>
        <v>0</v>
      </c>
      <c r="Y55" s="277"/>
      <c r="Z55" s="277"/>
      <c r="AA55" s="277"/>
      <c r="AB55" s="277"/>
      <c r="AC55" s="277"/>
      <c r="AD55" s="277"/>
      <c r="AE55" s="277"/>
      <c r="AF55" s="277"/>
      <c r="AG55" s="277"/>
      <c r="AH55" s="277"/>
      <c r="AI55" s="277"/>
      <c r="AJ55" s="277"/>
      <c r="AK55" s="277">
        <v>7</v>
      </c>
      <c r="AL55" s="277"/>
      <c r="AM55" s="285">
        <f t="shared" si="32"/>
        <v>3415.8600000000006</v>
      </c>
      <c r="AN55" s="277"/>
      <c r="AO55" s="277"/>
      <c r="AP55" s="277"/>
      <c r="AQ55" s="284">
        <f t="shared" si="33"/>
        <v>3415.8600000000006</v>
      </c>
      <c r="AR55" s="277">
        <f t="shared" ref="AR55:AR64" si="42">AR$29</f>
        <v>20</v>
      </c>
      <c r="AS55" s="277"/>
      <c r="AT55" s="283">
        <f t="shared" si="34"/>
        <v>9759.6</v>
      </c>
      <c r="AU55" s="277"/>
      <c r="AV55" s="277">
        <v>100</v>
      </c>
      <c r="AW55" s="277"/>
      <c r="AX55" s="277"/>
      <c r="AY55" s="277"/>
      <c r="AZ55" s="280"/>
      <c r="BA55" s="284">
        <f t="shared" si="35"/>
        <v>9759.6</v>
      </c>
      <c r="BB55" s="284">
        <f t="shared" si="36"/>
        <v>61973.46</v>
      </c>
      <c r="BC55" s="284">
        <f t="shared" si="37"/>
        <v>61973.46</v>
      </c>
      <c r="BD55" s="343">
        <f>BC55/C55/3</f>
        <v>20657.82</v>
      </c>
      <c r="BE55" s="286"/>
      <c r="BF55" s="251"/>
      <c r="BG55" s="251"/>
      <c r="BH55" s="251"/>
      <c r="BI55" s="251"/>
      <c r="BJ55" s="251"/>
      <c r="BK55" s="251"/>
      <c r="BL55" s="251"/>
      <c r="BM55" s="251"/>
    </row>
    <row r="56" spans="1:68" s="316" customFormat="1" x14ac:dyDescent="0.25">
      <c r="A56" s="306"/>
      <c r="B56" s="307" t="s">
        <v>229</v>
      </c>
      <c r="C56" s="329">
        <f>SUM(C50:C55)</f>
        <v>6</v>
      </c>
      <c r="D56" s="330"/>
      <c r="E56" s="330"/>
      <c r="F56" s="330"/>
      <c r="G56" s="330"/>
      <c r="H56" s="330"/>
      <c r="I56" s="330"/>
      <c r="J56" s="330"/>
      <c r="K56" s="330"/>
      <c r="L56" s="307"/>
      <c r="M56" s="331"/>
      <c r="N56" s="307"/>
      <c r="O56" s="307"/>
      <c r="P56" s="332"/>
      <c r="Q56" s="307"/>
      <c r="R56" s="331"/>
      <c r="S56" s="331"/>
      <c r="T56" s="333">
        <f>U56/3</f>
        <v>112908</v>
      </c>
      <c r="U56" s="329">
        <f>SUM(U50:U55)</f>
        <v>338724</v>
      </c>
      <c r="V56" s="329"/>
      <c r="W56" s="329">
        <f>SUM(W50:W55)</f>
        <v>0</v>
      </c>
      <c r="X56" s="329">
        <f>SUM(X50:X55)</f>
        <v>64587.600000000006</v>
      </c>
      <c r="Y56" s="329"/>
      <c r="Z56" s="329">
        <f>SUM(Z50:Z55)</f>
        <v>0</v>
      </c>
      <c r="AA56" s="329">
        <f>SUM(AA50:AA55)</f>
        <v>0</v>
      </c>
      <c r="AB56" s="329"/>
      <c r="AC56" s="329"/>
      <c r="AD56" s="329">
        <f>SUM(AD50:AD55)</f>
        <v>0</v>
      </c>
      <c r="AE56" s="329"/>
      <c r="AF56" s="329">
        <f>SUM(AF50:AF55)</f>
        <v>0</v>
      </c>
      <c r="AG56" s="329">
        <f>SUM(AG50:AG55)</f>
        <v>0</v>
      </c>
      <c r="AH56" s="329"/>
      <c r="AI56" s="329">
        <f>SUM(AI50:AI55)</f>
        <v>0</v>
      </c>
      <c r="AJ56" s="329">
        <f>SUM(AJ50:AJ55)</f>
        <v>0</v>
      </c>
      <c r="AK56" s="284"/>
      <c r="AL56" s="284">
        <f>SUM(AL50:AL53)</f>
        <v>0</v>
      </c>
      <c r="AM56" s="284">
        <f>SUM(AM50:AM55)</f>
        <v>22103.190000000002</v>
      </c>
      <c r="AN56" s="329"/>
      <c r="AO56" s="329">
        <f>SUM(AO50:AO55)</f>
        <v>0</v>
      </c>
      <c r="AP56" s="329">
        <f>SUM(AP50:AP55)</f>
        <v>0</v>
      </c>
      <c r="AQ56" s="329">
        <f>SUM(AQ50:AQ55)</f>
        <v>86690.79</v>
      </c>
      <c r="AR56" s="284"/>
      <c r="AS56" s="284">
        <f>SUM(AS50:AS53)</f>
        <v>46503</v>
      </c>
      <c r="AT56" s="284">
        <f>SUM(AT50:AT55)</f>
        <v>67744.800000000003</v>
      </c>
      <c r="AU56" s="284">
        <f>SUM(AU50:AU55)</f>
        <v>1</v>
      </c>
      <c r="AV56" s="284"/>
      <c r="AW56" s="284">
        <f>SUM(AW50:AW55)</f>
        <v>22008</v>
      </c>
      <c r="AX56" s="284"/>
      <c r="AY56" s="284">
        <f>SUM(AY50:AY53)</f>
        <v>0</v>
      </c>
      <c r="AZ56" s="284">
        <f>SUM(AZ50:AZ55)</f>
        <v>0</v>
      </c>
      <c r="BA56" s="284">
        <f>SUM(BA50:BA55)</f>
        <v>89752.8</v>
      </c>
      <c r="BB56" s="284">
        <f>SUM(BB50:BB55)</f>
        <v>515167.59</v>
      </c>
      <c r="BC56" s="284">
        <f>SUM(BC50:BC55)</f>
        <v>515167.59</v>
      </c>
      <c r="BD56" s="286">
        <f t="shared" si="38"/>
        <v>28620.421666666665</v>
      </c>
      <c r="BE56" s="286"/>
      <c r="BF56" s="316">
        <f t="shared" ref="BF56:BM56" si="43">SUM(BF50:BF53)</f>
        <v>0</v>
      </c>
      <c r="BG56" s="316">
        <f t="shared" si="43"/>
        <v>0</v>
      </c>
      <c r="BH56" s="316">
        <f t="shared" si="43"/>
        <v>0</v>
      </c>
      <c r="BI56" s="316">
        <f t="shared" si="43"/>
        <v>0</v>
      </c>
      <c r="BJ56" s="316">
        <f t="shared" si="43"/>
        <v>202021.68</v>
      </c>
      <c r="BK56" s="316">
        <f t="shared" si="43"/>
        <v>0</v>
      </c>
      <c r="BL56" s="316">
        <f t="shared" si="43"/>
        <v>0</v>
      </c>
      <c r="BM56" s="316">
        <f t="shared" si="43"/>
        <v>0</v>
      </c>
      <c r="BP56" s="315">
        <f>BC56+BC164+BC272+BC380+BC488+BC593</f>
        <v>2066409.3599999999</v>
      </c>
    </row>
    <row r="57" spans="1:68" s="287" customFormat="1" ht="18" customHeight="1" x14ac:dyDescent="0.25">
      <c r="A57" s="270"/>
      <c r="B57" s="334" t="s">
        <v>239</v>
      </c>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6"/>
      <c r="AL57" s="336"/>
      <c r="AM57" s="336"/>
      <c r="AN57" s="335"/>
      <c r="AO57" s="335"/>
      <c r="AP57" s="335"/>
      <c r="AQ57" s="335"/>
      <c r="AR57" s="336"/>
      <c r="AS57" s="336"/>
      <c r="AT57" s="336"/>
      <c r="AU57" s="336"/>
      <c r="AV57" s="336"/>
      <c r="AW57" s="336"/>
      <c r="AX57" s="336"/>
      <c r="AY57" s="336"/>
      <c r="AZ57" s="336"/>
      <c r="BA57" s="336"/>
      <c r="BB57" s="336"/>
      <c r="BC57" s="337"/>
      <c r="BD57" s="286"/>
      <c r="BE57" s="274"/>
      <c r="BF57" s="338" t="e">
        <f>BC67-#REF!</f>
        <v>#REF!</v>
      </c>
    </row>
    <row r="58" spans="1:68" s="287" customFormat="1" ht="17.25" customHeight="1" x14ac:dyDescent="0.25">
      <c r="A58" s="276"/>
      <c r="B58" s="288" t="s">
        <v>240</v>
      </c>
      <c r="C58" s="278">
        <v>3</v>
      </c>
      <c r="D58" s="279"/>
      <c r="E58" s="279"/>
      <c r="F58" s="328"/>
      <c r="G58" s="328"/>
      <c r="H58" s="279">
        <v>1</v>
      </c>
      <c r="I58" s="328"/>
      <c r="J58" s="328"/>
      <c r="K58" s="279"/>
      <c r="L58" s="277">
        <v>4</v>
      </c>
      <c r="M58" s="280">
        <f t="shared" si="39"/>
        <v>3028</v>
      </c>
      <c r="N58" s="281">
        <f t="shared" si="40"/>
        <v>2</v>
      </c>
      <c r="O58" s="277">
        <v>1.43</v>
      </c>
      <c r="P58" s="282">
        <f>P$244</f>
        <v>1.58</v>
      </c>
      <c r="Q58" s="277"/>
      <c r="R58" s="283">
        <f t="shared" si="41"/>
        <v>495</v>
      </c>
      <c r="S58" s="280">
        <f t="shared" ref="S58:S65" si="44">T58/(R58/4)</f>
        <v>110.56969696969696</v>
      </c>
      <c r="T58" s="425">
        <f t="shared" ref="T58:T65" si="45">ROUND(M58*N58*O58*P58,0)</f>
        <v>13683</v>
      </c>
      <c r="U58" s="284">
        <f>T58*C58*3</f>
        <v>123147</v>
      </c>
      <c r="V58" s="277">
        <v>16</v>
      </c>
      <c r="W58" s="285"/>
      <c r="X58" s="285">
        <f t="shared" ref="X58:X63" si="46">U58*V58%</f>
        <v>19703.52</v>
      </c>
      <c r="Y58" s="277">
        <v>4</v>
      </c>
      <c r="Z58" s="285"/>
      <c r="AA58" s="285">
        <f>U58*Y58%</f>
        <v>4925.88</v>
      </c>
      <c r="AB58" s="277"/>
      <c r="AC58" s="277"/>
      <c r="AD58" s="277"/>
      <c r="AE58" s="277"/>
      <c r="AF58" s="277"/>
      <c r="AG58" s="277"/>
      <c r="AH58" s="277"/>
      <c r="AI58" s="277"/>
      <c r="AJ58" s="277"/>
      <c r="AK58" s="277">
        <v>7</v>
      </c>
      <c r="AL58" s="277"/>
      <c r="AM58" s="285">
        <f t="shared" ref="AM58:AM64" si="47">T58*AK58%*3</f>
        <v>2873.4300000000003</v>
      </c>
      <c r="AN58" s="277"/>
      <c r="AO58" s="277"/>
      <c r="AP58" s="277"/>
      <c r="AQ58" s="284">
        <f t="shared" ref="AQ58:AQ66" si="48">X58+AA58+AD58+AG58+AJ58+AM58+AP58</f>
        <v>27502.83</v>
      </c>
      <c r="AR58" s="277">
        <f t="shared" si="42"/>
        <v>20</v>
      </c>
      <c r="AS58" s="277">
        <f t="shared" ref="AS58:AS63" si="49">AT58/C58</f>
        <v>8209.8000000000011</v>
      </c>
      <c r="AT58" s="283">
        <f t="shared" ref="AT58:AT64" si="50">(U58)*AR58%</f>
        <v>24629.4</v>
      </c>
      <c r="AU58" s="339"/>
      <c r="AV58" s="277">
        <v>100</v>
      </c>
      <c r="AW58" s="277">
        <f t="shared" ref="AW58:AW63" si="51">AU58*T58</f>
        <v>0</v>
      </c>
      <c r="AX58" s="277"/>
      <c r="AY58" s="277"/>
      <c r="AZ58" s="283"/>
      <c r="BA58" s="284">
        <f t="shared" ref="BA58:BA65" si="52">AT58+AW58+AZ58</f>
        <v>24629.4</v>
      </c>
      <c r="BB58" s="284">
        <f t="shared" ref="BB58:BB63" si="53">BC58/C58</f>
        <v>58426.41</v>
      </c>
      <c r="BC58" s="284">
        <f t="shared" ref="BC58:BC63" si="54">BA58+AQ58+U58</f>
        <v>175279.23</v>
      </c>
      <c r="BD58" s="286">
        <f t="shared" si="38"/>
        <v>19475.47</v>
      </c>
      <c r="BE58" s="286"/>
      <c r="BF58" s="241">
        <f t="shared" ref="BF58:BF63" si="55">IF(D58=1,BC58,0)</f>
        <v>0</v>
      </c>
      <c r="BG58" s="241">
        <f t="shared" ref="BG58:BG63" si="56">IF(E58=1,BC58,0)</f>
        <v>0</v>
      </c>
      <c r="BH58" s="241">
        <f t="shared" ref="BH58:BH63" si="57">IF(F58=1,BC58,0)</f>
        <v>0</v>
      </c>
      <c r="BI58" s="241">
        <f t="shared" ref="BI58:BI63" si="58">IF(G58=1,BC58,0)</f>
        <v>0</v>
      </c>
      <c r="BJ58" s="251">
        <f t="shared" ref="BJ58:BJ63" si="59">IF(H58=1,BC58,0)</f>
        <v>175279.23</v>
      </c>
      <c r="BK58" s="241">
        <f t="shared" ref="BK58:BK63" si="60">IF(I58=1,BC58,0)</f>
        <v>0</v>
      </c>
      <c r="BL58" s="241">
        <f t="shared" ref="BL58:BL63" si="61">IF(J58=1,BC58,0)</f>
        <v>0</v>
      </c>
      <c r="BM58" s="241">
        <f t="shared" ref="BM58:BM63" si="62">IF(K58=1,BC58,0)</f>
        <v>0</v>
      </c>
    </row>
    <row r="59" spans="1:68" s="287" customFormat="1" ht="17.25" customHeight="1" x14ac:dyDescent="0.25">
      <c r="A59" s="276"/>
      <c r="B59" s="288" t="s">
        <v>240</v>
      </c>
      <c r="C59" s="278">
        <v>8</v>
      </c>
      <c r="D59" s="279"/>
      <c r="E59" s="279"/>
      <c r="F59" s="328"/>
      <c r="G59" s="328"/>
      <c r="H59" s="279">
        <v>1</v>
      </c>
      <c r="I59" s="328"/>
      <c r="J59" s="328"/>
      <c r="K59" s="279"/>
      <c r="L59" s="277">
        <v>4</v>
      </c>
      <c r="M59" s="280">
        <f t="shared" si="39"/>
        <v>3028</v>
      </c>
      <c r="N59" s="281">
        <f t="shared" si="40"/>
        <v>2</v>
      </c>
      <c r="O59" s="277">
        <v>1.43</v>
      </c>
      <c r="P59" s="282">
        <f>P$244</f>
        <v>1.58</v>
      </c>
      <c r="Q59" s="277"/>
      <c r="R59" s="283">
        <f t="shared" si="41"/>
        <v>495</v>
      </c>
      <c r="S59" s="280">
        <f t="shared" si="44"/>
        <v>110.56969696969696</v>
      </c>
      <c r="T59" s="425">
        <f t="shared" si="45"/>
        <v>13683</v>
      </c>
      <c r="U59" s="284">
        <f t="shared" ref="U59:U65" si="63">T59*C59*3</f>
        <v>328392</v>
      </c>
      <c r="V59" s="277">
        <v>16</v>
      </c>
      <c r="W59" s="285"/>
      <c r="X59" s="285">
        <f t="shared" si="46"/>
        <v>52542.720000000001</v>
      </c>
      <c r="Y59" s="277">
        <v>4</v>
      </c>
      <c r="Z59" s="285"/>
      <c r="AA59" s="285">
        <f>U59*Y59%</f>
        <v>13135.68</v>
      </c>
      <c r="AB59" s="277">
        <v>20</v>
      </c>
      <c r="AC59" s="277"/>
      <c r="AD59" s="340">
        <f>SUM([3]ночн.празд!T3:T5)</f>
        <v>11955.765728987993</v>
      </c>
      <c r="AE59" s="341">
        <v>35</v>
      </c>
      <c r="AF59" s="340"/>
      <c r="AG59" s="340">
        <f>SUM([3]ночн.празд!U3:U5)</f>
        <v>41845.180051457981</v>
      </c>
      <c r="AH59" s="341">
        <v>200</v>
      </c>
      <c r="AI59" s="340"/>
      <c r="AJ59" s="340">
        <f>SUM([3]ночн.празд!R3:S5)</f>
        <v>31700.319082332764</v>
      </c>
      <c r="AK59" s="277"/>
      <c r="AL59" s="277"/>
      <c r="AM59" s="285">
        <f t="shared" si="47"/>
        <v>0</v>
      </c>
      <c r="AN59" s="277"/>
      <c r="AO59" s="277"/>
      <c r="AP59" s="277"/>
      <c r="AQ59" s="284">
        <f t="shared" si="48"/>
        <v>151179.66486277874</v>
      </c>
      <c r="AR59" s="277">
        <f t="shared" si="42"/>
        <v>20</v>
      </c>
      <c r="AS59" s="277">
        <f t="shared" si="49"/>
        <v>8209.8000000000011</v>
      </c>
      <c r="AT59" s="283">
        <f t="shared" si="50"/>
        <v>65678.400000000009</v>
      </c>
      <c r="AU59" s="339"/>
      <c r="AV59" s="277">
        <v>100</v>
      </c>
      <c r="AW59" s="277">
        <f t="shared" si="51"/>
        <v>0</v>
      </c>
      <c r="AX59" s="277"/>
      <c r="AY59" s="277"/>
      <c r="AZ59" s="283"/>
      <c r="BA59" s="284">
        <f t="shared" si="52"/>
        <v>65678.400000000009</v>
      </c>
      <c r="BB59" s="284">
        <f t="shared" si="53"/>
        <v>68156.258107847345</v>
      </c>
      <c r="BC59" s="284">
        <f t="shared" si="54"/>
        <v>545250.06486277876</v>
      </c>
      <c r="BD59" s="286">
        <f t="shared" si="38"/>
        <v>22718.75270261578</v>
      </c>
      <c r="BE59" s="286"/>
      <c r="BF59" s="241">
        <f t="shared" si="55"/>
        <v>0</v>
      </c>
      <c r="BG59" s="241">
        <f t="shared" si="56"/>
        <v>0</v>
      </c>
      <c r="BH59" s="241">
        <f t="shared" si="57"/>
        <v>0</v>
      </c>
      <c r="BI59" s="241">
        <f t="shared" si="58"/>
        <v>0</v>
      </c>
      <c r="BJ59" s="251">
        <f t="shared" si="59"/>
        <v>545250.06486277876</v>
      </c>
      <c r="BK59" s="241">
        <f t="shared" si="60"/>
        <v>0</v>
      </c>
      <c r="BL59" s="241">
        <f t="shared" si="61"/>
        <v>0</v>
      </c>
      <c r="BM59" s="241">
        <f t="shared" si="62"/>
        <v>0</v>
      </c>
    </row>
    <row r="60" spans="1:68" s="287" customFormat="1" ht="17.25" customHeight="1" x14ac:dyDescent="0.25">
      <c r="A60" s="276"/>
      <c r="B60" s="288" t="s">
        <v>240</v>
      </c>
      <c r="C60" s="278">
        <v>3</v>
      </c>
      <c r="D60" s="279"/>
      <c r="E60" s="279"/>
      <c r="F60" s="328"/>
      <c r="G60" s="328"/>
      <c r="H60" s="279">
        <v>1</v>
      </c>
      <c r="I60" s="328"/>
      <c r="J60" s="328"/>
      <c r="K60" s="279"/>
      <c r="L60" s="277">
        <v>5</v>
      </c>
      <c r="M60" s="280">
        <f t="shared" si="39"/>
        <v>3028</v>
      </c>
      <c r="N60" s="281">
        <f t="shared" si="40"/>
        <v>2</v>
      </c>
      <c r="O60" s="277">
        <v>1.67</v>
      </c>
      <c r="P60" s="282">
        <f>P$244</f>
        <v>1.58</v>
      </c>
      <c r="Q60" s="277"/>
      <c r="R60" s="283">
        <f t="shared" si="41"/>
        <v>495</v>
      </c>
      <c r="S60" s="280">
        <f t="shared" si="44"/>
        <v>129.12323232323232</v>
      </c>
      <c r="T60" s="425">
        <f t="shared" si="45"/>
        <v>15979</v>
      </c>
      <c r="U60" s="284">
        <f t="shared" si="63"/>
        <v>143811</v>
      </c>
      <c r="V60" s="277">
        <v>20</v>
      </c>
      <c r="W60" s="285"/>
      <c r="X60" s="285">
        <f t="shared" si="46"/>
        <v>28762.2</v>
      </c>
      <c r="Y60" s="277">
        <v>4</v>
      </c>
      <c r="Z60" s="285"/>
      <c r="AA60" s="285">
        <f>U60*Y60%</f>
        <v>5752.4400000000005</v>
      </c>
      <c r="AB60" s="277"/>
      <c r="AC60" s="277"/>
      <c r="AD60" s="277"/>
      <c r="AE60" s="277"/>
      <c r="AF60" s="277"/>
      <c r="AG60" s="277"/>
      <c r="AH60" s="277"/>
      <c r="AI60" s="277"/>
      <c r="AJ60" s="277"/>
      <c r="AK60" s="277">
        <f>(10+10+15)/3</f>
        <v>11.666666666666666</v>
      </c>
      <c r="AL60" s="277"/>
      <c r="AM60" s="342">
        <f>3*T60*AK60%*3</f>
        <v>16777.949999999997</v>
      </c>
      <c r="AN60" s="277"/>
      <c r="AO60" s="277"/>
      <c r="AP60" s="277"/>
      <c r="AQ60" s="284">
        <f t="shared" si="48"/>
        <v>51292.59</v>
      </c>
      <c r="AR60" s="277">
        <f t="shared" si="42"/>
        <v>20</v>
      </c>
      <c r="AS60" s="277">
        <f t="shared" si="49"/>
        <v>9587.4</v>
      </c>
      <c r="AT60" s="283">
        <f t="shared" si="50"/>
        <v>28762.2</v>
      </c>
      <c r="AU60" s="277">
        <v>1</v>
      </c>
      <c r="AV60" s="277">
        <v>100</v>
      </c>
      <c r="AW60" s="277">
        <f t="shared" si="51"/>
        <v>15979</v>
      </c>
      <c r="AX60" s="277"/>
      <c r="AY60" s="277"/>
      <c r="AZ60" s="283"/>
      <c r="BA60" s="284">
        <f t="shared" si="52"/>
        <v>44741.2</v>
      </c>
      <c r="BB60" s="284">
        <f t="shared" si="53"/>
        <v>79948.263333333321</v>
      </c>
      <c r="BC60" s="284">
        <f t="shared" si="54"/>
        <v>239844.78999999998</v>
      </c>
      <c r="BD60" s="286">
        <f t="shared" si="38"/>
        <v>26649.421111111107</v>
      </c>
      <c r="BE60" s="286"/>
      <c r="BF60" s="241">
        <f t="shared" si="55"/>
        <v>0</v>
      </c>
      <c r="BG60" s="241">
        <f t="shared" si="56"/>
        <v>0</v>
      </c>
      <c r="BH60" s="241">
        <f t="shared" si="57"/>
        <v>0</v>
      </c>
      <c r="BI60" s="241">
        <f t="shared" si="58"/>
        <v>0</v>
      </c>
      <c r="BJ60" s="251">
        <f t="shared" si="59"/>
        <v>239844.78999999998</v>
      </c>
      <c r="BK60" s="241">
        <f t="shared" si="60"/>
        <v>0</v>
      </c>
      <c r="BL60" s="241">
        <f t="shared" si="61"/>
        <v>0</v>
      </c>
      <c r="BM60" s="241">
        <f t="shared" si="62"/>
        <v>0</v>
      </c>
    </row>
    <row r="61" spans="1:68" s="287" customFormat="1" ht="17.25" customHeight="1" x14ac:dyDescent="0.25">
      <c r="A61" s="276"/>
      <c r="B61" s="288" t="s">
        <v>240</v>
      </c>
      <c r="C61" s="278">
        <v>4</v>
      </c>
      <c r="D61" s="279"/>
      <c r="E61" s="279"/>
      <c r="F61" s="328"/>
      <c r="G61" s="328"/>
      <c r="H61" s="279">
        <v>1</v>
      </c>
      <c r="I61" s="328"/>
      <c r="J61" s="328"/>
      <c r="K61" s="279"/>
      <c r="L61" s="277">
        <v>5</v>
      </c>
      <c r="M61" s="280">
        <f t="shared" si="39"/>
        <v>3028</v>
      </c>
      <c r="N61" s="281">
        <f t="shared" si="40"/>
        <v>2</v>
      </c>
      <c r="O61" s="277">
        <v>1.67</v>
      </c>
      <c r="P61" s="282">
        <f>P$244</f>
        <v>1.58</v>
      </c>
      <c r="Q61" s="277"/>
      <c r="R61" s="283">
        <f t="shared" si="41"/>
        <v>495</v>
      </c>
      <c r="S61" s="280">
        <f t="shared" si="44"/>
        <v>129.12323232323232</v>
      </c>
      <c r="T61" s="425">
        <f t="shared" si="45"/>
        <v>15979</v>
      </c>
      <c r="U61" s="284">
        <f t="shared" si="63"/>
        <v>191748</v>
      </c>
      <c r="V61" s="277">
        <v>20</v>
      </c>
      <c r="W61" s="285"/>
      <c r="X61" s="285">
        <f t="shared" si="46"/>
        <v>38349.599999999999</v>
      </c>
      <c r="Y61" s="277">
        <v>4</v>
      </c>
      <c r="Z61" s="285"/>
      <c r="AA61" s="285">
        <f>U61*Y61%</f>
        <v>7669.92</v>
      </c>
      <c r="AB61" s="277">
        <v>20</v>
      </c>
      <c r="AC61" s="277"/>
      <c r="AD61" s="340">
        <f>SUM([3]ночн.празд!L3:L5)</f>
        <v>6980.9683762149807</v>
      </c>
      <c r="AE61" s="341">
        <v>35</v>
      </c>
      <c r="AF61" s="340"/>
      <c r="AG61" s="340">
        <f>SUM([3]ночн.празд!M3:M5)</f>
        <v>24433.389316752429</v>
      </c>
      <c r="AH61" s="341">
        <v>200</v>
      </c>
      <c r="AI61" s="340"/>
      <c r="AJ61" s="340">
        <f>SUM([3]ночн.празд!J3:K5)</f>
        <v>22909.400185820472</v>
      </c>
      <c r="AK61" s="277">
        <f>(7+7)/2</f>
        <v>7</v>
      </c>
      <c r="AL61" s="277"/>
      <c r="AM61" s="285">
        <f>2*T61*AK61%*3</f>
        <v>6711.1800000000012</v>
      </c>
      <c r="AN61" s="277"/>
      <c r="AO61" s="277"/>
      <c r="AP61" s="277"/>
      <c r="AQ61" s="284">
        <f t="shared" si="48"/>
        <v>107054.45787878789</v>
      </c>
      <c r="AR61" s="277">
        <v>20</v>
      </c>
      <c r="AS61" s="277">
        <f t="shared" si="49"/>
        <v>9587.4</v>
      </c>
      <c r="AT61" s="283">
        <f t="shared" si="50"/>
        <v>38349.599999999999</v>
      </c>
      <c r="AU61" s="277"/>
      <c r="AV61" s="277">
        <v>100</v>
      </c>
      <c r="AW61" s="277">
        <f t="shared" si="51"/>
        <v>0</v>
      </c>
      <c r="AX61" s="277"/>
      <c r="AY61" s="277"/>
      <c r="AZ61" s="283"/>
      <c r="BA61" s="284">
        <f t="shared" si="52"/>
        <v>38349.599999999999</v>
      </c>
      <c r="BB61" s="284">
        <f t="shared" si="53"/>
        <v>84288.014469696966</v>
      </c>
      <c r="BC61" s="284">
        <f t="shared" si="54"/>
        <v>337152.05787878786</v>
      </c>
      <c r="BD61" s="286">
        <f t="shared" si="38"/>
        <v>28096.004823232321</v>
      </c>
      <c r="BE61" s="286"/>
      <c r="BF61" s="241">
        <f t="shared" si="55"/>
        <v>0</v>
      </c>
      <c r="BG61" s="241">
        <f t="shared" si="56"/>
        <v>0</v>
      </c>
      <c r="BH61" s="241">
        <f t="shared" si="57"/>
        <v>0</v>
      </c>
      <c r="BI61" s="241">
        <f t="shared" si="58"/>
        <v>0</v>
      </c>
      <c r="BJ61" s="251">
        <f t="shared" si="59"/>
        <v>337152.05787878786</v>
      </c>
      <c r="BK61" s="241">
        <f t="shared" si="60"/>
        <v>0</v>
      </c>
      <c r="BL61" s="241">
        <f t="shared" si="61"/>
        <v>0</v>
      </c>
      <c r="BM61" s="241">
        <f t="shared" si="62"/>
        <v>0</v>
      </c>
    </row>
    <row r="62" spans="1:68" s="287" customFormat="1" x14ac:dyDescent="0.25">
      <c r="A62" s="276"/>
      <c r="B62" s="288" t="s">
        <v>241</v>
      </c>
      <c r="C62" s="278">
        <v>2</v>
      </c>
      <c r="D62" s="279"/>
      <c r="E62" s="279"/>
      <c r="F62" s="328"/>
      <c r="G62" s="328"/>
      <c r="H62" s="279">
        <v>1</v>
      </c>
      <c r="I62" s="328"/>
      <c r="J62" s="328"/>
      <c r="K62" s="279"/>
      <c r="L62" s="277">
        <v>5</v>
      </c>
      <c r="M62" s="280">
        <f t="shared" si="39"/>
        <v>3028</v>
      </c>
      <c r="N62" s="281">
        <f t="shared" si="40"/>
        <v>2</v>
      </c>
      <c r="O62" s="277">
        <v>1.67</v>
      </c>
      <c r="P62" s="282">
        <f>P$244</f>
        <v>1.58</v>
      </c>
      <c r="Q62" s="277"/>
      <c r="R62" s="283">
        <f t="shared" si="41"/>
        <v>495</v>
      </c>
      <c r="S62" s="280">
        <f t="shared" si="44"/>
        <v>129.12323232323232</v>
      </c>
      <c r="T62" s="425">
        <f t="shared" si="45"/>
        <v>15979</v>
      </c>
      <c r="U62" s="284">
        <f t="shared" si="63"/>
        <v>95874</v>
      </c>
      <c r="V62" s="277">
        <v>20</v>
      </c>
      <c r="W62" s="285"/>
      <c r="X62" s="285">
        <f t="shared" si="46"/>
        <v>19174.8</v>
      </c>
      <c r="Y62" s="277">
        <v>8</v>
      </c>
      <c r="Z62" s="285"/>
      <c r="AA62" s="285">
        <f>U62*Y62%</f>
        <v>7669.92</v>
      </c>
      <c r="AB62" s="277"/>
      <c r="AC62" s="277"/>
      <c r="AD62" s="277"/>
      <c r="AE62" s="277"/>
      <c r="AF62" s="277"/>
      <c r="AG62" s="277"/>
      <c r="AH62" s="277"/>
      <c r="AI62" s="277"/>
      <c r="AJ62" s="277"/>
      <c r="AK62" s="277">
        <f>(30+10)/2</f>
        <v>20</v>
      </c>
      <c r="AL62" s="277"/>
      <c r="AM62" s="342">
        <f>2*T62*AK62%*3</f>
        <v>19174.800000000003</v>
      </c>
      <c r="AN62" s="277"/>
      <c r="AO62" s="277"/>
      <c r="AP62" s="277"/>
      <c r="AQ62" s="284">
        <f t="shared" si="48"/>
        <v>46019.520000000004</v>
      </c>
      <c r="AR62" s="277">
        <f t="shared" si="42"/>
        <v>20</v>
      </c>
      <c r="AS62" s="277">
        <f t="shared" si="49"/>
        <v>9587.4</v>
      </c>
      <c r="AT62" s="283">
        <f t="shared" si="50"/>
        <v>19174.8</v>
      </c>
      <c r="AU62" s="277"/>
      <c r="AV62" s="277">
        <v>100</v>
      </c>
      <c r="AW62" s="277">
        <f t="shared" si="51"/>
        <v>0</v>
      </c>
      <c r="AX62" s="277"/>
      <c r="AY62" s="277"/>
      <c r="AZ62" s="283"/>
      <c r="BA62" s="284">
        <f t="shared" si="52"/>
        <v>19174.8</v>
      </c>
      <c r="BB62" s="284">
        <f t="shared" si="53"/>
        <v>80534.16</v>
      </c>
      <c r="BC62" s="284">
        <f t="shared" si="54"/>
        <v>161068.32</v>
      </c>
      <c r="BD62" s="286">
        <f t="shared" si="38"/>
        <v>26844.720000000001</v>
      </c>
      <c r="BE62" s="286"/>
      <c r="BF62" s="251">
        <f t="shared" si="55"/>
        <v>0</v>
      </c>
      <c r="BG62" s="251">
        <f t="shared" si="56"/>
        <v>0</v>
      </c>
      <c r="BH62" s="251">
        <f t="shared" si="57"/>
        <v>0</v>
      </c>
      <c r="BI62" s="251">
        <f t="shared" si="58"/>
        <v>0</v>
      </c>
      <c r="BJ62" s="251">
        <f t="shared" si="59"/>
        <v>161068.32</v>
      </c>
      <c r="BK62" s="251">
        <f t="shared" si="60"/>
        <v>0</v>
      </c>
      <c r="BL62" s="251">
        <f t="shared" si="61"/>
        <v>0</v>
      </c>
      <c r="BM62" s="251">
        <f t="shared" si="62"/>
        <v>0</v>
      </c>
    </row>
    <row r="63" spans="1:68" x14ac:dyDescent="0.25">
      <c r="A63" s="344"/>
      <c r="B63" s="288" t="s">
        <v>243</v>
      </c>
      <c r="C63" s="278">
        <v>1</v>
      </c>
      <c r="D63" s="279"/>
      <c r="E63" s="279"/>
      <c r="F63" s="328"/>
      <c r="G63" s="328"/>
      <c r="H63" s="279">
        <v>1</v>
      </c>
      <c r="I63" s="328"/>
      <c r="J63" s="328"/>
      <c r="K63" s="279"/>
      <c r="L63" s="277"/>
      <c r="M63" s="280">
        <f t="shared" si="39"/>
        <v>3028</v>
      </c>
      <c r="N63" s="281">
        <f t="shared" si="40"/>
        <v>2</v>
      </c>
      <c r="O63" s="277">
        <v>1.86</v>
      </c>
      <c r="P63" s="302">
        <v>1</v>
      </c>
      <c r="Q63" s="277"/>
      <c r="R63" s="283">
        <f t="shared" si="41"/>
        <v>495</v>
      </c>
      <c r="S63" s="280">
        <f t="shared" si="44"/>
        <v>91.022222222222226</v>
      </c>
      <c r="T63" s="425">
        <f t="shared" si="45"/>
        <v>11264</v>
      </c>
      <c r="U63" s="284">
        <f t="shared" si="63"/>
        <v>33792</v>
      </c>
      <c r="V63" s="277"/>
      <c r="W63" s="285"/>
      <c r="X63" s="285">
        <f t="shared" si="46"/>
        <v>0</v>
      </c>
      <c r="Y63" s="277"/>
      <c r="Z63" s="277"/>
      <c r="AA63" s="277"/>
      <c r="AB63" s="345"/>
      <c r="AC63" s="345"/>
      <c r="AD63" s="345"/>
      <c r="AE63" s="345"/>
      <c r="AF63" s="345"/>
      <c r="AG63" s="345"/>
      <c r="AH63" s="345"/>
      <c r="AI63" s="345"/>
      <c r="AJ63" s="345"/>
      <c r="AK63" s="277"/>
      <c r="AL63" s="285"/>
      <c r="AM63" s="285">
        <f t="shared" si="47"/>
        <v>0</v>
      </c>
      <c r="AN63" s="277">
        <v>25</v>
      </c>
      <c r="AO63" s="285"/>
      <c r="AP63" s="285">
        <f>U63*AN63%</f>
        <v>8448</v>
      </c>
      <c r="AQ63" s="284">
        <f t="shared" si="48"/>
        <v>8448</v>
      </c>
      <c r="AR63" s="277">
        <f t="shared" si="42"/>
        <v>20</v>
      </c>
      <c r="AS63" s="277">
        <f t="shared" si="49"/>
        <v>6758.4000000000005</v>
      </c>
      <c r="AT63" s="283">
        <f t="shared" si="50"/>
        <v>6758.4000000000005</v>
      </c>
      <c r="AU63" s="277"/>
      <c r="AV63" s="277">
        <v>100</v>
      </c>
      <c r="AW63" s="277">
        <f t="shared" si="51"/>
        <v>0</v>
      </c>
      <c r="AX63" s="277"/>
      <c r="AY63" s="277"/>
      <c r="AZ63" s="304"/>
      <c r="BA63" s="284">
        <f t="shared" si="52"/>
        <v>6758.4000000000005</v>
      </c>
      <c r="BB63" s="284">
        <f t="shared" si="53"/>
        <v>48998.400000000001</v>
      </c>
      <c r="BC63" s="284">
        <f t="shared" si="54"/>
        <v>48998.400000000001</v>
      </c>
      <c r="BD63" s="286">
        <f t="shared" si="38"/>
        <v>16332.800000000001</v>
      </c>
      <c r="BE63" s="286"/>
      <c r="BF63" s="251">
        <f t="shared" si="55"/>
        <v>0</v>
      </c>
      <c r="BG63" s="251">
        <f t="shared" si="56"/>
        <v>0</v>
      </c>
      <c r="BH63" s="251">
        <f t="shared" si="57"/>
        <v>0</v>
      </c>
      <c r="BI63" s="251">
        <f t="shared" si="58"/>
        <v>0</v>
      </c>
      <c r="BJ63" s="251">
        <f t="shared" si="59"/>
        <v>48998.400000000001</v>
      </c>
      <c r="BK63" s="251">
        <f t="shared" si="60"/>
        <v>0</v>
      </c>
      <c r="BL63" s="251">
        <f t="shared" si="61"/>
        <v>0</v>
      </c>
      <c r="BM63" s="251">
        <f t="shared" si="62"/>
        <v>0</v>
      </c>
    </row>
    <row r="64" spans="1:68" x14ac:dyDescent="0.25">
      <c r="A64" s="344"/>
      <c r="B64" s="288" t="s">
        <v>243</v>
      </c>
      <c r="C64" s="278">
        <v>1</v>
      </c>
      <c r="D64" s="279"/>
      <c r="E64" s="279"/>
      <c r="F64" s="328"/>
      <c r="G64" s="328"/>
      <c r="H64" s="279">
        <v>1</v>
      </c>
      <c r="I64" s="328"/>
      <c r="J64" s="328"/>
      <c r="K64" s="279"/>
      <c r="L64" s="277"/>
      <c r="M64" s="280">
        <f t="shared" si="39"/>
        <v>3028</v>
      </c>
      <c r="N64" s="281">
        <f t="shared" si="40"/>
        <v>2</v>
      </c>
      <c r="O64" s="277">
        <v>1.8</v>
      </c>
      <c r="P64" s="302">
        <v>1</v>
      </c>
      <c r="Q64" s="277"/>
      <c r="R64" s="283">
        <f t="shared" si="41"/>
        <v>495</v>
      </c>
      <c r="S64" s="280">
        <f t="shared" si="44"/>
        <v>88.088888888888889</v>
      </c>
      <c r="T64" s="425">
        <f t="shared" si="45"/>
        <v>10901</v>
      </c>
      <c r="U64" s="284">
        <f t="shared" si="63"/>
        <v>32703</v>
      </c>
      <c r="V64" s="277"/>
      <c r="W64" s="285"/>
      <c r="X64" s="285">
        <f>U64*V64%</f>
        <v>0</v>
      </c>
      <c r="Y64" s="277"/>
      <c r="Z64" s="277"/>
      <c r="AA64" s="277"/>
      <c r="AB64" s="345"/>
      <c r="AC64" s="345"/>
      <c r="AD64" s="345"/>
      <c r="AE64" s="345"/>
      <c r="AF64" s="345"/>
      <c r="AG64" s="345"/>
      <c r="AH64" s="345"/>
      <c r="AI64" s="345"/>
      <c r="AJ64" s="345"/>
      <c r="AK64" s="277">
        <v>7</v>
      </c>
      <c r="AL64" s="285"/>
      <c r="AM64" s="285">
        <f t="shared" si="47"/>
        <v>2289.21</v>
      </c>
      <c r="AN64" s="277">
        <v>25</v>
      </c>
      <c r="AO64" s="285"/>
      <c r="AP64" s="285">
        <f>U64*AN64%</f>
        <v>8175.75</v>
      </c>
      <c r="AQ64" s="284">
        <f t="shared" si="48"/>
        <v>10464.959999999999</v>
      </c>
      <c r="AR64" s="277">
        <f t="shared" si="42"/>
        <v>20</v>
      </c>
      <c r="AS64" s="277"/>
      <c r="AT64" s="283">
        <f t="shared" si="50"/>
        <v>6540.6</v>
      </c>
      <c r="AU64" s="277">
        <v>1</v>
      </c>
      <c r="AV64" s="277">
        <v>100</v>
      </c>
      <c r="AW64" s="277"/>
      <c r="AX64" s="277"/>
      <c r="AY64" s="277"/>
      <c r="AZ64" s="304"/>
      <c r="BA64" s="284">
        <f>AT64+AW64+AZ64</f>
        <v>6540.6</v>
      </c>
      <c r="BB64" s="284">
        <f>BC64/C64</f>
        <v>49708.56</v>
      </c>
      <c r="BC64" s="284">
        <f>BA64+AQ64+U64</f>
        <v>49708.56</v>
      </c>
      <c r="BD64" s="286">
        <f t="shared" si="38"/>
        <v>16569.52</v>
      </c>
      <c r="BE64" s="286"/>
      <c r="BF64" s="251"/>
      <c r="BG64" s="251"/>
      <c r="BH64" s="251"/>
      <c r="BI64" s="251"/>
      <c r="BJ64" s="251"/>
      <c r="BK64" s="251"/>
      <c r="BL64" s="251"/>
      <c r="BM64" s="251"/>
    </row>
    <row r="65" spans="1:68" x14ac:dyDescent="0.25">
      <c r="A65" s="344"/>
      <c r="B65" s="288" t="s">
        <v>244</v>
      </c>
      <c r="C65" s="278">
        <v>1</v>
      </c>
      <c r="D65" s="279"/>
      <c r="E65" s="279"/>
      <c r="F65" s="328"/>
      <c r="G65" s="328"/>
      <c r="H65" s="279">
        <v>1</v>
      </c>
      <c r="I65" s="328"/>
      <c r="J65" s="328"/>
      <c r="K65" s="279"/>
      <c r="L65" s="277">
        <v>5</v>
      </c>
      <c r="M65" s="280">
        <f t="shared" si="39"/>
        <v>3028</v>
      </c>
      <c r="N65" s="281">
        <f t="shared" si="40"/>
        <v>2</v>
      </c>
      <c r="O65" s="277">
        <v>1.67</v>
      </c>
      <c r="P65" s="282">
        <f>P$244</f>
        <v>1.58</v>
      </c>
      <c r="Q65" s="277"/>
      <c r="R65" s="283">
        <f t="shared" si="41"/>
        <v>495</v>
      </c>
      <c r="S65" s="280">
        <f t="shared" si="44"/>
        <v>129.12323232323232</v>
      </c>
      <c r="T65" s="425">
        <f t="shared" si="45"/>
        <v>15979</v>
      </c>
      <c r="U65" s="284">
        <f t="shared" si="63"/>
        <v>47937</v>
      </c>
      <c r="V65" s="277">
        <v>20</v>
      </c>
      <c r="W65" s="285"/>
      <c r="X65" s="285">
        <f>U65*V65%</f>
        <v>9587.4</v>
      </c>
      <c r="Y65" s="277"/>
      <c r="Z65" s="277"/>
      <c r="AA65" s="277"/>
      <c r="AB65" s="345"/>
      <c r="AC65" s="345"/>
      <c r="AD65" s="345"/>
      <c r="AE65" s="345"/>
      <c r="AF65" s="345"/>
      <c r="AG65" s="345"/>
      <c r="AH65" s="345"/>
      <c r="AI65" s="345"/>
      <c r="AJ65" s="345"/>
      <c r="AK65" s="277">
        <v>15</v>
      </c>
      <c r="AL65" s="277"/>
      <c r="AM65" s="342">
        <f>T65*AK65%*3</f>
        <v>7190.5499999999993</v>
      </c>
      <c r="AN65" s="345"/>
      <c r="AO65" s="345"/>
      <c r="AP65" s="345"/>
      <c r="AQ65" s="284">
        <f t="shared" si="48"/>
        <v>16777.949999999997</v>
      </c>
      <c r="AR65" s="277">
        <v>20</v>
      </c>
      <c r="AS65" s="277">
        <f>AT65/C65</f>
        <v>9587.4</v>
      </c>
      <c r="AT65" s="283">
        <f>(U65)*AR65%</f>
        <v>9587.4</v>
      </c>
      <c r="AU65" s="277"/>
      <c r="AV65" s="277">
        <v>100</v>
      </c>
      <c r="AW65" s="277">
        <f>AU65*T65</f>
        <v>0</v>
      </c>
      <c r="AX65" s="277"/>
      <c r="AY65" s="277"/>
      <c r="AZ65" s="283"/>
      <c r="BA65" s="284">
        <f t="shared" si="52"/>
        <v>9587.4</v>
      </c>
      <c r="BB65" s="284">
        <f>BC65/C65</f>
        <v>74302.350000000006</v>
      </c>
      <c r="BC65" s="284">
        <f>BA65+AQ65+U65</f>
        <v>74302.350000000006</v>
      </c>
      <c r="BD65" s="286">
        <f t="shared" si="38"/>
        <v>24767.45</v>
      </c>
      <c r="BE65" s="286"/>
      <c r="BF65" s="251">
        <f>IF(D65=1,BC65,0)</f>
        <v>0</v>
      </c>
      <c r="BG65" s="251">
        <f>IF(E65=1,BC65,0)</f>
        <v>0</v>
      </c>
      <c r="BH65" s="251">
        <f>IF(F65=1,BC65,0)</f>
        <v>0</v>
      </c>
      <c r="BI65" s="251">
        <f>IF(G65=1,BC65,0)</f>
        <v>0</v>
      </c>
      <c r="BJ65" s="251">
        <f>IF(H65=1,BC65,0)</f>
        <v>74302.350000000006</v>
      </c>
      <c r="BK65" s="251">
        <f>IF(I65=1,BC65,0)</f>
        <v>0</v>
      </c>
      <c r="BL65" s="251">
        <f>IF(J65=1,BC65,0)</f>
        <v>0</v>
      </c>
      <c r="BM65" s="251">
        <f>IF(K65=1,BC65,0)</f>
        <v>0</v>
      </c>
    </row>
    <row r="66" spans="1:68" ht="8.25" customHeight="1" x14ac:dyDescent="0.25">
      <c r="A66" s="344"/>
      <c r="B66" s="346" t="s">
        <v>245</v>
      </c>
      <c r="C66" s="345"/>
      <c r="D66" s="328"/>
      <c r="E66" s="328"/>
      <c r="F66" s="328"/>
      <c r="G66" s="328"/>
      <c r="H66" s="328"/>
      <c r="I66" s="328"/>
      <c r="J66" s="328"/>
      <c r="K66" s="328"/>
      <c r="L66" s="345"/>
      <c r="M66" s="347"/>
      <c r="N66" s="345"/>
      <c r="O66" s="345"/>
      <c r="P66" s="345"/>
      <c r="Q66" s="345"/>
      <c r="R66" s="347"/>
      <c r="S66" s="347"/>
      <c r="T66" s="345"/>
      <c r="U66" s="348"/>
      <c r="V66" s="345"/>
      <c r="W66" s="345"/>
      <c r="X66" s="345"/>
      <c r="Y66" s="345"/>
      <c r="Z66" s="345"/>
      <c r="AA66" s="345"/>
      <c r="AB66" s="345"/>
      <c r="AC66" s="345"/>
      <c r="AD66" s="345"/>
      <c r="AE66" s="345"/>
      <c r="AF66" s="345"/>
      <c r="AG66" s="345"/>
      <c r="AH66" s="345"/>
      <c r="AI66" s="345"/>
      <c r="AJ66" s="345"/>
      <c r="AK66" s="345"/>
      <c r="AL66" s="345"/>
      <c r="AM66" s="345"/>
      <c r="AN66" s="345"/>
      <c r="AO66" s="345"/>
      <c r="AP66" s="345"/>
      <c r="AQ66" s="284">
        <f t="shared" si="48"/>
        <v>0</v>
      </c>
      <c r="AR66" s="345"/>
      <c r="AS66" s="345"/>
      <c r="AT66" s="347"/>
      <c r="AU66" s="345"/>
      <c r="AV66" s="345"/>
      <c r="AW66" s="345"/>
      <c r="AX66" s="345"/>
      <c r="AY66" s="345"/>
      <c r="AZ66" s="347"/>
      <c r="BA66" s="330"/>
      <c r="BB66" s="330"/>
      <c r="BC66" s="330"/>
      <c r="BD66" s="286"/>
      <c r="BK66" s="241">
        <f>IF(I66=1,BC66,0)</f>
        <v>0</v>
      </c>
      <c r="BL66" s="241">
        <f>IF(J66=1,BC66,0)</f>
        <v>0</v>
      </c>
      <c r="BM66" s="241">
        <f>IF(K66=1,BC66,0)</f>
        <v>0</v>
      </c>
    </row>
    <row r="67" spans="1:68" s="316" customFormat="1" ht="22.9" customHeight="1" x14ac:dyDescent="0.25">
      <c r="A67" s="306"/>
      <c r="B67" s="307" t="s">
        <v>229</v>
      </c>
      <c r="C67" s="308">
        <f>SUM(C58:C65)</f>
        <v>23</v>
      </c>
      <c r="D67" s="309"/>
      <c r="E67" s="309"/>
      <c r="F67" s="309"/>
      <c r="G67" s="309"/>
      <c r="H67" s="309"/>
      <c r="I67" s="309"/>
      <c r="J67" s="309"/>
      <c r="K67" s="309"/>
      <c r="L67" s="309"/>
      <c r="M67" s="310"/>
      <c r="N67" s="309"/>
      <c r="O67" s="309"/>
      <c r="P67" s="309"/>
      <c r="Q67" s="309"/>
      <c r="R67" s="310"/>
      <c r="S67" s="310"/>
      <c r="T67" s="349">
        <f>U67/3</f>
        <v>332468</v>
      </c>
      <c r="U67" s="329">
        <f>SUM(U58:U66)</f>
        <v>997404</v>
      </c>
      <c r="V67" s="309"/>
      <c r="W67" s="309"/>
      <c r="X67" s="329">
        <f>SUM(X58:X65)</f>
        <v>168120.24</v>
      </c>
      <c r="Y67" s="329"/>
      <c r="Z67" s="329"/>
      <c r="AA67" s="329">
        <f>SUM(AA58:AA65)</f>
        <v>39153.839999999997</v>
      </c>
      <c r="AB67" s="329"/>
      <c r="AC67" s="329"/>
      <c r="AD67" s="329">
        <f>SUM(AD58:AD65)</f>
        <v>18936.734105202973</v>
      </c>
      <c r="AE67" s="329"/>
      <c r="AF67" s="329"/>
      <c r="AG67" s="329">
        <f>SUM(AG58:AG65)</f>
        <v>66278.569368210417</v>
      </c>
      <c r="AH67" s="329"/>
      <c r="AI67" s="329"/>
      <c r="AJ67" s="329">
        <f>SUM(AJ58:AJ65)</f>
        <v>54609.719268153232</v>
      </c>
      <c r="AK67" s="329"/>
      <c r="AL67" s="329"/>
      <c r="AM67" s="329">
        <f>SUM(AM58:AM65)</f>
        <v>55017.119999999995</v>
      </c>
      <c r="AN67" s="329"/>
      <c r="AO67" s="329"/>
      <c r="AP67" s="329">
        <f>SUM(AP58:AP65)</f>
        <v>16623.75</v>
      </c>
      <c r="AQ67" s="329">
        <f>SUM(AQ58:AQ65)</f>
        <v>418739.97274156671</v>
      </c>
      <c r="AR67" s="329"/>
      <c r="AS67" s="329">
        <f>SUM(AS58:AS65)</f>
        <v>61527.600000000006</v>
      </c>
      <c r="AT67" s="329">
        <f>SUM(AT58:AT65)</f>
        <v>199480.8</v>
      </c>
      <c r="AU67" s="329">
        <f>SUM(AU58:AU65)</f>
        <v>2</v>
      </c>
      <c r="AV67" s="329"/>
      <c r="AW67" s="329">
        <f>SUM(AW58:AW65)</f>
        <v>15979</v>
      </c>
      <c r="AX67" s="329"/>
      <c r="AY67" s="329">
        <f>SUM(AY58:AY65)</f>
        <v>0</v>
      </c>
      <c r="AZ67" s="329">
        <f>SUM(AZ58:AZ65)</f>
        <v>0</v>
      </c>
      <c r="BA67" s="329">
        <f>SUM(BA58:BA65)</f>
        <v>215459.8</v>
      </c>
      <c r="BB67" s="329">
        <f>SUM(BB58:BB65)</f>
        <v>544362.41591087775</v>
      </c>
      <c r="BC67" s="329">
        <f>SUM(BC58:BC65)</f>
        <v>1631603.7727415666</v>
      </c>
      <c r="BD67" s="286">
        <f t="shared" si="38"/>
        <v>23646.431489008213</v>
      </c>
      <c r="BE67" s="323"/>
      <c r="BF67" s="316">
        <f t="shared" ref="BF67:BM67" si="64">SUM(BF58:BF65)</f>
        <v>0</v>
      </c>
      <c r="BG67" s="316">
        <f t="shared" si="64"/>
        <v>0</v>
      </c>
      <c r="BH67" s="316">
        <f t="shared" si="64"/>
        <v>0</v>
      </c>
      <c r="BI67" s="316">
        <f t="shared" si="64"/>
        <v>0</v>
      </c>
      <c r="BJ67" s="316">
        <f t="shared" si="64"/>
        <v>1581895.2127415666</v>
      </c>
      <c r="BK67" s="316">
        <f t="shared" si="64"/>
        <v>0</v>
      </c>
      <c r="BL67" s="316">
        <f t="shared" si="64"/>
        <v>0</v>
      </c>
      <c r="BM67" s="316">
        <f t="shared" si="64"/>
        <v>0</v>
      </c>
      <c r="BP67" s="315">
        <f>BC67+BC175+BC283+BC391+BC499+BC604</f>
        <v>6830118.124713568</v>
      </c>
    </row>
    <row r="68" spans="1:68" s="316" customFormat="1" ht="3.75" customHeight="1" x14ac:dyDescent="0.25">
      <c r="A68" s="306"/>
      <c r="B68" s="317"/>
      <c r="C68" s="350"/>
      <c r="D68" s="351"/>
      <c r="E68" s="351"/>
      <c r="F68" s="351"/>
      <c r="G68" s="351"/>
      <c r="H68" s="351"/>
      <c r="I68" s="351"/>
      <c r="J68" s="351"/>
      <c r="K68" s="351"/>
      <c r="L68" s="352"/>
      <c r="M68" s="353"/>
      <c r="N68" s="352"/>
      <c r="O68" s="352"/>
      <c r="P68" s="354"/>
      <c r="Q68" s="352"/>
      <c r="R68" s="353"/>
      <c r="S68" s="353"/>
      <c r="T68" s="355"/>
      <c r="U68" s="356"/>
      <c r="V68" s="352"/>
      <c r="W68" s="352"/>
      <c r="X68" s="356"/>
      <c r="Y68" s="356"/>
      <c r="Z68" s="356"/>
      <c r="AA68" s="356"/>
      <c r="AB68" s="356"/>
      <c r="AC68" s="356"/>
      <c r="AD68" s="356"/>
      <c r="AE68" s="356"/>
      <c r="AF68" s="356"/>
      <c r="AG68" s="356"/>
      <c r="AH68" s="356"/>
      <c r="AI68" s="356"/>
      <c r="AJ68" s="356"/>
      <c r="AK68" s="356"/>
      <c r="AL68" s="356"/>
      <c r="AM68" s="356"/>
      <c r="AN68" s="356"/>
      <c r="AO68" s="356"/>
      <c r="AP68" s="356"/>
      <c r="AQ68" s="356"/>
      <c r="AR68" s="357"/>
      <c r="AS68" s="357"/>
      <c r="AT68" s="358"/>
      <c r="AU68" s="357"/>
      <c r="AV68" s="357"/>
      <c r="AW68" s="357"/>
      <c r="AX68" s="357"/>
      <c r="AY68" s="357"/>
      <c r="AZ68" s="358"/>
      <c r="BA68" s="359"/>
      <c r="BB68" s="359"/>
      <c r="BC68" s="360"/>
      <c r="BD68" s="286"/>
      <c r="BE68" s="286"/>
    </row>
    <row r="69" spans="1:68" s="287" customFormat="1" ht="29.25" customHeight="1" x14ac:dyDescent="0.25">
      <c r="A69" s="270"/>
      <c r="B69" s="361" t="s">
        <v>246</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62"/>
      <c r="BD69" s="286"/>
      <c r="BE69" s="274"/>
      <c r="BF69" s="338" t="e">
        <f>BC76-#REF!</f>
        <v>#REF!</v>
      </c>
    </row>
    <row r="70" spans="1:68" s="275" customFormat="1" ht="18.75" customHeight="1" x14ac:dyDescent="0.25">
      <c r="A70" s="270"/>
      <c r="B70" s="361" t="s">
        <v>247</v>
      </c>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62"/>
      <c r="BD70" s="286"/>
      <c r="BE70" s="274"/>
    </row>
    <row r="71" spans="1:68" s="287" customFormat="1" ht="14.25" x14ac:dyDescent="0.25">
      <c r="A71" s="276"/>
      <c r="B71" s="277" t="s">
        <v>248</v>
      </c>
      <c r="C71" s="278">
        <f>'[4]ФОТ2014 общ (2)'!$C$61</f>
        <v>4</v>
      </c>
      <c r="D71" s="279"/>
      <c r="E71" s="279"/>
      <c r="F71" s="279"/>
      <c r="G71" s="279"/>
      <c r="H71" s="279">
        <v>1</v>
      </c>
      <c r="I71" s="279"/>
      <c r="J71" s="279"/>
      <c r="K71" s="279"/>
      <c r="L71" s="277">
        <v>3</v>
      </c>
      <c r="M71" s="280">
        <f t="shared" ref="M71:M76" si="65">M$35</f>
        <v>3028</v>
      </c>
      <c r="N71" s="281">
        <f t="shared" ref="N71:N76" si="66">N$29</f>
        <v>2</v>
      </c>
      <c r="O71" s="277">
        <v>1.25</v>
      </c>
      <c r="P71" s="282">
        <f>P$244</f>
        <v>1.58</v>
      </c>
      <c r="Q71" s="277"/>
      <c r="R71" s="283">
        <f>$R$28</f>
        <v>495</v>
      </c>
      <c r="S71" s="280">
        <f t="shared" ref="S71:S76" si="67">T71/(R71/4)</f>
        <v>96.654545454545456</v>
      </c>
      <c r="T71" s="425">
        <f t="shared" ref="T71:T76" si="68">ROUND(M71*N71*O71*P71,0)</f>
        <v>11961</v>
      </c>
      <c r="U71" s="284">
        <f t="shared" ref="U71:U76" si="69">T71*C71*3</f>
        <v>143532</v>
      </c>
      <c r="V71" s="277">
        <v>12</v>
      </c>
      <c r="W71" s="285"/>
      <c r="X71" s="285">
        <f t="shared" ref="X71:X76" si="70">U71*V71%</f>
        <v>17223.84</v>
      </c>
      <c r="Y71" s="277"/>
      <c r="Z71" s="277"/>
      <c r="AA71" s="277"/>
      <c r="AB71" s="277">
        <v>20</v>
      </c>
      <c r="AC71" s="277"/>
      <c r="AD71" s="340">
        <f>SUM([3]ночн.празд!D3:D5)</f>
        <v>5225.5687307032586</v>
      </c>
      <c r="AE71" s="341">
        <v>35</v>
      </c>
      <c r="AF71" s="340"/>
      <c r="AG71" s="340">
        <f>SUM([3]ночн.празд!E3:E5)</f>
        <v>18289.490557461402</v>
      </c>
      <c r="AH71" s="341">
        <v>200</v>
      </c>
      <c r="AI71" s="340"/>
      <c r="AJ71" s="340">
        <f>SUM([3]ночн.празд!B3:C5)</f>
        <v>17148.716166380789</v>
      </c>
      <c r="AK71" s="277">
        <f>(30+25+10+20)/4</f>
        <v>21.25</v>
      </c>
      <c r="AL71" s="277"/>
      <c r="AM71" s="342">
        <f>4*T71*AK71%*3</f>
        <v>30500.550000000003</v>
      </c>
      <c r="AN71" s="277"/>
      <c r="AO71" s="277"/>
      <c r="AP71" s="285"/>
      <c r="AQ71" s="284">
        <f t="shared" ref="AQ71:AQ77" si="71">X71+AA71+AD71+AG71+AJ71+AM71+AP71</f>
        <v>88388.165454545451</v>
      </c>
      <c r="AR71" s="277">
        <f>AR$29</f>
        <v>20</v>
      </c>
      <c r="AS71" s="285">
        <f t="shared" ref="AS71:AS76" si="72">AT71/C71</f>
        <v>7176.6</v>
      </c>
      <c r="AT71" s="280">
        <f t="shared" ref="AT71:AT76" si="73">(U71)*AR71%</f>
        <v>28706.400000000001</v>
      </c>
      <c r="AU71" s="277">
        <v>1</v>
      </c>
      <c r="AV71" s="277">
        <v>100</v>
      </c>
      <c r="AW71" s="277">
        <f t="shared" ref="AW71:AW76" si="74">AU71*T71</f>
        <v>11961</v>
      </c>
      <c r="AX71" s="277"/>
      <c r="AY71" s="285"/>
      <c r="AZ71" s="280"/>
      <c r="BA71" s="284">
        <f t="shared" ref="BA71:BA76" si="75">AT71+AW71+AZ71</f>
        <v>40667.4</v>
      </c>
      <c r="BB71" s="363">
        <f t="shared" ref="BB71:BB76" si="76">BC71/C71</f>
        <v>68146.891363636358</v>
      </c>
      <c r="BC71" s="284">
        <f t="shared" ref="BC71:BC76" si="77">BA71+AQ71+U71</f>
        <v>272587.56545454543</v>
      </c>
      <c r="BD71" s="286">
        <f t="shared" si="38"/>
        <v>22715.630454545451</v>
      </c>
      <c r="BE71" s="286"/>
    </row>
    <row r="72" spans="1:68" x14ac:dyDescent="0.25">
      <c r="A72" s="344"/>
      <c r="B72" s="288" t="s">
        <v>249</v>
      </c>
      <c r="C72" s="278">
        <v>1</v>
      </c>
      <c r="D72" s="279"/>
      <c r="E72" s="279"/>
      <c r="F72" s="279"/>
      <c r="G72" s="279"/>
      <c r="H72" s="279">
        <v>1</v>
      </c>
      <c r="I72" s="279"/>
      <c r="J72" s="279"/>
      <c r="K72" s="279"/>
      <c r="L72" s="277">
        <v>4</v>
      </c>
      <c r="M72" s="280">
        <f t="shared" si="65"/>
        <v>3028</v>
      </c>
      <c r="N72" s="281">
        <f t="shared" si="66"/>
        <v>2</v>
      </c>
      <c r="O72" s="277">
        <v>1.43</v>
      </c>
      <c r="P72" s="282">
        <f>P$244</f>
        <v>1.58</v>
      </c>
      <c r="Q72" s="277"/>
      <c r="R72" s="283">
        <f>$R$28</f>
        <v>495</v>
      </c>
      <c r="S72" s="280">
        <f t="shared" si="67"/>
        <v>110.56969696969696</v>
      </c>
      <c r="T72" s="425">
        <f t="shared" si="68"/>
        <v>13683</v>
      </c>
      <c r="U72" s="284">
        <f t="shared" si="69"/>
        <v>41049</v>
      </c>
      <c r="V72" s="277">
        <v>16</v>
      </c>
      <c r="W72" s="285"/>
      <c r="X72" s="285">
        <f t="shared" si="70"/>
        <v>6567.84</v>
      </c>
      <c r="Y72" s="277">
        <v>4</v>
      </c>
      <c r="Z72" s="285"/>
      <c r="AA72" s="285">
        <f>U72*Y72%</f>
        <v>1641.96</v>
      </c>
      <c r="AB72" s="277">
        <v>20</v>
      </c>
      <c r="AC72" s="277"/>
      <c r="AD72" s="285"/>
      <c r="AE72" s="277">
        <v>35</v>
      </c>
      <c r="AF72" s="285"/>
      <c r="AG72" s="285"/>
      <c r="AH72" s="277">
        <v>200</v>
      </c>
      <c r="AI72" s="285"/>
      <c r="AJ72" s="285"/>
      <c r="AK72" s="277"/>
      <c r="AL72" s="277"/>
      <c r="AM72" s="285">
        <f>6*T72*AK72%*3</f>
        <v>0</v>
      </c>
      <c r="AN72" s="277"/>
      <c r="AO72" s="277"/>
      <c r="AP72" s="285"/>
      <c r="AQ72" s="284">
        <f>X72+AA72+AD72+AG72+AJ72+AM72+AP72</f>
        <v>8209.7999999999993</v>
      </c>
      <c r="AR72" s="277">
        <f>AR$29</f>
        <v>20</v>
      </c>
      <c r="AS72" s="277">
        <f t="shared" si="72"/>
        <v>8209.8000000000011</v>
      </c>
      <c r="AT72" s="280">
        <f t="shared" si="73"/>
        <v>8209.8000000000011</v>
      </c>
      <c r="AU72" s="277"/>
      <c r="AV72" s="277">
        <v>100</v>
      </c>
      <c r="AW72" s="277">
        <f t="shared" si="74"/>
        <v>0</v>
      </c>
      <c r="AX72" s="277"/>
      <c r="AY72" s="277"/>
      <c r="AZ72" s="280"/>
      <c r="BA72" s="284">
        <f t="shared" si="75"/>
        <v>8209.8000000000011</v>
      </c>
      <c r="BB72" s="284">
        <f t="shared" si="76"/>
        <v>57468.6</v>
      </c>
      <c r="BC72" s="284">
        <f t="shared" si="77"/>
        <v>57468.6</v>
      </c>
      <c r="BD72" s="286">
        <f>BC72/C72/3</f>
        <v>19156.2</v>
      </c>
      <c r="BE72" s="286"/>
    </row>
    <row r="73" spans="1:68" s="287" customFormat="1" ht="30" customHeight="1" x14ac:dyDescent="0.25">
      <c r="A73" s="276"/>
      <c r="B73" s="277" t="s">
        <v>250</v>
      </c>
      <c r="C73" s="278">
        <v>1</v>
      </c>
      <c r="D73" s="279"/>
      <c r="E73" s="279"/>
      <c r="F73" s="279"/>
      <c r="G73" s="279"/>
      <c r="H73" s="279">
        <v>1</v>
      </c>
      <c r="I73" s="279"/>
      <c r="J73" s="279"/>
      <c r="K73" s="279"/>
      <c r="L73" s="277">
        <v>5</v>
      </c>
      <c r="M73" s="280">
        <f t="shared" si="65"/>
        <v>3028</v>
      </c>
      <c r="N73" s="281">
        <f t="shared" si="66"/>
        <v>2</v>
      </c>
      <c r="O73" s="282">
        <v>1.67</v>
      </c>
      <c r="P73" s="282">
        <f>P$244</f>
        <v>1.58</v>
      </c>
      <c r="Q73" s="277"/>
      <c r="R73" s="283">
        <f>$R$28</f>
        <v>495</v>
      </c>
      <c r="S73" s="280">
        <f t="shared" si="67"/>
        <v>129.12323232323232</v>
      </c>
      <c r="T73" s="425">
        <f t="shared" si="68"/>
        <v>15979</v>
      </c>
      <c r="U73" s="284">
        <f t="shared" si="69"/>
        <v>47937</v>
      </c>
      <c r="V73" s="277">
        <v>20</v>
      </c>
      <c r="W73" s="285"/>
      <c r="X73" s="285">
        <f t="shared" si="70"/>
        <v>9587.4</v>
      </c>
      <c r="Y73" s="277"/>
      <c r="Z73" s="277"/>
      <c r="AA73" s="277"/>
      <c r="AB73" s="277"/>
      <c r="AC73" s="277"/>
      <c r="AD73" s="277"/>
      <c r="AE73" s="277"/>
      <c r="AF73" s="277"/>
      <c r="AG73" s="277"/>
      <c r="AH73" s="277"/>
      <c r="AI73" s="277"/>
      <c r="AJ73" s="277"/>
      <c r="AK73" s="277">
        <v>15</v>
      </c>
      <c r="AL73" s="277"/>
      <c r="AM73" s="285">
        <f>T73*AK73%*3</f>
        <v>7190.5499999999993</v>
      </c>
      <c r="AN73" s="277"/>
      <c r="AO73" s="277"/>
      <c r="AP73" s="277"/>
      <c r="AQ73" s="284">
        <f t="shared" si="71"/>
        <v>16777.949999999997</v>
      </c>
      <c r="AR73" s="277">
        <f>AR$29</f>
        <v>20</v>
      </c>
      <c r="AS73" s="285">
        <f t="shared" si="72"/>
        <v>9587.4</v>
      </c>
      <c r="AT73" s="280">
        <f t="shared" si="73"/>
        <v>9587.4</v>
      </c>
      <c r="AU73" s="277"/>
      <c r="AV73" s="277">
        <v>100</v>
      </c>
      <c r="AW73" s="277">
        <f t="shared" si="74"/>
        <v>0</v>
      </c>
      <c r="AX73" s="277"/>
      <c r="AY73" s="285"/>
      <c r="AZ73" s="280"/>
      <c r="BA73" s="284">
        <f t="shared" si="75"/>
        <v>9587.4</v>
      </c>
      <c r="BB73" s="363">
        <f t="shared" si="76"/>
        <v>74302.350000000006</v>
      </c>
      <c r="BC73" s="284">
        <f t="shared" si="77"/>
        <v>74302.350000000006</v>
      </c>
      <c r="BD73" s="286">
        <f t="shared" si="38"/>
        <v>24767.45</v>
      </c>
      <c r="BE73" s="286"/>
    </row>
    <row r="74" spans="1:68" s="287" customFormat="1" ht="28.5" x14ac:dyDescent="0.25">
      <c r="A74" s="276"/>
      <c r="B74" s="277" t="s">
        <v>251</v>
      </c>
      <c r="C74" s="278">
        <f>'[4]ФОТ2014 общ (2)'!$C$64</f>
        <v>1</v>
      </c>
      <c r="D74" s="279"/>
      <c r="E74" s="279"/>
      <c r="F74" s="279"/>
      <c r="G74" s="279"/>
      <c r="H74" s="279">
        <v>1</v>
      </c>
      <c r="I74" s="279"/>
      <c r="J74" s="279"/>
      <c r="K74" s="279"/>
      <c r="L74" s="277">
        <v>5</v>
      </c>
      <c r="M74" s="280">
        <f t="shared" si="65"/>
        <v>3028</v>
      </c>
      <c r="N74" s="281">
        <f t="shared" si="66"/>
        <v>2</v>
      </c>
      <c r="O74" s="282">
        <v>1.67</v>
      </c>
      <c r="P74" s="282">
        <f>P$244</f>
        <v>1.58</v>
      </c>
      <c r="Q74" s="277"/>
      <c r="R74" s="364">
        <f>Q56+Q38</f>
        <v>0</v>
      </c>
      <c r="S74" s="280" t="e">
        <f t="shared" si="67"/>
        <v>#DIV/0!</v>
      </c>
      <c r="T74" s="425">
        <f t="shared" si="68"/>
        <v>15979</v>
      </c>
      <c r="U74" s="284">
        <f t="shared" si="69"/>
        <v>47937</v>
      </c>
      <c r="V74" s="277">
        <v>20</v>
      </c>
      <c r="W74" s="285"/>
      <c r="X74" s="285">
        <f t="shared" si="70"/>
        <v>9587.4</v>
      </c>
      <c r="Y74" s="277"/>
      <c r="Z74" s="277"/>
      <c r="AA74" s="285"/>
      <c r="AB74" s="277"/>
      <c r="AC74" s="277"/>
      <c r="AD74" s="277"/>
      <c r="AE74" s="277"/>
      <c r="AF74" s="277"/>
      <c r="AG74" s="277"/>
      <c r="AH74" s="277"/>
      <c r="AI74" s="277"/>
      <c r="AJ74" s="277"/>
      <c r="AK74" s="277">
        <v>0</v>
      </c>
      <c r="AL74" s="277"/>
      <c r="AM74" s="285">
        <f>T74*AK74%*3</f>
        <v>0</v>
      </c>
      <c r="AN74" s="277"/>
      <c r="AO74" s="277"/>
      <c r="AP74" s="277"/>
      <c r="AQ74" s="284">
        <f t="shared" si="71"/>
        <v>9587.4</v>
      </c>
      <c r="AR74" s="277">
        <f>AR$29</f>
        <v>20</v>
      </c>
      <c r="AS74" s="285">
        <f t="shared" si="72"/>
        <v>9587.4</v>
      </c>
      <c r="AT74" s="280">
        <f t="shared" si="73"/>
        <v>9587.4</v>
      </c>
      <c r="AU74" s="277"/>
      <c r="AV74" s="277">
        <v>100</v>
      </c>
      <c r="AW74" s="277">
        <f t="shared" si="74"/>
        <v>0</v>
      </c>
      <c r="AX74" s="277"/>
      <c r="AY74" s="285"/>
      <c r="AZ74" s="280"/>
      <c r="BA74" s="284">
        <f t="shared" si="75"/>
        <v>9587.4</v>
      </c>
      <c r="BB74" s="363">
        <f t="shared" si="76"/>
        <v>67111.8</v>
      </c>
      <c r="BC74" s="284">
        <f t="shared" si="77"/>
        <v>67111.8</v>
      </c>
      <c r="BD74" s="286">
        <f t="shared" si="38"/>
        <v>22370.600000000002</v>
      </c>
      <c r="BE74" s="286"/>
    </row>
    <row r="75" spans="1:68" s="287" customFormat="1" ht="14.25" x14ac:dyDescent="0.25">
      <c r="A75" s="276"/>
      <c r="B75" s="277" t="s">
        <v>252</v>
      </c>
      <c r="C75" s="278">
        <f>'[4]ФОТ2014 общ (2)'!$C$66</f>
        <v>1</v>
      </c>
      <c r="D75" s="279"/>
      <c r="E75" s="279"/>
      <c r="F75" s="279"/>
      <c r="G75" s="279"/>
      <c r="H75" s="279">
        <v>1</v>
      </c>
      <c r="I75" s="279"/>
      <c r="J75" s="279"/>
      <c r="K75" s="279"/>
      <c r="L75" s="277">
        <v>3</v>
      </c>
      <c r="M75" s="280">
        <f t="shared" si="65"/>
        <v>3028</v>
      </c>
      <c r="N75" s="281">
        <f t="shared" si="66"/>
        <v>2</v>
      </c>
      <c r="O75" s="277">
        <v>1.25</v>
      </c>
      <c r="P75" s="282">
        <f>P$244</f>
        <v>1.58</v>
      </c>
      <c r="Q75" s="277"/>
      <c r="R75" s="283">
        <f>$R$28</f>
        <v>495</v>
      </c>
      <c r="S75" s="280">
        <f t="shared" si="67"/>
        <v>96.654545454545456</v>
      </c>
      <c r="T75" s="425">
        <f t="shared" si="68"/>
        <v>11961</v>
      </c>
      <c r="U75" s="284">
        <f t="shared" si="69"/>
        <v>35883</v>
      </c>
      <c r="V75" s="277">
        <v>12</v>
      </c>
      <c r="W75" s="285"/>
      <c r="X75" s="285">
        <f t="shared" si="70"/>
        <v>4305.96</v>
      </c>
      <c r="Y75" s="277">
        <v>4</v>
      </c>
      <c r="Z75" s="285"/>
      <c r="AA75" s="285">
        <f>U75*Y75%</f>
        <v>1435.32</v>
      </c>
      <c r="AB75" s="277"/>
      <c r="AC75" s="277"/>
      <c r="AD75" s="277"/>
      <c r="AE75" s="277"/>
      <c r="AF75" s="277"/>
      <c r="AG75" s="277"/>
      <c r="AH75" s="277"/>
      <c r="AI75" s="277"/>
      <c r="AJ75" s="277"/>
      <c r="AK75" s="277"/>
      <c r="AL75" s="277"/>
      <c r="AM75" s="285">
        <f>T75*AK75%*3</f>
        <v>0</v>
      </c>
      <c r="AN75" s="277"/>
      <c r="AO75" s="277"/>
      <c r="AP75" s="277"/>
      <c r="AQ75" s="284">
        <f t="shared" si="71"/>
        <v>5741.28</v>
      </c>
      <c r="AR75" s="277">
        <v>20</v>
      </c>
      <c r="AS75" s="285">
        <f t="shared" si="72"/>
        <v>7176.6</v>
      </c>
      <c r="AT75" s="280">
        <f t="shared" si="73"/>
        <v>7176.6</v>
      </c>
      <c r="AU75" s="277"/>
      <c r="AV75" s="277">
        <v>100</v>
      </c>
      <c r="AW75" s="277">
        <f t="shared" si="74"/>
        <v>0</v>
      </c>
      <c r="AX75" s="277"/>
      <c r="AY75" s="285"/>
      <c r="AZ75" s="280"/>
      <c r="BA75" s="284">
        <f t="shared" si="75"/>
        <v>7176.6</v>
      </c>
      <c r="BB75" s="363">
        <f t="shared" si="76"/>
        <v>48800.880000000005</v>
      </c>
      <c r="BC75" s="284">
        <f t="shared" si="77"/>
        <v>48800.880000000005</v>
      </c>
      <c r="BD75" s="286">
        <f t="shared" si="38"/>
        <v>16266.960000000001</v>
      </c>
      <c r="BE75" s="286"/>
    </row>
    <row r="76" spans="1:68" s="287" customFormat="1" ht="14.25" x14ac:dyDescent="0.25">
      <c r="A76" s="276"/>
      <c r="B76" s="277" t="s">
        <v>253</v>
      </c>
      <c r="C76" s="365">
        <v>2</v>
      </c>
      <c r="D76" s="279"/>
      <c r="E76" s="279"/>
      <c r="F76" s="279"/>
      <c r="G76" s="279"/>
      <c r="H76" s="279">
        <v>1</v>
      </c>
      <c r="I76" s="279"/>
      <c r="J76" s="279"/>
      <c r="K76" s="279"/>
      <c r="L76" s="366"/>
      <c r="M76" s="280">
        <f t="shared" si="65"/>
        <v>3028</v>
      </c>
      <c r="N76" s="281">
        <f t="shared" si="66"/>
        <v>2</v>
      </c>
      <c r="O76" s="367">
        <v>1.32</v>
      </c>
      <c r="P76" s="302">
        <v>1</v>
      </c>
      <c r="Q76" s="366"/>
      <c r="R76" s="283">
        <f>$R$28</f>
        <v>495</v>
      </c>
      <c r="S76" s="280">
        <f t="shared" si="67"/>
        <v>64.597979797979804</v>
      </c>
      <c r="T76" s="368">
        <f t="shared" si="68"/>
        <v>7994</v>
      </c>
      <c r="U76" s="284">
        <f t="shared" si="69"/>
        <v>47964</v>
      </c>
      <c r="V76" s="366">
        <v>0</v>
      </c>
      <c r="W76" s="285"/>
      <c r="X76" s="369">
        <f t="shared" si="70"/>
        <v>0</v>
      </c>
      <c r="Y76" s="366"/>
      <c r="Z76" s="366"/>
      <c r="AA76" s="366"/>
      <c r="AB76" s="366"/>
      <c r="AC76" s="366"/>
      <c r="AD76" s="366"/>
      <c r="AE76" s="366"/>
      <c r="AF76" s="366"/>
      <c r="AG76" s="366"/>
      <c r="AH76" s="366"/>
      <c r="AI76" s="366"/>
      <c r="AJ76" s="366"/>
      <c r="AK76" s="366"/>
      <c r="AL76" s="366"/>
      <c r="AM76" s="285">
        <f>T76*AK76%*3</f>
        <v>0</v>
      </c>
      <c r="AN76" s="366"/>
      <c r="AO76" s="366"/>
      <c r="AP76" s="366"/>
      <c r="AQ76" s="284">
        <f t="shared" si="71"/>
        <v>0</v>
      </c>
      <c r="AR76" s="277">
        <v>20</v>
      </c>
      <c r="AS76" s="285">
        <f t="shared" si="72"/>
        <v>4796.4000000000005</v>
      </c>
      <c r="AT76" s="280">
        <f t="shared" si="73"/>
        <v>9592.8000000000011</v>
      </c>
      <c r="AU76" s="277"/>
      <c r="AV76" s="277">
        <v>100</v>
      </c>
      <c r="AW76" s="277">
        <f t="shared" si="74"/>
        <v>0</v>
      </c>
      <c r="AX76" s="277"/>
      <c r="AY76" s="285"/>
      <c r="AZ76" s="304"/>
      <c r="BA76" s="284">
        <f t="shared" si="75"/>
        <v>9592.8000000000011</v>
      </c>
      <c r="BB76" s="363">
        <f t="shared" si="76"/>
        <v>28778.400000000001</v>
      </c>
      <c r="BC76" s="284">
        <f t="shared" si="77"/>
        <v>57556.800000000003</v>
      </c>
      <c r="BD76" s="343">
        <f t="shared" si="38"/>
        <v>9592.8000000000011</v>
      </c>
      <c r="BE76" s="286"/>
    </row>
    <row r="77" spans="1:68" s="287" customFormat="1" ht="3" customHeight="1" x14ac:dyDescent="0.25">
      <c r="A77" s="276"/>
      <c r="B77" s="277"/>
      <c r="C77" s="425"/>
      <c r="D77" s="279"/>
      <c r="E77" s="279"/>
      <c r="F77" s="279"/>
      <c r="G77" s="279"/>
      <c r="H77" s="279"/>
      <c r="I77" s="279"/>
      <c r="J77" s="279"/>
      <c r="K77" s="279"/>
      <c r="L77" s="277"/>
      <c r="M77" s="283"/>
      <c r="N77" s="277"/>
      <c r="O77" s="277"/>
      <c r="P77" s="277"/>
      <c r="Q77" s="277"/>
      <c r="R77" s="283"/>
      <c r="S77" s="283"/>
      <c r="T77" s="425"/>
      <c r="U77" s="30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84">
        <f t="shared" si="71"/>
        <v>0</v>
      </c>
      <c r="AR77" s="277"/>
      <c r="AS77" s="277"/>
      <c r="AT77" s="283"/>
      <c r="AU77" s="277"/>
      <c r="AV77" s="277"/>
      <c r="AW77" s="277"/>
      <c r="AX77" s="277"/>
      <c r="AY77" s="277"/>
      <c r="AZ77" s="283"/>
      <c r="BA77" s="370"/>
      <c r="BB77" s="307"/>
      <c r="BC77" s="370"/>
      <c r="BD77" s="286"/>
      <c r="BE77" s="371"/>
    </row>
    <row r="78" spans="1:68" s="316" customFormat="1" ht="14.25" x14ac:dyDescent="0.25">
      <c r="A78" s="306"/>
      <c r="B78" s="372" t="s">
        <v>229</v>
      </c>
      <c r="C78" s="308">
        <f>SUM(C71:C77)</f>
        <v>10</v>
      </c>
      <c r="D78" s="309"/>
      <c r="E78" s="309"/>
      <c r="F78" s="309"/>
      <c r="G78" s="309"/>
      <c r="H78" s="309"/>
      <c r="I78" s="309"/>
      <c r="J78" s="309"/>
      <c r="K78" s="309"/>
      <c r="L78" s="309"/>
      <c r="M78" s="310"/>
      <c r="N78" s="309"/>
      <c r="O78" s="309"/>
      <c r="P78" s="309"/>
      <c r="Q78" s="309"/>
      <c r="R78" s="310"/>
      <c r="S78" s="310"/>
      <c r="T78" s="311">
        <f>U78/3</f>
        <v>121434</v>
      </c>
      <c r="U78" s="309">
        <f>SUM(U71:U77)</f>
        <v>364302</v>
      </c>
      <c r="V78" s="309"/>
      <c r="W78" s="309"/>
      <c r="X78" s="329">
        <f>SUM(X71:X77)</f>
        <v>47272.44</v>
      </c>
      <c r="Y78" s="309"/>
      <c r="Z78" s="309">
        <f>SUM(Z71:Z77)</f>
        <v>0</v>
      </c>
      <c r="AA78" s="309">
        <f>SUM(AA71:AA77)</f>
        <v>3077.2799999999997</v>
      </c>
      <c r="AB78" s="309"/>
      <c r="AC78" s="309"/>
      <c r="AD78" s="309">
        <f>SUM(AD71:AD77)</f>
        <v>5225.5687307032586</v>
      </c>
      <c r="AE78" s="309"/>
      <c r="AF78" s="309">
        <f>SUM(AF71:AF77)</f>
        <v>0</v>
      </c>
      <c r="AG78" s="309">
        <f>SUM(AG71:AG77)</f>
        <v>18289.490557461402</v>
      </c>
      <c r="AH78" s="309"/>
      <c r="AI78" s="309">
        <f>SUM(AI71:AI77)</f>
        <v>0</v>
      </c>
      <c r="AJ78" s="309">
        <f>SUM(AJ71:AJ77)</f>
        <v>17148.716166380789</v>
      </c>
      <c r="AK78" s="309"/>
      <c r="AL78" s="309">
        <f>SUM(AL71:AL77)</f>
        <v>0</v>
      </c>
      <c r="AM78" s="309">
        <f>SUM(AM71:AM77)</f>
        <v>37691.100000000006</v>
      </c>
      <c r="AN78" s="309"/>
      <c r="AO78" s="309">
        <f>SUM(AO71:AO77)</f>
        <v>0</v>
      </c>
      <c r="AP78" s="309">
        <f>SUM(AP71:AP77)</f>
        <v>0</v>
      </c>
      <c r="AQ78" s="309">
        <f>SUM(AQ71:AQ77)</f>
        <v>128704.59545454544</v>
      </c>
      <c r="AR78" s="309"/>
      <c r="AS78" s="309">
        <f>SUM(AS71:AS77)</f>
        <v>46534.200000000004</v>
      </c>
      <c r="AT78" s="309">
        <f>SUM(AT71:AT77)</f>
        <v>72860.400000000009</v>
      </c>
      <c r="AU78" s="309">
        <f>SUM(AU71:AU77)</f>
        <v>1</v>
      </c>
      <c r="AV78" s="309"/>
      <c r="AW78" s="309">
        <f>SUM(AW71:AW77)</f>
        <v>11961</v>
      </c>
      <c r="AX78" s="309"/>
      <c r="AY78" s="309">
        <f>SUM(AY71:AY77)</f>
        <v>0</v>
      </c>
      <c r="AZ78" s="309">
        <f>SUM(AZ71:AZ77)</f>
        <v>0</v>
      </c>
      <c r="BA78" s="329">
        <f>SUM(BA71:BA77)</f>
        <v>84821.400000000009</v>
      </c>
      <c r="BB78" s="309">
        <f>BC78/C78</f>
        <v>57782.799545454538</v>
      </c>
      <c r="BC78" s="329">
        <f>SUM(BC71:BC77)</f>
        <v>577827.99545454537</v>
      </c>
      <c r="BD78" s="286">
        <f t="shared" si="38"/>
        <v>19260.933181818178</v>
      </c>
      <c r="BE78" s="323"/>
      <c r="BN78" s="316" t="e">
        <f>BC78+BC85+#REF!</f>
        <v>#REF!</v>
      </c>
      <c r="BP78" s="315">
        <f>BC78+BC186+BC294+BC402+BC510+BC615</f>
        <v>2397510.1707744971</v>
      </c>
    </row>
    <row r="79" spans="1:68" s="374" customFormat="1" ht="22.5" customHeight="1" x14ac:dyDescent="0.25">
      <c r="A79" s="373"/>
      <c r="B79" s="361" t="s">
        <v>254</v>
      </c>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62"/>
      <c r="BD79" s="286"/>
      <c r="BE79" s="274"/>
    </row>
    <row r="80" spans="1:68" x14ac:dyDescent="0.25">
      <c r="A80" s="344"/>
      <c r="B80" s="288" t="s">
        <v>255</v>
      </c>
      <c r="C80" s="278">
        <f>'[4]ФОТ2014 общ (2)'!$C$83</f>
        <v>9</v>
      </c>
      <c r="D80" s="279"/>
      <c r="E80" s="279"/>
      <c r="F80" s="279"/>
      <c r="G80" s="279"/>
      <c r="H80" s="279">
        <v>1</v>
      </c>
      <c r="I80" s="279"/>
      <c r="J80" s="279"/>
      <c r="K80" s="279"/>
      <c r="L80" s="277">
        <v>3</v>
      </c>
      <c r="M80" s="280">
        <f>M$35</f>
        <v>3028</v>
      </c>
      <c r="N80" s="281">
        <f>N$29</f>
        <v>2</v>
      </c>
      <c r="O80" s="277">
        <v>1.25</v>
      </c>
      <c r="P80" s="282">
        <f>P$244</f>
        <v>1.58</v>
      </c>
      <c r="Q80" s="277"/>
      <c r="R80" s="283">
        <f>$R$28</f>
        <v>495</v>
      </c>
      <c r="S80" s="280">
        <f>T80/(R80/4)</f>
        <v>96.654545454545456</v>
      </c>
      <c r="T80" s="425">
        <f>ROUND(M80*N80*O80*P80,0)</f>
        <v>11961</v>
      </c>
      <c r="U80" s="284">
        <f>T80*C80*3</f>
        <v>322947</v>
      </c>
      <c r="V80" s="277">
        <v>12</v>
      </c>
      <c r="W80" s="285"/>
      <c r="X80" s="285">
        <f>U80*V80%</f>
        <v>38753.64</v>
      </c>
      <c r="Y80" s="277">
        <v>4</v>
      </c>
      <c r="Z80" s="285"/>
      <c r="AA80" s="285">
        <f>U80*Y80%</f>
        <v>12917.880000000001</v>
      </c>
      <c r="AB80" s="277">
        <v>20</v>
      </c>
      <c r="AC80" s="277"/>
      <c r="AD80" s="340">
        <f>SUM([3]ночн.празд!P3:P5)</f>
        <v>10451.137461406517</v>
      </c>
      <c r="AE80" s="341">
        <v>35</v>
      </c>
      <c r="AF80" s="340"/>
      <c r="AG80" s="340">
        <f>SUM([3]ночн.празд!Q3:Q5)</f>
        <v>36578.981114922804</v>
      </c>
      <c r="AH80" s="341">
        <v>200</v>
      </c>
      <c r="AI80" s="340"/>
      <c r="AJ80" s="340">
        <f>SUM([3]ночн.празд!N3:O5)</f>
        <v>34297.432332761578</v>
      </c>
      <c r="AK80" s="277">
        <f>(7+25+15+7+10+20+15+15+10)/9</f>
        <v>13.777777777777779</v>
      </c>
      <c r="AL80" s="277"/>
      <c r="AM80" s="342">
        <f>9*T80*AK80%*3</f>
        <v>44494.92</v>
      </c>
      <c r="AN80" s="277"/>
      <c r="AO80" s="277"/>
      <c r="AP80" s="285"/>
      <c r="AQ80" s="284">
        <f>X80+AA80+AD80+AG80+AJ80+AM80+AP80</f>
        <v>177493.99090909091</v>
      </c>
      <c r="AR80" s="277">
        <f>AR$29</f>
        <v>20</v>
      </c>
      <c r="AS80" s="277">
        <f>AT80/C80</f>
        <v>7176.6</v>
      </c>
      <c r="AT80" s="280">
        <f>(U80)*AR80%</f>
        <v>64589.4</v>
      </c>
      <c r="AU80" s="277">
        <v>1</v>
      </c>
      <c r="AV80" s="277">
        <v>100</v>
      </c>
      <c r="AW80" s="277">
        <f>AU80*T80</f>
        <v>11961</v>
      </c>
      <c r="AX80" s="277"/>
      <c r="AY80" s="277"/>
      <c r="AZ80" s="280"/>
      <c r="BA80" s="284">
        <f>AT80+AW80+AZ80</f>
        <v>76550.399999999994</v>
      </c>
      <c r="BB80" s="284">
        <f>BC80/C80</f>
        <v>64110.154545454541</v>
      </c>
      <c r="BC80" s="284">
        <f>BA80+AQ80+U80</f>
        <v>576991.39090909087</v>
      </c>
      <c r="BD80" s="286">
        <f t="shared" si="38"/>
        <v>21370.051515151514</v>
      </c>
      <c r="BE80" s="286"/>
    </row>
    <row r="81" spans="1:68" s="377" customFormat="1" x14ac:dyDescent="0.25">
      <c r="A81" s="375"/>
      <c r="B81" s="290" t="s">
        <v>249</v>
      </c>
      <c r="C81" s="376">
        <v>1</v>
      </c>
      <c r="D81" s="292"/>
      <c r="E81" s="292"/>
      <c r="F81" s="292"/>
      <c r="G81" s="292"/>
      <c r="H81" s="292">
        <v>1</v>
      </c>
      <c r="I81" s="292"/>
      <c r="J81" s="292"/>
      <c r="K81" s="292"/>
      <c r="L81" s="293">
        <v>4</v>
      </c>
      <c r="M81" s="294">
        <f>M$35</f>
        <v>3028</v>
      </c>
      <c r="N81" s="281">
        <f>N$29</f>
        <v>2</v>
      </c>
      <c r="O81" s="293">
        <v>1.43</v>
      </c>
      <c r="P81" s="295">
        <f>P$244</f>
        <v>1.58</v>
      </c>
      <c r="Q81" s="293"/>
      <c r="R81" s="296">
        <f>$R$28</f>
        <v>495</v>
      </c>
      <c r="S81" s="294">
        <f>T81/(R81/4)</f>
        <v>110.56969696969696</v>
      </c>
      <c r="T81" s="291">
        <f>ROUND(M81*N81*O81*P81,0)</f>
        <v>13683</v>
      </c>
      <c r="U81" s="297">
        <f>T81*C81*3</f>
        <v>41049</v>
      </c>
      <c r="V81" s="293">
        <v>16</v>
      </c>
      <c r="W81" s="298"/>
      <c r="X81" s="298">
        <f>U81*V81%</f>
        <v>6567.84</v>
      </c>
      <c r="Y81" s="277">
        <v>4</v>
      </c>
      <c r="Z81" s="285"/>
      <c r="AA81" s="285">
        <f>U81*Y81%</f>
        <v>1641.96</v>
      </c>
      <c r="AB81" s="293">
        <v>20</v>
      </c>
      <c r="AC81" s="293"/>
      <c r="AD81" s="298"/>
      <c r="AE81" s="293">
        <v>35</v>
      </c>
      <c r="AF81" s="298"/>
      <c r="AG81" s="298"/>
      <c r="AH81" s="293">
        <v>200</v>
      </c>
      <c r="AI81" s="298"/>
      <c r="AJ81" s="298"/>
      <c r="AK81" s="293"/>
      <c r="AL81" s="293"/>
      <c r="AM81" s="298">
        <f>6*T81*AK81%*3</f>
        <v>0</v>
      </c>
      <c r="AN81" s="293"/>
      <c r="AO81" s="293"/>
      <c r="AP81" s="298"/>
      <c r="AQ81" s="297">
        <f>X81+AA81+AD81+AG81+AJ81+AM81+AP81</f>
        <v>8209.7999999999993</v>
      </c>
      <c r="AR81" s="293">
        <f>AR$29</f>
        <v>20</v>
      </c>
      <c r="AS81" s="293">
        <f>AT81/C81</f>
        <v>8209.8000000000011</v>
      </c>
      <c r="AT81" s="294">
        <f>(U81)*AR81%</f>
        <v>8209.8000000000011</v>
      </c>
      <c r="AU81" s="293"/>
      <c r="AV81" s="293">
        <v>100</v>
      </c>
      <c r="AW81" s="293">
        <f>AU81*T81</f>
        <v>0</v>
      </c>
      <c r="AX81" s="293"/>
      <c r="AY81" s="293"/>
      <c r="AZ81" s="294"/>
      <c r="BA81" s="297">
        <f>AT81+AW81+AZ81</f>
        <v>8209.8000000000011</v>
      </c>
      <c r="BB81" s="297">
        <f>BC81/C81</f>
        <v>57468.6</v>
      </c>
      <c r="BC81" s="297">
        <f>BA81+AQ81+U81</f>
        <v>57468.6</v>
      </c>
      <c r="BD81" s="299">
        <f>BC81/C81/3</f>
        <v>19156.2</v>
      </c>
      <c r="BE81" s="299"/>
    </row>
    <row r="82" spans="1:68" ht="28.5" x14ac:dyDescent="0.25">
      <c r="A82" s="344"/>
      <c r="B82" s="277" t="s">
        <v>251</v>
      </c>
      <c r="C82" s="278">
        <f>'[4]ФОТ2014 общ (2)'!$C$64</f>
        <v>1</v>
      </c>
      <c r="D82" s="279"/>
      <c r="E82" s="279"/>
      <c r="F82" s="279"/>
      <c r="G82" s="279"/>
      <c r="H82" s="279">
        <v>1</v>
      </c>
      <c r="I82" s="279"/>
      <c r="J82" s="279"/>
      <c r="K82" s="279"/>
      <c r="L82" s="277">
        <v>4</v>
      </c>
      <c r="M82" s="280">
        <f>M$35</f>
        <v>3028</v>
      </c>
      <c r="N82" s="281">
        <f>N$29</f>
        <v>2</v>
      </c>
      <c r="O82" s="282">
        <v>1.43</v>
      </c>
      <c r="P82" s="282">
        <f>P$244</f>
        <v>1.58</v>
      </c>
      <c r="Q82" s="277"/>
      <c r="R82" s="283">
        <f>$R$28</f>
        <v>495</v>
      </c>
      <c r="S82" s="280">
        <f>T82/(R82/4)</f>
        <v>110.56969696969696</v>
      </c>
      <c r="T82" s="425">
        <f>ROUND(M82*N82*O82*P82,0)</f>
        <v>13683</v>
      </c>
      <c r="U82" s="284">
        <f>T82*C82*3</f>
        <v>41049</v>
      </c>
      <c r="V82" s="277">
        <v>16</v>
      </c>
      <c r="W82" s="285"/>
      <c r="X82" s="285">
        <f>U82*V82%</f>
        <v>6567.84</v>
      </c>
      <c r="Y82" s="277"/>
      <c r="Z82" s="277"/>
      <c r="AA82" s="285"/>
      <c r="AB82" s="277"/>
      <c r="AC82" s="277"/>
      <c r="AD82" s="277"/>
      <c r="AE82" s="277"/>
      <c r="AF82" s="277"/>
      <c r="AG82" s="277"/>
      <c r="AH82" s="277"/>
      <c r="AI82" s="277"/>
      <c r="AJ82" s="277"/>
      <c r="AK82" s="277"/>
      <c r="AL82" s="277"/>
      <c r="AM82" s="285">
        <f>T82*AK82%*3</f>
        <v>0</v>
      </c>
      <c r="AN82" s="277"/>
      <c r="AO82" s="277"/>
      <c r="AP82" s="277"/>
      <c r="AQ82" s="284">
        <f>X82+AA82+AD82+AG82+AJ82+AM82+AP82</f>
        <v>6567.84</v>
      </c>
      <c r="AR82" s="277">
        <f>AR$29</f>
        <v>20</v>
      </c>
      <c r="AS82" s="277"/>
      <c r="AT82" s="280">
        <f>(U82)*AR82%</f>
        <v>8209.8000000000011</v>
      </c>
      <c r="AU82" s="277"/>
      <c r="AV82" s="277">
        <v>100</v>
      </c>
      <c r="AW82" s="277">
        <f>AU82*T82</f>
        <v>0</v>
      </c>
      <c r="AX82" s="277"/>
      <c r="AY82" s="277"/>
      <c r="AZ82" s="280"/>
      <c r="BA82" s="284">
        <f>AT82+AW82+AZ82</f>
        <v>8209.8000000000011</v>
      </c>
      <c r="BB82" s="284">
        <f>BC82/C82</f>
        <v>55826.64</v>
      </c>
      <c r="BC82" s="284">
        <f>BA82+AQ82+U82</f>
        <v>55826.64</v>
      </c>
      <c r="BD82" s="286">
        <f t="shared" si="38"/>
        <v>18608.88</v>
      </c>
      <c r="BE82" s="286"/>
    </row>
    <row r="83" spans="1:68" ht="28.5" x14ac:dyDescent="0.25">
      <c r="A83" s="344"/>
      <c r="B83" s="288" t="s">
        <v>256</v>
      </c>
      <c r="C83" s="278">
        <v>1</v>
      </c>
      <c r="D83" s="279"/>
      <c r="E83" s="279"/>
      <c r="F83" s="279"/>
      <c r="G83" s="279"/>
      <c r="H83" s="279">
        <v>1</v>
      </c>
      <c r="I83" s="279"/>
      <c r="J83" s="279"/>
      <c r="K83" s="279"/>
      <c r="L83" s="277">
        <v>5</v>
      </c>
      <c r="M83" s="280">
        <f>M$35</f>
        <v>3028</v>
      </c>
      <c r="N83" s="281">
        <f>N$29</f>
        <v>2</v>
      </c>
      <c r="O83" s="277">
        <v>1.67</v>
      </c>
      <c r="P83" s="282">
        <f>P$244</f>
        <v>1.58</v>
      </c>
      <c r="Q83" s="277"/>
      <c r="R83" s="283">
        <f>$R$28</f>
        <v>495</v>
      </c>
      <c r="S83" s="280">
        <f>T83/(R83/4)</f>
        <v>129.12323232323232</v>
      </c>
      <c r="T83" s="425">
        <f>ROUND(M83*N83*O83*P83,0)</f>
        <v>15979</v>
      </c>
      <c r="U83" s="284">
        <f>T83*C83*3</f>
        <v>47937</v>
      </c>
      <c r="V83" s="277">
        <v>20</v>
      </c>
      <c r="W83" s="285"/>
      <c r="X83" s="285">
        <f>U83*V83%</f>
        <v>9587.4</v>
      </c>
      <c r="Y83" s="277"/>
      <c r="Z83" s="277"/>
      <c r="AA83" s="277"/>
      <c r="AB83" s="277"/>
      <c r="AC83" s="277"/>
      <c r="AD83" s="285"/>
      <c r="AE83" s="277"/>
      <c r="AF83" s="277"/>
      <c r="AG83" s="285"/>
      <c r="AH83" s="277"/>
      <c r="AI83" s="277"/>
      <c r="AJ83" s="285"/>
      <c r="AK83" s="277">
        <v>7</v>
      </c>
      <c r="AL83" s="277"/>
      <c r="AM83" s="285">
        <f>T83*AK83%*3</f>
        <v>3355.5900000000006</v>
      </c>
      <c r="AN83" s="277"/>
      <c r="AO83" s="277"/>
      <c r="AP83" s="285"/>
      <c r="AQ83" s="284">
        <f>X83+AA83+AD83+AG83+AJ83+AM83+AP83</f>
        <v>12942.99</v>
      </c>
      <c r="AR83" s="277">
        <f>AR$29</f>
        <v>20</v>
      </c>
      <c r="AS83" s="277">
        <f>AT83/C83</f>
        <v>9587.4</v>
      </c>
      <c r="AT83" s="280">
        <f>(U83)*AR83%</f>
        <v>9587.4</v>
      </c>
      <c r="AU83" s="277"/>
      <c r="AV83" s="277">
        <v>100</v>
      </c>
      <c r="AW83" s="277">
        <f>AU83*T83</f>
        <v>0</v>
      </c>
      <c r="AX83" s="277"/>
      <c r="AY83" s="277"/>
      <c r="AZ83" s="280"/>
      <c r="BA83" s="284">
        <f>AT83+AW83+AZ83</f>
        <v>9587.4</v>
      </c>
      <c r="BB83" s="284">
        <f>BC83/C83</f>
        <v>70467.39</v>
      </c>
      <c r="BC83" s="284">
        <f>BA83+AQ83+U83</f>
        <v>70467.39</v>
      </c>
      <c r="BD83" s="286">
        <f t="shared" si="38"/>
        <v>23489.13</v>
      </c>
      <c r="BE83" s="286"/>
    </row>
    <row r="84" spans="1:68" s="287" customFormat="1" ht="4.5" customHeight="1" x14ac:dyDescent="0.25">
      <c r="A84" s="276"/>
      <c r="B84" s="277"/>
      <c r="C84" s="425"/>
      <c r="D84" s="279"/>
      <c r="E84" s="279"/>
      <c r="F84" s="279"/>
      <c r="G84" s="279"/>
      <c r="H84" s="279"/>
      <c r="I84" s="279"/>
      <c r="J84" s="279"/>
      <c r="K84" s="279"/>
      <c r="L84" s="277"/>
      <c r="M84" s="283"/>
      <c r="N84" s="277"/>
      <c r="O84" s="277"/>
      <c r="P84" s="277"/>
      <c r="Q84" s="277"/>
      <c r="R84" s="283"/>
      <c r="S84" s="283"/>
      <c r="T84" s="425"/>
      <c r="U84" s="284"/>
      <c r="V84" s="277"/>
      <c r="W84" s="277"/>
      <c r="X84" s="277"/>
      <c r="Y84" s="277"/>
      <c r="Z84" s="277"/>
      <c r="AA84" s="277"/>
      <c r="AB84" s="277"/>
      <c r="AC84" s="277"/>
      <c r="AD84" s="277"/>
      <c r="AE84" s="277"/>
      <c r="AF84" s="277"/>
      <c r="AG84" s="277"/>
      <c r="AH84" s="277"/>
      <c r="AI84" s="277"/>
      <c r="AJ84" s="277"/>
      <c r="AK84" s="277"/>
      <c r="AL84" s="277"/>
      <c r="AM84" s="277"/>
      <c r="AN84" s="277"/>
      <c r="AO84" s="277"/>
      <c r="AP84" s="277"/>
      <c r="AQ84" s="284">
        <f>X84+AA84+AD84+AG84+AJ84+AM84+AP84</f>
        <v>0</v>
      </c>
      <c r="AR84" s="277"/>
      <c r="AS84" s="277"/>
      <c r="AT84" s="280"/>
      <c r="AU84" s="277"/>
      <c r="AV84" s="277"/>
      <c r="AW84" s="277"/>
      <c r="AX84" s="277"/>
      <c r="AY84" s="277"/>
      <c r="AZ84" s="280"/>
      <c r="BA84" s="284"/>
      <c r="BB84" s="284"/>
      <c r="BC84" s="284"/>
      <c r="BD84" s="286"/>
      <c r="BE84" s="286"/>
    </row>
    <row r="85" spans="1:68" s="316" customFormat="1" ht="20.25" customHeight="1" x14ac:dyDescent="0.25">
      <c r="A85" s="306"/>
      <c r="B85" s="372" t="s">
        <v>229</v>
      </c>
      <c r="C85" s="329">
        <f>SUM(C80:C84)</f>
        <v>12</v>
      </c>
      <c r="D85" s="309"/>
      <c r="E85" s="309"/>
      <c r="F85" s="309"/>
      <c r="G85" s="309"/>
      <c r="H85" s="309"/>
      <c r="I85" s="309"/>
      <c r="J85" s="309"/>
      <c r="K85" s="309"/>
      <c r="L85" s="309"/>
      <c r="M85" s="310"/>
      <c r="N85" s="309"/>
      <c r="O85" s="309"/>
      <c r="P85" s="309"/>
      <c r="Q85" s="309"/>
      <c r="R85" s="310"/>
      <c r="S85" s="310"/>
      <c r="T85" s="349">
        <f>U85/3</f>
        <v>150994</v>
      </c>
      <c r="U85" s="309">
        <f>SUM(U80:U84)</f>
        <v>452982</v>
      </c>
      <c r="V85" s="309"/>
      <c r="W85" s="309"/>
      <c r="X85" s="309">
        <f>SUM(X80:X84)</f>
        <v>61476.719999999994</v>
      </c>
      <c r="Y85" s="309"/>
      <c r="Z85" s="309"/>
      <c r="AA85" s="329">
        <f>SUM(AA80:AA84)</f>
        <v>14559.84</v>
      </c>
      <c r="AB85" s="329"/>
      <c r="AC85" s="329"/>
      <c r="AD85" s="329">
        <f>SUM(AD80:AD84)</f>
        <v>10451.137461406517</v>
      </c>
      <c r="AE85" s="309"/>
      <c r="AF85" s="309"/>
      <c r="AG85" s="309">
        <f>SUM(AG80:AG84)</f>
        <v>36578.981114922804</v>
      </c>
      <c r="AH85" s="309"/>
      <c r="AI85" s="309"/>
      <c r="AJ85" s="309">
        <f>SUM(AJ80:AJ84)</f>
        <v>34297.432332761578</v>
      </c>
      <c r="AK85" s="309"/>
      <c r="AL85" s="309"/>
      <c r="AM85" s="309">
        <f>SUM(AM80:AM84)</f>
        <v>47850.51</v>
      </c>
      <c r="AN85" s="309"/>
      <c r="AO85" s="309"/>
      <c r="AP85" s="309">
        <f>SUM(AP80:AP84)</f>
        <v>0</v>
      </c>
      <c r="AQ85" s="329">
        <f>SUM(AQ80:AQ84)</f>
        <v>205214.62090909088</v>
      </c>
      <c r="AR85" s="309"/>
      <c r="AS85" s="309">
        <f>SUM(AS80:AS84)</f>
        <v>24973.800000000003</v>
      </c>
      <c r="AT85" s="309">
        <f>SUM(AT80:AT84)</f>
        <v>90596.4</v>
      </c>
      <c r="AU85" s="309">
        <f>SUM(AU80:AU84)</f>
        <v>1</v>
      </c>
      <c r="AV85" s="309"/>
      <c r="AW85" s="309">
        <f>SUM(AW80:AW84)</f>
        <v>11961</v>
      </c>
      <c r="AX85" s="309"/>
      <c r="AY85" s="309">
        <f>SUM(AY80:AY84)</f>
        <v>0</v>
      </c>
      <c r="AZ85" s="309">
        <f>SUM(AZ80:AZ84)</f>
        <v>0</v>
      </c>
      <c r="BA85" s="309">
        <f>SUM(BA80:BA84)</f>
        <v>102557.4</v>
      </c>
      <c r="BB85" s="309">
        <f>BC85/C85</f>
        <v>63396.168409090904</v>
      </c>
      <c r="BC85" s="309">
        <f>SUM(BC80:BC84)</f>
        <v>760754.02090909088</v>
      </c>
      <c r="BD85" s="286">
        <f t="shared" si="38"/>
        <v>21132.056136363633</v>
      </c>
      <c r="BE85" s="287"/>
      <c r="BP85" s="315">
        <f>BC85+BC193+BC301+BC409+BC517+BC622</f>
        <v>3187370.4615489943</v>
      </c>
    </row>
    <row r="86" spans="1:68" s="316" customFormat="1" ht="35.25" customHeight="1" x14ac:dyDescent="0.25">
      <c r="A86" s="306"/>
      <c r="B86" s="307" t="s">
        <v>257</v>
      </c>
      <c r="C86" s="329">
        <f>C56+C67+C78+C85</f>
        <v>51</v>
      </c>
      <c r="D86" s="309"/>
      <c r="E86" s="309"/>
      <c r="F86" s="309"/>
      <c r="G86" s="309"/>
      <c r="H86" s="309"/>
      <c r="I86" s="309"/>
      <c r="J86" s="309"/>
      <c r="K86" s="309"/>
      <c r="L86" s="309"/>
      <c r="M86" s="310"/>
      <c r="N86" s="309"/>
      <c r="O86" s="309"/>
      <c r="P86" s="309"/>
      <c r="Q86" s="309"/>
      <c r="R86" s="310"/>
      <c r="S86" s="310"/>
      <c r="T86" s="349">
        <f>U86/3</f>
        <v>717804</v>
      </c>
      <c r="U86" s="329">
        <f>U56+U67+U78+U85</f>
        <v>2153412</v>
      </c>
      <c r="V86" s="309"/>
      <c r="W86" s="309"/>
      <c r="X86" s="329">
        <f>X56+X67+X78+X85</f>
        <v>341457</v>
      </c>
      <c r="Y86" s="329"/>
      <c r="Z86" s="329">
        <f>Z56+Z67+Z78+Z85</f>
        <v>0</v>
      </c>
      <c r="AA86" s="329">
        <f>AA56+AA67+AA78+AA85</f>
        <v>56790.959999999992</v>
      </c>
      <c r="AB86" s="329"/>
      <c r="AC86" s="329"/>
      <c r="AD86" s="329">
        <f>AD56+AD67+AD78+AD85</f>
        <v>34613.440297312743</v>
      </c>
      <c r="AE86" s="329"/>
      <c r="AF86" s="329">
        <f>AF56+AF67+AF78+AF85</f>
        <v>0</v>
      </c>
      <c r="AG86" s="329">
        <f>AG56+AG67+AG78+AG85</f>
        <v>121147.04104059462</v>
      </c>
      <c r="AH86" s="329"/>
      <c r="AI86" s="329">
        <f>AI56+AI67+AI78+AI85</f>
        <v>0</v>
      </c>
      <c r="AJ86" s="329">
        <f>AJ56+AJ67+AJ78+AJ85</f>
        <v>106055.8677672956</v>
      </c>
      <c r="AK86" s="329"/>
      <c r="AL86" s="329">
        <f>AL56+AL67+AL78+AL85</f>
        <v>0</v>
      </c>
      <c r="AM86" s="329">
        <f>AM56+AM67+AM78+AM85</f>
        <v>162661.92000000001</v>
      </c>
      <c r="AN86" s="329"/>
      <c r="AO86" s="329">
        <f>AO56+AO67+AO78+AO85</f>
        <v>0</v>
      </c>
      <c r="AP86" s="329">
        <f>AP56+AP67+AP78+AP85</f>
        <v>16623.75</v>
      </c>
      <c r="AQ86" s="329">
        <f>AQ56+AQ67+AQ78+AQ85</f>
        <v>839349.97910520295</v>
      </c>
      <c r="AR86" s="329"/>
      <c r="AS86" s="329">
        <f>AS56+AS67+AS78+AS85</f>
        <v>179538.60000000003</v>
      </c>
      <c r="AT86" s="329">
        <f>AT56+AT67+AT78+AT85</f>
        <v>430682.4</v>
      </c>
      <c r="AU86" s="329">
        <f>AU56+AU67+AU78+AU85</f>
        <v>5</v>
      </c>
      <c r="AV86" s="329"/>
      <c r="AW86" s="329">
        <f>AW56+AW67+AW78+AW85</f>
        <v>61909</v>
      </c>
      <c r="AX86" s="329"/>
      <c r="AY86" s="329">
        <f>AY56+AY67+AY78+AY85</f>
        <v>0</v>
      </c>
      <c r="AZ86" s="329">
        <f>AZ56+AZ67+AZ78+AZ85</f>
        <v>0</v>
      </c>
      <c r="BA86" s="329">
        <f>BA56+BA67+BA78+BA85</f>
        <v>492591.4</v>
      </c>
      <c r="BB86" s="329">
        <f>BB56+BB67+BB78+BB85</f>
        <v>1180708.9738654234</v>
      </c>
      <c r="BC86" s="329">
        <f>BC56+BC67+BC78+BC85</f>
        <v>3485353.3791052033</v>
      </c>
      <c r="BD86" s="286">
        <f t="shared" si="38"/>
        <v>22780.087445132045</v>
      </c>
      <c r="BE86" s="378"/>
      <c r="BF86" s="379">
        <f t="shared" ref="BF86:BM86" si="78">BF56+BF78+BF85</f>
        <v>0</v>
      </c>
      <c r="BG86" s="379">
        <f t="shared" si="78"/>
        <v>0</v>
      </c>
      <c r="BH86" s="379">
        <f t="shared" si="78"/>
        <v>0</v>
      </c>
      <c r="BI86" s="379">
        <f t="shared" si="78"/>
        <v>0</v>
      </c>
      <c r="BJ86" s="379">
        <f t="shared" si="78"/>
        <v>202021.68</v>
      </c>
      <c r="BK86" s="379">
        <f t="shared" si="78"/>
        <v>0</v>
      </c>
      <c r="BL86" s="379">
        <f t="shared" si="78"/>
        <v>0</v>
      </c>
      <c r="BM86" s="379">
        <f t="shared" si="78"/>
        <v>0</v>
      </c>
    </row>
    <row r="87" spans="1:68" s="287" customFormat="1" ht="8.25" customHeight="1" x14ac:dyDescent="0.25">
      <c r="A87" s="380"/>
      <c r="B87" s="274"/>
      <c r="C87" s="381"/>
      <c r="M87" s="382"/>
      <c r="R87" s="382"/>
      <c r="S87" s="382"/>
      <c r="T87" s="323"/>
      <c r="U87" s="323"/>
      <c r="X87" s="323"/>
      <c r="Y87" s="323"/>
      <c r="Z87" s="323"/>
      <c r="AA87" s="323"/>
      <c r="AB87" s="323"/>
      <c r="AC87" s="323"/>
      <c r="AD87" s="323"/>
      <c r="AE87" s="323"/>
      <c r="AF87" s="323"/>
      <c r="AG87" s="323"/>
      <c r="AH87" s="323"/>
      <c r="AI87" s="323"/>
      <c r="AJ87" s="323"/>
      <c r="AK87" s="323"/>
      <c r="AL87" s="323"/>
      <c r="AM87" s="323"/>
      <c r="AN87" s="323"/>
      <c r="AO87" s="323"/>
      <c r="AP87" s="323"/>
      <c r="AQ87" s="323"/>
      <c r="AT87" s="382"/>
      <c r="AZ87" s="382"/>
      <c r="BA87" s="323"/>
      <c r="BB87" s="323"/>
      <c r="BC87" s="323"/>
      <c r="BD87" s="286"/>
      <c r="BE87" s="323"/>
    </row>
    <row r="88" spans="1:68" s="275" customFormat="1" ht="26.45" customHeight="1" x14ac:dyDescent="0.25">
      <c r="A88" s="270" t="s">
        <v>258</v>
      </c>
      <c r="B88" s="271" t="s">
        <v>99</v>
      </c>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3"/>
      <c r="BD88" s="286"/>
      <c r="BE88" s="274"/>
    </row>
    <row r="89" spans="1:68" s="388" customFormat="1" ht="22.15" customHeight="1" x14ac:dyDescent="0.25">
      <c r="A89" s="383"/>
      <c r="B89" s="384" t="s">
        <v>259</v>
      </c>
      <c r="C89" s="385"/>
      <c r="D89" s="384"/>
      <c r="E89" s="384"/>
      <c r="F89" s="384"/>
      <c r="G89" s="384"/>
      <c r="H89" s="384"/>
      <c r="I89" s="384"/>
      <c r="J89" s="384"/>
      <c r="K89" s="384"/>
      <c r="L89" s="384"/>
      <c r="M89" s="386"/>
      <c r="N89" s="384"/>
      <c r="O89" s="384"/>
      <c r="P89" s="384"/>
      <c r="Q89" s="384"/>
      <c r="R89" s="386"/>
      <c r="S89" s="386"/>
      <c r="T89" s="385"/>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7"/>
      <c r="AR89" s="384"/>
      <c r="AS89" s="384"/>
      <c r="AT89" s="386"/>
      <c r="AU89" s="384"/>
      <c r="AV89" s="384"/>
      <c r="AW89" s="384"/>
      <c r="AX89" s="384"/>
      <c r="AY89" s="384"/>
      <c r="AZ89" s="386"/>
      <c r="BA89" s="384"/>
      <c r="BB89" s="384"/>
      <c r="BC89" s="387"/>
      <c r="BD89" s="286"/>
      <c r="BE89" s="371"/>
    </row>
    <row r="90" spans="1:68" s="287" customFormat="1" x14ac:dyDescent="0.25">
      <c r="A90" s="276"/>
      <c r="B90" s="277" t="s">
        <v>260</v>
      </c>
      <c r="C90" s="425">
        <f>1</f>
        <v>1</v>
      </c>
      <c r="D90" s="279"/>
      <c r="E90" s="279"/>
      <c r="F90" s="279"/>
      <c r="G90" s="279"/>
      <c r="H90" s="279"/>
      <c r="I90" s="279"/>
      <c r="J90" s="279">
        <v>1</v>
      </c>
      <c r="K90" s="279"/>
      <c r="L90" s="277"/>
      <c r="M90" s="280">
        <f>M$35</f>
        <v>3028</v>
      </c>
      <c r="N90" s="281">
        <f>N$29</f>
        <v>2</v>
      </c>
      <c r="O90" s="282">
        <v>2.35</v>
      </c>
      <c r="P90" s="282">
        <f>P$244</f>
        <v>1.58</v>
      </c>
      <c r="Q90" s="282"/>
      <c r="R90" s="283">
        <f>$R$28</f>
        <v>495</v>
      </c>
      <c r="S90" s="280">
        <f>T90/(R90/4)</f>
        <v>181.70505050505051</v>
      </c>
      <c r="T90" s="425">
        <f>ROUND(M90*N90*O90*P90,0)</f>
        <v>22486</v>
      </c>
      <c r="U90" s="284">
        <f>T90*C90*3</f>
        <v>67458</v>
      </c>
      <c r="V90" s="277">
        <v>30</v>
      </c>
      <c r="W90" s="285"/>
      <c r="X90" s="285">
        <f>U90*V90%</f>
        <v>20237.399999999998</v>
      </c>
      <c r="Y90" s="277"/>
      <c r="Z90" s="277"/>
      <c r="AA90" s="277"/>
      <c r="AB90" s="277"/>
      <c r="AC90" s="277"/>
      <c r="AD90" s="277"/>
      <c r="AE90" s="277"/>
      <c r="AF90" s="277"/>
      <c r="AG90" s="277"/>
      <c r="AH90" s="277"/>
      <c r="AI90" s="277"/>
      <c r="AJ90" s="277"/>
      <c r="AK90" s="277">
        <v>15</v>
      </c>
      <c r="AL90" s="277"/>
      <c r="AM90" s="285">
        <f>T90*AK90%*3</f>
        <v>10118.700000000001</v>
      </c>
      <c r="AN90" s="277"/>
      <c r="AO90" s="277"/>
      <c r="AP90" s="277"/>
      <c r="AQ90" s="284">
        <f>X90+AA90+AD90+AG90+AJ90+AM90+AP90</f>
        <v>30356.1</v>
      </c>
      <c r="AR90" s="277">
        <f>AR$29</f>
        <v>20</v>
      </c>
      <c r="AS90" s="277">
        <f>AT90/C90</f>
        <v>13491.6</v>
      </c>
      <c r="AT90" s="280">
        <f>(U90)*AR90%</f>
        <v>13491.6</v>
      </c>
      <c r="AU90" s="277"/>
      <c r="AV90" s="277">
        <v>100</v>
      </c>
      <c r="AW90" s="277">
        <f>AU90*T90</f>
        <v>0</v>
      </c>
      <c r="AX90" s="277"/>
      <c r="AY90" s="277"/>
      <c r="AZ90" s="280"/>
      <c r="BA90" s="284">
        <f>AT90+AW90+AZ90</f>
        <v>13491.6</v>
      </c>
      <c r="BB90" s="284">
        <f>BC90/C90</f>
        <v>111305.7</v>
      </c>
      <c r="BC90" s="284">
        <f>BA90+AQ90+U90</f>
        <v>111305.7</v>
      </c>
      <c r="BD90" s="286">
        <f t="shared" si="38"/>
        <v>37101.9</v>
      </c>
      <c r="BE90" s="286"/>
      <c r="BF90" s="251">
        <f>IF(D90=1,BC90,0)</f>
        <v>0</v>
      </c>
      <c r="BG90" s="251">
        <f>IF(E90=1,BC90,0)</f>
        <v>0</v>
      </c>
      <c r="BH90" s="251">
        <f>IF(F90=1,BC90,0)</f>
        <v>0</v>
      </c>
      <c r="BI90" s="251">
        <f>IF(G90=1,BC90,0)</f>
        <v>0</v>
      </c>
      <c r="BJ90" s="251">
        <f>IF(H90=1,BC90,0)</f>
        <v>0</v>
      </c>
      <c r="BK90" s="251">
        <f>IF(I90=1,BC90,0)</f>
        <v>0</v>
      </c>
      <c r="BL90" s="251">
        <f>IF(J90=1,BC90,0)</f>
        <v>111305.7</v>
      </c>
      <c r="BM90" s="251">
        <f>IF(K90=1,BC90,0)</f>
        <v>0</v>
      </c>
    </row>
    <row r="91" spans="1:68" s="287" customFormat="1" x14ac:dyDescent="0.25">
      <c r="A91" s="276"/>
      <c r="B91" s="288" t="s">
        <v>238</v>
      </c>
      <c r="C91" s="425">
        <v>2</v>
      </c>
      <c r="D91" s="279"/>
      <c r="E91" s="279"/>
      <c r="F91" s="279"/>
      <c r="G91" s="279"/>
      <c r="H91" s="279"/>
      <c r="I91" s="279"/>
      <c r="J91" s="279">
        <v>1</v>
      </c>
      <c r="K91" s="279"/>
      <c r="L91" s="277"/>
      <c r="M91" s="280">
        <f>M$35</f>
        <v>3028</v>
      </c>
      <c r="N91" s="281">
        <f>N$29</f>
        <v>2</v>
      </c>
      <c r="O91" s="282">
        <v>1.8</v>
      </c>
      <c r="P91" s="282">
        <f>P$244</f>
        <v>1.58</v>
      </c>
      <c r="Q91" s="282"/>
      <c r="R91" s="283">
        <f>$R$28</f>
        <v>495</v>
      </c>
      <c r="S91" s="280">
        <f>T91/(R91/4)</f>
        <v>139.17575757575759</v>
      </c>
      <c r="T91" s="425">
        <f>ROUND(M91*N91*O91*P91,0)</f>
        <v>17223</v>
      </c>
      <c r="U91" s="284">
        <f>T91*C91*3</f>
        <v>103338</v>
      </c>
      <c r="V91" s="277">
        <v>20</v>
      </c>
      <c r="W91" s="285"/>
      <c r="X91" s="285">
        <f>U91*V91%</f>
        <v>20667.600000000002</v>
      </c>
      <c r="Y91" s="277"/>
      <c r="Z91" s="277"/>
      <c r="AA91" s="277"/>
      <c r="AB91" s="277"/>
      <c r="AC91" s="277"/>
      <c r="AD91" s="277"/>
      <c r="AE91" s="277"/>
      <c r="AF91" s="277"/>
      <c r="AG91" s="277"/>
      <c r="AH91" s="277"/>
      <c r="AI91" s="277"/>
      <c r="AJ91" s="277"/>
      <c r="AK91" s="277">
        <f>(15+15)/2</f>
        <v>15</v>
      </c>
      <c r="AL91" s="277"/>
      <c r="AM91" s="342">
        <f>2*T91*AK91%*3</f>
        <v>15500.699999999999</v>
      </c>
      <c r="AN91" s="277"/>
      <c r="AO91" s="277"/>
      <c r="AP91" s="277"/>
      <c r="AQ91" s="284">
        <f>X91+AA91+AD91+AG91+AJ91+AM91+AP91</f>
        <v>36168.300000000003</v>
      </c>
      <c r="AR91" s="277">
        <f>AR$29</f>
        <v>20</v>
      </c>
      <c r="AS91" s="285">
        <f>AT91/C91</f>
        <v>10333.800000000001</v>
      </c>
      <c r="AT91" s="280">
        <f>(U91)*AR91%</f>
        <v>20667.600000000002</v>
      </c>
      <c r="AU91" s="277"/>
      <c r="AV91" s="277">
        <v>100</v>
      </c>
      <c r="AW91" s="277">
        <f>AU91*T91</f>
        <v>0</v>
      </c>
      <c r="AX91" s="277"/>
      <c r="AY91" s="285"/>
      <c r="AZ91" s="280"/>
      <c r="BA91" s="284">
        <f>AT91+AW91+AZ91</f>
        <v>20667.600000000002</v>
      </c>
      <c r="BB91" s="284">
        <f>BC91/C91</f>
        <v>80086.950000000012</v>
      </c>
      <c r="BC91" s="284">
        <f>BA91+AQ91+U91</f>
        <v>160173.90000000002</v>
      </c>
      <c r="BD91" s="286">
        <f t="shared" si="38"/>
        <v>26695.650000000005</v>
      </c>
      <c r="BE91" s="286"/>
      <c r="BF91" s="251">
        <f>IF(D91=1,BC91,0)</f>
        <v>0</v>
      </c>
      <c r="BG91" s="251">
        <f>IF(E91=1,BC91,0)</f>
        <v>0</v>
      </c>
      <c r="BH91" s="251">
        <f>IF(F91=1,BC91,0)</f>
        <v>0</v>
      </c>
      <c r="BI91" s="251">
        <f>IF(G91=1,BC91,0)</f>
        <v>0</v>
      </c>
      <c r="BJ91" s="251">
        <f>IF(H91=1,BC91,0)</f>
        <v>0</v>
      </c>
      <c r="BK91" s="251">
        <f>IF(I91=1,BC91,0)</f>
        <v>0</v>
      </c>
      <c r="BL91" s="251">
        <f>IF(J91=1,BC91,0)</f>
        <v>160173.90000000002</v>
      </c>
      <c r="BM91" s="251">
        <f>IF(K91=1,BC91,0)</f>
        <v>0</v>
      </c>
    </row>
    <row r="92" spans="1:68" s="287" customFormat="1" ht="28.5" x14ac:dyDescent="0.25">
      <c r="A92" s="276"/>
      <c r="B92" s="288" t="s">
        <v>261</v>
      </c>
      <c r="C92" s="278">
        <v>1</v>
      </c>
      <c r="D92" s="279"/>
      <c r="E92" s="279"/>
      <c r="F92" s="279"/>
      <c r="G92" s="279"/>
      <c r="H92" s="279">
        <v>1</v>
      </c>
      <c r="I92" s="279"/>
      <c r="J92" s="279"/>
      <c r="K92" s="279"/>
      <c r="L92" s="277"/>
      <c r="M92" s="280">
        <f>M$35</f>
        <v>3028</v>
      </c>
      <c r="N92" s="281">
        <f>N$29</f>
        <v>2</v>
      </c>
      <c r="O92" s="282">
        <v>1.32</v>
      </c>
      <c r="P92" s="282">
        <f>P$244</f>
        <v>1.58</v>
      </c>
      <c r="Q92" s="282"/>
      <c r="R92" s="283">
        <f>$R$28</f>
        <v>495</v>
      </c>
      <c r="S92" s="280">
        <f>T92/(R92/4)</f>
        <v>102.06060606060606</v>
      </c>
      <c r="T92" s="425">
        <f>ROUND(M92*N92*O92*P92,0)</f>
        <v>12630</v>
      </c>
      <c r="U92" s="284">
        <f>T92*C92*3</f>
        <v>37890</v>
      </c>
      <c r="V92" s="277">
        <v>12</v>
      </c>
      <c r="W92" s="285"/>
      <c r="X92" s="285">
        <f>U92*V92%</f>
        <v>4546.8</v>
      </c>
      <c r="Y92" s="277"/>
      <c r="Z92" s="277"/>
      <c r="AA92" s="277"/>
      <c r="AB92" s="277"/>
      <c r="AC92" s="277"/>
      <c r="AD92" s="277"/>
      <c r="AE92" s="277"/>
      <c r="AF92" s="277"/>
      <c r="AG92" s="277"/>
      <c r="AH92" s="277"/>
      <c r="AI92" s="277"/>
      <c r="AJ92" s="277"/>
      <c r="AK92" s="277">
        <v>20</v>
      </c>
      <c r="AL92" s="277"/>
      <c r="AM92" s="342">
        <f>1*T92*AK92%*3</f>
        <v>7578</v>
      </c>
      <c r="AN92" s="277"/>
      <c r="AO92" s="277"/>
      <c r="AP92" s="277"/>
      <c r="AQ92" s="284">
        <f>X92+AA92+AD92+AG92+AJ92+AM92+AP92</f>
        <v>12124.8</v>
      </c>
      <c r="AR92" s="277">
        <f>AR$29</f>
        <v>20</v>
      </c>
      <c r="AS92" s="285">
        <f>AT92/C92</f>
        <v>7578</v>
      </c>
      <c r="AT92" s="280">
        <f>(U92)*AR92%</f>
        <v>7578</v>
      </c>
      <c r="AU92" s="277"/>
      <c r="AV92" s="277">
        <v>100</v>
      </c>
      <c r="AW92" s="277">
        <f>AU92*T92</f>
        <v>0</v>
      </c>
      <c r="AX92" s="277"/>
      <c r="AY92" s="285"/>
      <c r="AZ92" s="280"/>
      <c r="BA92" s="284">
        <f>AT92+AW92+AZ92</f>
        <v>7578</v>
      </c>
      <c r="BB92" s="284">
        <f>BC92/C92</f>
        <v>57592.800000000003</v>
      </c>
      <c r="BC92" s="284">
        <f>BA92+AQ92+U92</f>
        <v>57592.800000000003</v>
      </c>
      <c r="BD92" s="286">
        <f>BC92/C92/3</f>
        <v>19197.600000000002</v>
      </c>
      <c r="BE92" s="286"/>
      <c r="BF92" s="251">
        <f>IF(D92=1,BC92,0)</f>
        <v>0</v>
      </c>
      <c r="BG92" s="251">
        <f>IF(E92=1,BC92,0)</f>
        <v>0</v>
      </c>
      <c r="BH92" s="251">
        <f>IF(F92=1,BC92,0)</f>
        <v>0</v>
      </c>
      <c r="BI92" s="251">
        <f>IF(G92=1,BC92,0)</f>
        <v>0</v>
      </c>
      <c r="BJ92" s="251">
        <f>IF(H92=1,BC92,0)</f>
        <v>57592.800000000003</v>
      </c>
      <c r="BK92" s="251">
        <f>IF(I92=1,BC92,0)</f>
        <v>0</v>
      </c>
      <c r="BL92" s="251">
        <f>IF(J92=1,BC92,0)</f>
        <v>0</v>
      </c>
      <c r="BM92" s="251">
        <f>IF(K92=1,BC92,0)</f>
        <v>0</v>
      </c>
    </row>
    <row r="93" spans="1:68" s="287" customFormat="1" ht="18" customHeight="1" x14ac:dyDescent="0.25">
      <c r="A93" s="276"/>
      <c r="B93" s="288" t="s">
        <v>262</v>
      </c>
      <c r="C93" s="278">
        <f>4</f>
        <v>4</v>
      </c>
      <c r="D93" s="279"/>
      <c r="E93" s="279"/>
      <c r="F93" s="279"/>
      <c r="G93" s="279"/>
      <c r="H93" s="279">
        <v>1</v>
      </c>
      <c r="I93" s="279"/>
      <c r="J93" s="279"/>
      <c r="K93" s="279"/>
      <c r="L93" s="277"/>
      <c r="M93" s="280">
        <f>M$35</f>
        <v>3028</v>
      </c>
      <c r="N93" s="281">
        <f>N$29</f>
        <v>2</v>
      </c>
      <c r="O93" s="282">
        <v>1.2</v>
      </c>
      <c r="P93" s="282">
        <f>P$244</f>
        <v>1.58</v>
      </c>
      <c r="Q93" s="282"/>
      <c r="R93" s="283">
        <f>$R$28</f>
        <v>495</v>
      </c>
      <c r="S93" s="280">
        <f>T93/(R93/4)</f>
        <v>92.783838383838386</v>
      </c>
      <c r="T93" s="425">
        <f>ROUND(M93*N93*O93*P93,0)</f>
        <v>11482</v>
      </c>
      <c r="U93" s="284">
        <f>T93*C93*3</f>
        <v>137784</v>
      </c>
      <c r="V93" s="277">
        <v>12</v>
      </c>
      <c r="W93" s="285"/>
      <c r="X93" s="285">
        <f>U93*V93%</f>
        <v>16534.079999999998</v>
      </c>
      <c r="Y93" s="277"/>
      <c r="Z93" s="277"/>
      <c r="AA93" s="277"/>
      <c r="AB93" s="277"/>
      <c r="AC93" s="277"/>
      <c r="AD93" s="277"/>
      <c r="AE93" s="277"/>
      <c r="AF93" s="277"/>
      <c r="AG93" s="277"/>
      <c r="AH93" s="277"/>
      <c r="AI93" s="277"/>
      <c r="AJ93" s="277"/>
      <c r="AK93" s="277">
        <f>(15+20+10+10)/4</f>
        <v>13.75</v>
      </c>
      <c r="AL93" s="277"/>
      <c r="AM93" s="342">
        <f>4*T93*AK93%*3</f>
        <v>18945.300000000003</v>
      </c>
      <c r="AN93" s="277"/>
      <c r="AO93" s="277"/>
      <c r="AP93" s="277"/>
      <c r="AQ93" s="284">
        <f>X93+AA93+AD93+AG93+AJ93+AM93+AP93</f>
        <v>35479.380000000005</v>
      </c>
      <c r="AR93" s="277">
        <f>AR$29</f>
        <v>20</v>
      </c>
      <c r="AS93" s="285">
        <f>AT93/C93</f>
        <v>6889.2000000000007</v>
      </c>
      <c r="AT93" s="280">
        <f>(U93)*AR93%</f>
        <v>27556.800000000003</v>
      </c>
      <c r="AU93" s="277"/>
      <c r="AV93" s="277">
        <v>100</v>
      </c>
      <c r="AW93" s="277">
        <f>AU93*T93</f>
        <v>0</v>
      </c>
      <c r="AX93" s="277"/>
      <c r="AY93" s="285"/>
      <c r="AZ93" s="280"/>
      <c r="BA93" s="284">
        <f>AT93+AW93+AZ93</f>
        <v>27556.800000000003</v>
      </c>
      <c r="BB93" s="284">
        <f>BC93/C93</f>
        <v>50205.044999999998</v>
      </c>
      <c r="BC93" s="284">
        <f>BA93+AQ93+U93</f>
        <v>200820.18</v>
      </c>
      <c r="BD93" s="286">
        <f t="shared" si="38"/>
        <v>16735.014999999999</v>
      </c>
      <c r="BE93" s="286"/>
      <c r="BF93" s="251">
        <f>IF(D93=1,BC93,0)</f>
        <v>0</v>
      </c>
      <c r="BG93" s="251">
        <f>IF(E93=1,BC93,0)</f>
        <v>0</v>
      </c>
      <c r="BH93" s="251">
        <f>IF(F93=1,BC93,0)</f>
        <v>0</v>
      </c>
      <c r="BI93" s="251">
        <f>IF(G93=1,BC93,0)</f>
        <v>0</v>
      </c>
      <c r="BJ93" s="251">
        <f>IF(H93=1,BC93,0)</f>
        <v>200820.18</v>
      </c>
      <c r="BK93" s="251">
        <f>IF(I93=1,BC93,0)</f>
        <v>0</v>
      </c>
      <c r="BL93" s="251">
        <f>IF(J93=1,BC93,0)</f>
        <v>0</v>
      </c>
      <c r="BM93" s="251">
        <f>IF(K93=1,BC93,0)</f>
        <v>0</v>
      </c>
    </row>
    <row r="94" spans="1:68" s="301" customFormat="1" ht="18" customHeight="1" x14ac:dyDescent="0.25">
      <c r="A94" s="289"/>
      <c r="B94" s="290" t="s">
        <v>262</v>
      </c>
      <c r="C94" s="376">
        <v>6</v>
      </c>
      <c r="D94" s="292"/>
      <c r="E94" s="292"/>
      <c r="F94" s="292"/>
      <c r="G94" s="292"/>
      <c r="H94" s="292"/>
      <c r="I94" s="292">
        <v>1</v>
      </c>
      <c r="J94" s="292"/>
      <c r="K94" s="292"/>
      <c r="L94" s="293"/>
      <c r="M94" s="294">
        <f>M$35</f>
        <v>3028</v>
      </c>
      <c r="N94" s="281">
        <f>N$29</f>
        <v>2</v>
      </c>
      <c r="O94" s="295">
        <v>1.2</v>
      </c>
      <c r="P94" s="295">
        <f>P$244</f>
        <v>1.58</v>
      </c>
      <c r="Q94" s="295"/>
      <c r="R94" s="296">
        <f>$R$28</f>
        <v>495</v>
      </c>
      <c r="S94" s="294">
        <f>T94/(R94/4)</f>
        <v>92.783838383838386</v>
      </c>
      <c r="T94" s="291">
        <f>ROUND(M94*N94*O94*P94,0)</f>
        <v>11482</v>
      </c>
      <c r="U94" s="297">
        <f>T94*C94*3</f>
        <v>206676</v>
      </c>
      <c r="V94" s="293">
        <v>12</v>
      </c>
      <c r="W94" s="298"/>
      <c r="X94" s="298">
        <f>U94*V94%</f>
        <v>24801.119999999999</v>
      </c>
      <c r="Y94" s="293"/>
      <c r="Z94" s="293"/>
      <c r="AA94" s="293"/>
      <c r="AB94" s="293"/>
      <c r="AC94" s="293"/>
      <c r="AD94" s="293"/>
      <c r="AE94" s="293"/>
      <c r="AF94" s="293"/>
      <c r="AG94" s="293"/>
      <c r="AH94" s="293"/>
      <c r="AI94" s="293"/>
      <c r="AJ94" s="293"/>
      <c r="AK94" s="277">
        <f>(10+10)/2</f>
        <v>10</v>
      </c>
      <c r="AL94" s="293"/>
      <c r="AM94" s="298">
        <f>2*T94*AK94%*3</f>
        <v>6889.2000000000007</v>
      </c>
      <c r="AN94" s="293"/>
      <c r="AO94" s="293"/>
      <c r="AP94" s="293"/>
      <c r="AQ94" s="297">
        <f>X94+AA94+AD94+AG94+AJ94+AM94+AP94</f>
        <v>31690.32</v>
      </c>
      <c r="AR94" s="293">
        <f>AR$29</f>
        <v>20</v>
      </c>
      <c r="AS94" s="298">
        <f>AT94/C94</f>
        <v>6889.2000000000007</v>
      </c>
      <c r="AT94" s="294">
        <f>(U94)*AR94%</f>
        <v>41335.200000000004</v>
      </c>
      <c r="AU94" s="293">
        <v>1</v>
      </c>
      <c r="AV94" s="293">
        <v>100</v>
      </c>
      <c r="AW94" s="293">
        <f>AU94*T94</f>
        <v>11482</v>
      </c>
      <c r="AX94" s="293"/>
      <c r="AY94" s="298"/>
      <c r="AZ94" s="294"/>
      <c r="BA94" s="297">
        <f>AT94+AW94+AZ94</f>
        <v>52817.200000000004</v>
      </c>
      <c r="BB94" s="297">
        <f>BC94/C94</f>
        <v>48530.58666666667</v>
      </c>
      <c r="BC94" s="297">
        <f>BA94+AQ94+U94</f>
        <v>291183.52</v>
      </c>
      <c r="BD94" s="299">
        <f t="shared" si="38"/>
        <v>16176.862222222224</v>
      </c>
      <c r="BE94" s="299"/>
      <c r="BF94" s="300">
        <f>IF(D94=1,BC94,0)</f>
        <v>0</v>
      </c>
      <c r="BG94" s="300">
        <f>IF(E94=1,BC94,0)</f>
        <v>0</v>
      </c>
      <c r="BH94" s="300">
        <f>IF(F94=1,BC94,0)</f>
        <v>0</v>
      </c>
      <c r="BI94" s="300">
        <f>IF(G94=1,BC94,0)</f>
        <v>0</v>
      </c>
      <c r="BJ94" s="300">
        <f>IF(H94=1,BC94,0)</f>
        <v>0</v>
      </c>
      <c r="BK94" s="300">
        <f>IF(I94=1,BC94,0)</f>
        <v>291183.52</v>
      </c>
      <c r="BL94" s="300">
        <f>IF(J94=1,BC94,0)</f>
        <v>0</v>
      </c>
      <c r="BM94" s="300">
        <f>IF(K94=1,BC94,0)</f>
        <v>0</v>
      </c>
    </row>
    <row r="95" spans="1:68" s="287" customFormat="1" x14ac:dyDescent="0.25">
      <c r="A95" s="276"/>
      <c r="B95" s="288"/>
      <c r="C95" s="425"/>
      <c r="D95" s="279"/>
      <c r="E95" s="279"/>
      <c r="F95" s="279"/>
      <c r="G95" s="279"/>
      <c r="H95" s="279"/>
      <c r="I95" s="279"/>
      <c r="J95" s="279"/>
      <c r="K95" s="279"/>
      <c r="L95" s="277"/>
      <c r="M95" s="280"/>
      <c r="N95" s="281"/>
      <c r="O95" s="302"/>
      <c r="P95" s="303"/>
      <c r="Q95" s="282"/>
      <c r="R95" s="283"/>
      <c r="S95" s="280"/>
      <c r="T95" s="425"/>
      <c r="U95" s="284"/>
      <c r="V95" s="277"/>
      <c r="W95" s="285"/>
      <c r="X95" s="285"/>
      <c r="Y95" s="277"/>
      <c r="Z95" s="277"/>
      <c r="AA95" s="277"/>
      <c r="AB95" s="277"/>
      <c r="AC95" s="277"/>
      <c r="AD95" s="277"/>
      <c r="AE95" s="277"/>
      <c r="AF95" s="277"/>
      <c r="AG95" s="277"/>
      <c r="AH95" s="277"/>
      <c r="AI95" s="277"/>
      <c r="AJ95" s="277"/>
      <c r="AK95" s="277"/>
      <c r="AL95" s="277"/>
      <c r="AM95" s="285"/>
      <c r="AN95" s="277"/>
      <c r="AO95" s="277"/>
      <c r="AP95" s="277"/>
      <c r="AQ95" s="284"/>
      <c r="AR95" s="277"/>
      <c r="AS95" s="285"/>
      <c r="AT95" s="280"/>
      <c r="AU95" s="277"/>
      <c r="AV95" s="277"/>
      <c r="AW95" s="277"/>
      <c r="AX95" s="277"/>
      <c r="AY95" s="285"/>
      <c r="AZ95" s="304"/>
      <c r="BA95" s="284"/>
      <c r="BB95" s="284"/>
      <c r="BC95" s="284"/>
      <c r="BD95" s="286"/>
      <c r="BE95" s="286"/>
      <c r="BF95" s="251"/>
      <c r="BG95" s="251"/>
      <c r="BH95" s="251"/>
      <c r="BI95" s="251"/>
      <c r="BJ95" s="251"/>
      <c r="BK95" s="251"/>
      <c r="BL95" s="251"/>
      <c r="BM95" s="251"/>
    </row>
    <row r="96" spans="1:68" s="287" customFormat="1" x14ac:dyDescent="0.25">
      <c r="A96" s="276"/>
      <c r="B96" s="288"/>
      <c r="C96" s="425"/>
      <c r="D96" s="279"/>
      <c r="E96" s="279"/>
      <c r="F96" s="279"/>
      <c r="G96" s="279"/>
      <c r="H96" s="279"/>
      <c r="I96" s="279"/>
      <c r="J96" s="279"/>
      <c r="K96" s="279"/>
      <c r="L96" s="277"/>
      <c r="M96" s="280"/>
      <c r="N96" s="281"/>
      <c r="O96" s="282"/>
      <c r="P96" s="282"/>
      <c r="Q96" s="282"/>
      <c r="R96" s="283"/>
      <c r="S96" s="280"/>
      <c r="T96" s="425"/>
      <c r="U96" s="284"/>
      <c r="V96" s="277"/>
      <c r="W96" s="285"/>
      <c r="X96" s="285"/>
      <c r="Y96" s="277"/>
      <c r="Z96" s="277"/>
      <c r="AA96" s="277"/>
      <c r="AB96" s="277"/>
      <c r="AC96" s="277"/>
      <c r="AD96" s="285"/>
      <c r="AE96" s="277"/>
      <c r="AF96" s="285"/>
      <c r="AG96" s="285"/>
      <c r="AH96" s="277"/>
      <c r="AI96" s="285"/>
      <c r="AJ96" s="285"/>
      <c r="AK96" s="277"/>
      <c r="AL96" s="277"/>
      <c r="AM96" s="285">
        <f>T96*AK96%*3</f>
        <v>0</v>
      </c>
      <c r="AN96" s="277"/>
      <c r="AO96" s="277"/>
      <c r="AP96" s="277"/>
      <c r="AQ96" s="284">
        <f>X96+AA96+AD96+AG96+AJ96+AM96+AP96</f>
        <v>0</v>
      </c>
      <c r="AR96" s="277"/>
      <c r="AS96" s="285"/>
      <c r="AT96" s="280"/>
      <c r="AU96" s="277"/>
      <c r="AV96" s="277"/>
      <c r="AW96" s="277"/>
      <c r="AX96" s="277"/>
      <c r="AY96" s="285"/>
      <c r="AZ96" s="280"/>
      <c r="BA96" s="284"/>
      <c r="BB96" s="284"/>
      <c r="BC96" s="284"/>
      <c r="BD96" s="286"/>
      <c r="BE96" s="286"/>
      <c r="BF96" s="251"/>
      <c r="BG96" s="251"/>
      <c r="BH96" s="251"/>
      <c r="BI96" s="251"/>
      <c r="BJ96" s="251"/>
      <c r="BK96" s="251"/>
      <c r="BL96" s="251"/>
      <c r="BM96" s="251"/>
    </row>
    <row r="97" spans="1:68" s="316" customFormat="1" ht="14.25" x14ac:dyDescent="0.25">
      <c r="A97" s="306"/>
      <c r="B97" s="372" t="s">
        <v>229</v>
      </c>
      <c r="C97" s="329">
        <f>SUM(C90:C96)</f>
        <v>14</v>
      </c>
      <c r="D97" s="309"/>
      <c r="E97" s="309"/>
      <c r="F97" s="309"/>
      <c r="G97" s="309"/>
      <c r="H97" s="309"/>
      <c r="I97" s="309"/>
      <c r="J97" s="309"/>
      <c r="K97" s="309"/>
      <c r="L97" s="309"/>
      <c r="M97" s="310"/>
      <c r="N97" s="309"/>
      <c r="O97" s="309"/>
      <c r="P97" s="309"/>
      <c r="Q97" s="309"/>
      <c r="R97" s="310"/>
      <c r="S97" s="310"/>
      <c r="T97" s="311">
        <f>U97/3</f>
        <v>184382</v>
      </c>
      <c r="U97" s="312">
        <f>SUM(U90:U96)</f>
        <v>553146</v>
      </c>
      <c r="V97" s="309"/>
      <c r="W97" s="309"/>
      <c r="X97" s="312">
        <f>SUM(X90:X96)</f>
        <v>86787</v>
      </c>
      <c r="Y97" s="312"/>
      <c r="Z97" s="312"/>
      <c r="AA97" s="312">
        <f>SUM(AA90:AA96)</f>
        <v>0</v>
      </c>
      <c r="AB97" s="312"/>
      <c r="AC97" s="312"/>
      <c r="AD97" s="312">
        <f>SUM(AD90:AD96)</f>
        <v>0</v>
      </c>
      <c r="AE97" s="312"/>
      <c r="AF97" s="312"/>
      <c r="AG97" s="312">
        <f>SUM(AG90:AG96)</f>
        <v>0</v>
      </c>
      <c r="AH97" s="312"/>
      <c r="AI97" s="312"/>
      <c r="AJ97" s="312">
        <f>SUM(AJ90:AJ96)</f>
        <v>0</v>
      </c>
      <c r="AK97" s="312"/>
      <c r="AL97" s="312"/>
      <c r="AM97" s="312">
        <f>SUM(AM90:AM96)</f>
        <v>59031.900000000009</v>
      </c>
      <c r="AN97" s="312"/>
      <c r="AO97" s="312"/>
      <c r="AP97" s="312">
        <f>SUM(AP90:AP96)</f>
        <v>0</v>
      </c>
      <c r="AQ97" s="312">
        <f>SUM(AQ90:AQ96)</f>
        <v>145818.9</v>
      </c>
      <c r="AR97" s="312"/>
      <c r="AS97" s="312">
        <f>SUM(AS90:AS96)</f>
        <v>45181.8</v>
      </c>
      <c r="AT97" s="312">
        <f>SUM(AT90:AT96)</f>
        <v>110629.20000000001</v>
      </c>
      <c r="AU97" s="312">
        <f>SUM(AU90:AU96)</f>
        <v>1</v>
      </c>
      <c r="AV97" s="312"/>
      <c r="AW97" s="312">
        <f>SUM(AW90:AW96)</f>
        <v>11482</v>
      </c>
      <c r="AX97" s="312"/>
      <c r="AY97" s="312">
        <f>SUM(AY90:AY96)</f>
        <v>0</v>
      </c>
      <c r="AZ97" s="312">
        <f>SUM(AZ90:AZ96)</f>
        <v>0</v>
      </c>
      <c r="BA97" s="312">
        <f>SUM(BA90:BA96)</f>
        <v>122111.20000000001</v>
      </c>
      <c r="BB97" s="312">
        <f>BC97/C97</f>
        <v>58648.292857142864</v>
      </c>
      <c r="BC97" s="312">
        <f>SUM(BC90:BC96)</f>
        <v>821076.10000000009</v>
      </c>
      <c r="BD97" s="286">
        <f t="shared" si="38"/>
        <v>19549.430952380953</v>
      </c>
      <c r="BE97" s="286"/>
      <c r="BP97" s="315">
        <f>BC97+BC205+BC313+BC421+BC529+BC634</f>
        <v>3422758.4000000004</v>
      </c>
    </row>
    <row r="98" spans="1:68" s="287" customFormat="1" ht="13.5" hidden="1" customHeight="1" x14ac:dyDescent="0.25">
      <c r="A98" s="380"/>
      <c r="B98" s="274"/>
      <c r="C98" s="258"/>
      <c r="D98" s="274"/>
      <c r="E98" s="274"/>
      <c r="F98" s="274"/>
      <c r="G98" s="274"/>
      <c r="H98" s="274"/>
      <c r="I98" s="274"/>
      <c r="J98" s="274"/>
      <c r="K98" s="274"/>
      <c r="L98" s="274"/>
      <c r="M98" s="389"/>
      <c r="N98" s="390"/>
      <c r="O98" s="390"/>
      <c r="P98" s="390"/>
      <c r="Q98" s="390"/>
      <c r="R98" s="391"/>
      <c r="S98" s="392"/>
      <c r="T98" s="258"/>
      <c r="U98" s="274"/>
      <c r="V98" s="274"/>
      <c r="W98" s="371"/>
      <c r="X98" s="371"/>
      <c r="Y98" s="274"/>
      <c r="Z98" s="274"/>
      <c r="AA98" s="274"/>
      <c r="AB98" s="274"/>
      <c r="AC98" s="274"/>
      <c r="AD98" s="371"/>
      <c r="AE98" s="274"/>
      <c r="AF98" s="371"/>
      <c r="AG98" s="371"/>
      <c r="AH98" s="274"/>
      <c r="AI98" s="371"/>
      <c r="AJ98" s="371"/>
      <c r="AK98" s="274"/>
      <c r="AL98" s="274"/>
      <c r="AM98" s="274"/>
      <c r="AN98" s="274"/>
      <c r="AO98" s="274"/>
      <c r="AP98" s="274"/>
      <c r="AQ98" s="274"/>
      <c r="AR98" s="274"/>
      <c r="AS98" s="371"/>
      <c r="AT98" s="389"/>
      <c r="AU98" s="274"/>
      <c r="AV98" s="274"/>
      <c r="AW98" s="274"/>
      <c r="AX98" s="274"/>
      <c r="AY98" s="371"/>
      <c r="AZ98" s="389"/>
      <c r="BA98" s="274"/>
      <c r="BB98" s="274"/>
      <c r="BC98" s="274"/>
      <c r="BD98" s="286"/>
      <c r="BE98" s="274"/>
      <c r="BF98" s="251"/>
      <c r="BG98" s="251"/>
      <c r="BH98" s="251"/>
      <c r="BI98" s="251"/>
      <c r="BJ98" s="251"/>
      <c r="BK98" s="251"/>
      <c r="BL98" s="251"/>
      <c r="BM98" s="251"/>
    </row>
    <row r="99" spans="1:68" s="275" customFormat="1" ht="28.5" customHeight="1" x14ac:dyDescent="0.25">
      <c r="A99" s="270" t="s">
        <v>263</v>
      </c>
      <c r="B99" s="324" t="s">
        <v>264</v>
      </c>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3"/>
      <c r="BD99" s="286"/>
      <c r="BE99" s="274"/>
    </row>
    <row r="100" spans="1:68" s="377" customFormat="1" ht="25.5" customHeight="1" x14ac:dyDescent="0.25">
      <c r="A100" s="375"/>
      <c r="B100" s="288" t="s">
        <v>265</v>
      </c>
      <c r="C100" s="376">
        <v>1</v>
      </c>
      <c r="D100" s="292"/>
      <c r="E100" s="292"/>
      <c r="F100" s="292"/>
      <c r="G100" s="292"/>
      <c r="H100" s="292"/>
      <c r="I100" s="292">
        <v>1</v>
      </c>
      <c r="J100" s="292"/>
      <c r="K100" s="292"/>
      <c r="L100" s="293"/>
      <c r="M100" s="294">
        <f>M$35</f>
        <v>3028</v>
      </c>
      <c r="N100" s="281">
        <f>N$29</f>
        <v>2</v>
      </c>
      <c r="O100" s="293">
        <v>1.9</v>
      </c>
      <c r="P100" s="295">
        <f>P$244</f>
        <v>1.58</v>
      </c>
      <c r="Q100" s="293"/>
      <c r="R100" s="296">
        <f>$R$28</f>
        <v>495</v>
      </c>
      <c r="S100" s="294">
        <f>T100/(R100/4)</f>
        <v>146.90909090909091</v>
      </c>
      <c r="T100" s="291">
        <f>ROUND(M100*N100*O100*P100,0)</f>
        <v>18180</v>
      </c>
      <c r="U100" s="297">
        <f>T100*C100*3</f>
        <v>54540</v>
      </c>
      <c r="V100" s="293">
        <v>20</v>
      </c>
      <c r="W100" s="298"/>
      <c r="X100" s="298">
        <f>U100*V100%</f>
        <v>10908</v>
      </c>
      <c r="Y100" s="293"/>
      <c r="Z100" s="293"/>
      <c r="AA100" s="293"/>
      <c r="AB100" s="293"/>
      <c r="AC100" s="293"/>
      <c r="AD100" s="293"/>
      <c r="AE100" s="293"/>
      <c r="AF100" s="293"/>
      <c r="AG100" s="293"/>
      <c r="AH100" s="293"/>
      <c r="AI100" s="293"/>
      <c r="AJ100" s="293"/>
      <c r="AK100" s="293">
        <v>15</v>
      </c>
      <c r="AL100" s="293"/>
      <c r="AM100" s="298">
        <f>T100*AK100%*3</f>
        <v>8181</v>
      </c>
      <c r="AN100" s="293"/>
      <c r="AO100" s="293"/>
      <c r="AP100" s="293"/>
      <c r="AQ100" s="297">
        <f>X100+AA100+AD100+AG100+AJ100+AM100+AP100</f>
        <v>19089</v>
      </c>
      <c r="AR100" s="293">
        <v>20</v>
      </c>
      <c r="AS100" s="298">
        <f>AT100/C100</f>
        <v>10908</v>
      </c>
      <c r="AT100" s="294">
        <f>(U100)*AR100%</f>
        <v>10908</v>
      </c>
      <c r="AU100" s="293"/>
      <c r="AV100" s="293">
        <v>100</v>
      </c>
      <c r="AW100" s="293">
        <f>AU100*T100</f>
        <v>0</v>
      </c>
      <c r="AX100" s="293"/>
      <c r="AY100" s="298"/>
      <c r="AZ100" s="294"/>
      <c r="BA100" s="297">
        <f>AT100+AW100+AZ100</f>
        <v>10908</v>
      </c>
      <c r="BB100" s="297">
        <f t="shared" ref="BB100:BB107" si="79">BC100/C100</f>
        <v>84537</v>
      </c>
      <c r="BC100" s="297">
        <f>BA100+AQ100+U100</f>
        <v>84537</v>
      </c>
      <c r="BD100" s="299">
        <f t="shared" si="38"/>
        <v>28179</v>
      </c>
      <c r="BE100" s="299"/>
      <c r="BF100" s="377">
        <f>IF(D100=1,BC100,0)</f>
        <v>0</v>
      </c>
      <c r="BG100" s="377">
        <f>IF(E100=1,BC100,0)</f>
        <v>0</v>
      </c>
      <c r="BH100" s="377">
        <f>IF(F100=1,BC100,0)</f>
        <v>0</v>
      </c>
      <c r="BI100" s="377">
        <f>IF(G100=1,BC100,0)</f>
        <v>0</v>
      </c>
      <c r="BJ100" s="300">
        <f>IF(H100=1,BC100,0)</f>
        <v>0</v>
      </c>
      <c r="BK100" s="300">
        <f>IF(I100=1,BC100,0)</f>
        <v>84537</v>
      </c>
      <c r="BL100" s="300">
        <f>IF(J100=1,BC100,0)</f>
        <v>0</v>
      </c>
      <c r="BM100" s="377">
        <f>IF(K100=1,BC100,0)</f>
        <v>0</v>
      </c>
    </row>
    <row r="101" spans="1:68" ht="42.75" x14ac:dyDescent="0.25">
      <c r="A101" s="344"/>
      <c r="B101" s="288" t="s">
        <v>266</v>
      </c>
      <c r="C101" s="393">
        <v>2.25</v>
      </c>
      <c r="D101" s="279"/>
      <c r="E101" s="279"/>
      <c r="F101" s="279"/>
      <c r="G101" s="279"/>
      <c r="H101" s="279"/>
      <c r="I101" s="279">
        <v>1</v>
      </c>
      <c r="J101" s="279"/>
      <c r="K101" s="279"/>
      <c r="L101" s="277">
        <v>4</v>
      </c>
      <c r="M101" s="280">
        <f>M$35</f>
        <v>3028</v>
      </c>
      <c r="N101" s="281">
        <f>N$29</f>
        <v>2</v>
      </c>
      <c r="O101" s="277">
        <v>1.43</v>
      </c>
      <c r="P101" s="282">
        <v>1.58</v>
      </c>
      <c r="Q101" s="277"/>
      <c r="R101" s="283">
        <f>$R$28</f>
        <v>495</v>
      </c>
      <c r="S101" s="280">
        <f>T101/(R101/4)</f>
        <v>110.56969696969696</v>
      </c>
      <c r="T101" s="425">
        <f>ROUND(M101*N101*O101*P101,0)</f>
        <v>13683</v>
      </c>
      <c r="U101" s="284">
        <f>T101*C101*3</f>
        <v>92360.25</v>
      </c>
      <c r="V101" s="277">
        <v>16</v>
      </c>
      <c r="W101" s="285"/>
      <c r="X101" s="285">
        <f>U101*V101%</f>
        <v>14777.64</v>
      </c>
      <c r="Y101" s="277"/>
      <c r="Z101" s="277"/>
      <c r="AA101" s="277"/>
      <c r="AB101" s="277"/>
      <c r="AC101" s="277"/>
      <c r="AD101" s="277"/>
      <c r="AE101" s="277"/>
      <c r="AF101" s="277"/>
      <c r="AG101" s="277"/>
      <c r="AH101" s="277"/>
      <c r="AI101" s="277"/>
      <c r="AJ101" s="277"/>
      <c r="AK101" s="277">
        <v>7</v>
      </c>
      <c r="AL101" s="277"/>
      <c r="AM101" s="285">
        <f>T101*AK101%*3</f>
        <v>2873.4300000000003</v>
      </c>
      <c r="AN101" s="277"/>
      <c r="AO101" s="277"/>
      <c r="AP101" s="277"/>
      <c r="AQ101" s="284">
        <f>X101+AA101+AD101+AG101+AJ101+AM101+AP101</f>
        <v>17651.07</v>
      </c>
      <c r="AR101" s="277">
        <v>20</v>
      </c>
      <c r="AS101" s="285">
        <f>AT101/C101</f>
        <v>8209.7999999999993</v>
      </c>
      <c r="AT101" s="280">
        <f>(U101)*AR101%</f>
        <v>18472.05</v>
      </c>
      <c r="AU101" s="277"/>
      <c r="AV101" s="277">
        <v>100</v>
      </c>
      <c r="AW101" s="277">
        <f>AU101*T101</f>
        <v>0</v>
      </c>
      <c r="AX101" s="277"/>
      <c r="AY101" s="285"/>
      <c r="AZ101" s="280"/>
      <c r="BA101" s="284">
        <f>AT101+AW101+AZ101</f>
        <v>18472.05</v>
      </c>
      <c r="BB101" s="284">
        <f t="shared" si="79"/>
        <v>57103.72</v>
      </c>
      <c r="BC101" s="284">
        <f>BA101+AQ101+U101</f>
        <v>128483.37</v>
      </c>
      <c r="BD101" s="286">
        <f t="shared" si="38"/>
        <v>19034.573333333334</v>
      </c>
      <c r="BE101" s="286"/>
      <c r="BF101" s="241">
        <f>IF(D101=1,BC101,0)</f>
        <v>0</v>
      </c>
      <c r="BG101" s="241">
        <f>IF(E101=1,BC101,0)</f>
        <v>0</v>
      </c>
      <c r="BH101" s="251">
        <f>IF(F101=1,BC101,0)</f>
        <v>0</v>
      </c>
      <c r="BI101" s="241">
        <f>IF(G101=1,BC101,0)</f>
        <v>0</v>
      </c>
      <c r="BJ101" s="251">
        <f>IF(H101=1,BC101,0)</f>
        <v>0</v>
      </c>
      <c r="BK101" s="251">
        <f>IF(I101=1,BC101,0)</f>
        <v>128483.37</v>
      </c>
      <c r="BL101" s="251">
        <f>IF(J101=1,BC101,0)</f>
        <v>0</v>
      </c>
      <c r="BM101" s="241">
        <f>IF(K101=1,BC101,0)</f>
        <v>0</v>
      </c>
    </row>
    <row r="102" spans="1:68" x14ac:dyDescent="0.25">
      <c r="A102" s="344"/>
      <c r="B102" s="288" t="s">
        <v>240</v>
      </c>
      <c r="C102" s="393">
        <v>0.25</v>
      </c>
      <c r="D102" s="279"/>
      <c r="E102" s="279"/>
      <c r="F102" s="279"/>
      <c r="G102" s="279"/>
      <c r="H102" s="279"/>
      <c r="I102" s="279">
        <v>1</v>
      </c>
      <c r="J102" s="279"/>
      <c r="K102" s="279"/>
      <c r="L102" s="277">
        <v>4</v>
      </c>
      <c r="M102" s="280">
        <f>M$35</f>
        <v>3028</v>
      </c>
      <c r="N102" s="281">
        <f>N$29</f>
        <v>2</v>
      </c>
      <c r="O102" s="277">
        <v>1.43</v>
      </c>
      <c r="P102" s="282">
        <v>1.58</v>
      </c>
      <c r="Q102" s="277"/>
      <c r="R102" s="283">
        <f>$R$28</f>
        <v>495</v>
      </c>
      <c r="S102" s="280">
        <f>T102/(R102/4)</f>
        <v>110.56969696969696</v>
      </c>
      <c r="T102" s="425">
        <f>ROUND(M102*N102*O102*P102,0)</f>
        <v>13683</v>
      </c>
      <c r="U102" s="284">
        <f>T102*C102*3</f>
        <v>10262.25</v>
      </c>
      <c r="V102" s="277">
        <v>16</v>
      </c>
      <c r="W102" s="285"/>
      <c r="X102" s="285">
        <f>U102*V102%</f>
        <v>1641.96</v>
      </c>
      <c r="Y102" s="277">
        <v>4</v>
      </c>
      <c r="Z102" s="285"/>
      <c r="AA102" s="285">
        <f>U102*Y102%</f>
        <v>410.49</v>
      </c>
      <c r="AB102" s="277"/>
      <c r="AC102" s="277"/>
      <c r="AD102" s="277"/>
      <c r="AE102" s="277"/>
      <c r="AF102" s="277"/>
      <c r="AG102" s="277"/>
      <c r="AH102" s="277"/>
      <c r="AI102" s="277"/>
      <c r="AJ102" s="277"/>
      <c r="AK102" s="277"/>
      <c r="AL102" s="277"/>
      <c r="AM102" s="285">
        <f>T102*AK102%*4</f>
        <v>0</v>
      </c>
      <c r="AN102" s="277"/>
      <c r="AO102" s="277"/>
      <c r="AP102" s="277"/>
      <c r="AQ102" s="284">
        <f>X102+AA102+AD102+AG102+AJ102+AM102+AP102</f>
        <v>2052.4499999999998</v>
      </c>
      <c r="AR102" s="277">
        <v>20</v>
      </c>
      <c r="AS102" s="285">
        <f>AT102/C102</f>
        <v>8209.8000000000011</v>
      </c>
      <c r="AT102" s="280">
        <f>(U102)*AR102%</f>
        <v>2052.4500000000003</v>
      </c>
      <c r="AU102" s="277"/>
      <c r="AV102" s="277">
        <v>100</v>
      </c>
      <c r="AW102" s="277">
        <f>AU102*T102</f>
        <v>0</v>
      </c>
      <c r="AX102" s="277"/>
      <c r="AY102" s="285"/>
      <c r="AZ102" s="280"/>
      <c r="BA102" s="284">
        <f>AT102+AW102+AZ102</f>
        <v>2052.4500000000003</v>
      </c>
      <c r="BB102" s="284">
        <f t="shared" si="79"/>
        <v>57468.6</v>
      </c>
      <c r="BC102" s="284">
        <f>BA102+AQ102+U102</f>
        <v>14367.15</v>
      </c>
      <c r="BD102" s="286">
        <f>BC102/C102/3</f>
        <v>19156.2</v>
      </c>
      <c r="BE102" s="286"/>
      <c r="BF102" s="241">
        <f>IF(D102=1,BC102,0)</f>
        <v>0</v>
      </c>
      <c r="BG102" s="241">
        <f>IF(E102=1,BC102,0)</f>
        <v>0</v>
      </c>
      <c r="BH102" s="251">
        <f>IF(F102=1,BC102,0)</f>
        <v>0</v>
      </c>
      <c r="BI102" s="241">
        <f>IF(G102=1,BC102,0)</f>
        <v>0</v>
      </c>
      <c r="BJ102" s="251">
        <f>IF(H102=1,BC102,0)</f>
        <v>0</v>
      </c>
      <c r="BK102" s="251">
        <f>IF(I102=1,BC102,0)</f>
        <v>14367.15</v>
      </c>
      <c r="BL102" s="251">
        <f>IF(J102=1,BC102,0)</f>
        <v>0</v>
      </c>
      <c r="BM102" s="241">
        <f>IF(K102=1,BC102,0)</f>
        <v>0</v>
      </c>
    </row>
    <row r="103" spans="1:68" x14ac:dyDescent="0.25">
      <c r="A103" s="344"/>
      <c r="B103" s="288" t="s">
        <v>267</v>
      </c>
      <c r="C103" s="393">
        <v>1</v>
      </c>
      <c r="D103" s="279"/>
      <c r="E103" s="279"/>
      <c r="F103" s="279"/>
      <c r="G103" s="279"/>
      <c r="H103" s="279"/>
      <c r="I103" s="279">
        <v>1</v>
      </c>
      <c r="J103" s="279"/>
      <c r="K103" s="279"/>
      <c r="L103" s="277"/>
      <c r="M103" s="280">
        <f>M$35</f>
        <v>3028</v>
      </c>
      <c r="N103" s="281">
        <f>N$29</f>
        <v>2</v>
      </c>
      <c r="O103" s="277">
        <v>1.95</v>
      </c>
      <c r="P103" s="282">
        <v>1</v>
      </c>
      <c r="Q103" s="277"/>
      <c r="R103" s="283">
        <f>$R$28</f>
        <v>495</v>
      </c>
      <c r="S103" s="280">
        <f>T103/(R103/4)</f>
        <v>95.426262626262627</v>
      </c>
      <c r="T103" s="425">
        <f>ROUND(M103*N103*O103*P103,0)</f>
        <v>11809</v>
      </c>
      <c r="U103" s="284">
        <f>T103*C103*3</f>
        <v>35427</v>
      </c>
      <c r="V103" s="277"/>
      <c r="W103" s="285"/>
      <c r="X103" s="285">
        <f>U103*V103%</f>
        <v>0</v>
      </c>
      <c r="Y103" s="277"/>
      <c r="Z103" s="277"/>
      <c r="AA103" s="277"/>
      <c r="AB103" s="277"/>
      <c r="AC103" s="277"/>
      <c r="AD103" s="277"/>
      <c r="AE103" s="277"/>
      <c r="AF103" s="277"/>
      <c r="AG103" s="277"/>
      <c r="AH103" s="277"/>
      <c r="AI103" s="277"/>
      <c r="AJ103" s="277"/>
      <c r="AK103" s="277"/>
      <c r="AL103" s="285"/>
      <c r="AM103" s="285">
        <f>R103*AK103%</f>
        <v>0</v>
      </c>
      <c r="AN103" s="277">
        <v>25</v>
      </c>
      <c r="AO103" s="285"/>
      <c r="AP103" s="285">
        <f>U103*AN103%</f>
        <v>8856.75</v>
      </c>
      <c r="AQ103" s="284">
        <f>X103+AA103+AD103+AG103+AJ103+AM103+AP103</f>
        <v>8856.75</v>
      </c>
      <c r="AR103" s="277">
        <v>20</v>
      </c>
      <c r="AS103" s="285">
        <f>AT103/C103</f>
        <v>7085.4000000000005</v>
      </c>
      <c r="AT103" s="280">
        <f>(U103)*AR103%</f>
        <v>7085.4000000000005</v>
      </c>
      <c r="AU103" s="277"/>
      <c r="AV103" s="277">
        <v>100</v>
      </c>
      <c r="AW103" s="277">
        <f>AU103*T103</f>
        <v>0</v>
      </c>
      <c r="AX103" s="277"/>
      <c r="AY103" s="285"/>
      <c r="AZ103" s="280"/>
      <c r="BA103" s="284">
        <f>AT103+AW103+AZ103</f>
        <v>7085.4000000000005</v>
      </c>
      <c r="BB103" s="284">
        <f t="shared" si="79"/>
        <v>51369.15</v>
      </c>
      <c r="BC103" s="284">
        <f>BA103+AQ103+U103</f>
        <v>51369.15</v>
      </c>
      <c r="BD103" s="286">
        <f t="shared" si="38"/>
        <v>17123.05</v>
      </c>
      <c r="BE103" s="286"/>
      <c r="BF103" s="241">
        <f>IF(D103=1,BC103,0)</f>
        <v>0</v>
      </c>
      <c r="BG103" s="241">
        <f>IF(E103=1,BC103,0)</f>
        <v>0</v>
      </c>
      <c r="BH103" s="251">
        <f>IF(F103=1,BC103,0)</f>
        <v>0</v>
      </c>
      <c r="BI103" s="241">
        <f>IF(G103=1,BC103,0)</f>
        <v>0</v>
      </c>
      <c r="BJ103" s="251">
        <f>IF(H103=1,BC103,0)</f>
        <v>0</v>
      </c>
      <c r="BK103" s="251">
        <f>IF(I103=1,BC103,0)</f>
        <v>51369.15</v>
      </c>
      <c r="BL103" s="251">
        <f>IF(J103=1,BC103,0)</f>
        <v>0</v>
      </c>
      <c r="BM103" s="241">
        <f>IF(K103=1,BC103,0)</f>
        <v>0</v>
      </c>
    </row>
    <row r="104" spans="1:68" hidden="1" x14ac:dyDescent="0.25">
      <c r="A104" s="344"/>
      <c r="B104" s="288"/>
      <c r="C104" s="393"/>
      <c r="D104" s="279"/>
      <c r="E104" s="279"/>
      <c r="F104" s="279"/>
      <c r="G104" s="279"/>
      <c r="H104" s="279"/>
      <c r="I104" s="279"/>
      <c r="J104" s="279"/>
      <c r="K104" s="279"/>
      <c r="L104" s="277"/>
      <c r="M104" s="280"/>
      <c r="N104" s="281"/>
      <c r="O104" s="277"/>
      <c r="P104" s="282"/>
      <c r="Q104" s="277"/>
      <c r="R104" s="283"/>
      <c r="S104" s="280"/>
      <c r="T104" s="425"/>
      <c r="U104" s="284"/>
      <c r="V104" s="277"/>
      <c r="W104" s="285"/>
      <c r="X104" s="285"/>
      <c r="Y104" s="277"/>
      <c r="Z104" s="277"/>
      <c r="AA104" s="277"/>
      <c r="AB104" s="277"/>
      <c r="AC104" s="277"/>
      <c r="AD104" s="277"/>
      <c r="AE104" s="277"/>
      <c r="AF104" s="277"/>
      <c r="AG104" s="277"/>
      <c r="AH104" s="277"/>
      <c r="AI104" s="277"/>
      <c r="AJ104" s="277"/>
      <c r="AK104" s="277"/>
      <c r="AL104" s="285"/>
      <c r="AM104" s="285"/>
      <c r="AN104" s="277"/>
      <c r="AO104" s="277"/>
      <c r="AP104" s="285"/>
      <c r="AQ104" s="284"/>
      <c r="AR104" s="277"/>
      <c r="AS104" s="285"/>
      <c r="AT104" s="280"/>
      <c r="AU104" s="277"/>
      <c r="AV104" s="277"/>
      <c r="AW104" s="277"/>
      <c r="AX104" s="277"/>
      <c r="AY104" s="285"/>
      <c r="AZ104" s="280"/>
      <c r="BA104" s="284"/>
      <c r="BB104" s="284"/>
      <c r="BC104" s="284"/>
      <c r="BD104" s="286"/>
      <c r="BE104" s="286"/>
      <c r="BH104" s="251"/>
      <c r="BJ104" s="251"/>
      <c r="BK104" s="251"/>
      <c r="BL104" s="251"/>
    </row>
    <row r="105" spans="1:68" s="316" customFormat="1" ht="14.25" x14ac:dyDescent="0.25">
      <c r="A105" s="306"/>
      <c r="B105" s="372" t="s">
        <v>229</v>
      </c>
      <c r="C105" s="308">
        <f>SUM(C100:C103)</f>
        <v>4.5</v>
      </c>
      <c r="D105" s="309"/>
      <c r="E105" s="309"/>
      <c r="F105" s="309"/>
      <c r="G105" s="309"/>
      <c r="H105" s="309"/>
      <c r="I105" s="309"/>
      <c r="J105" s="309"/>
      <c r="K105" s="309"/>
      <c r="L105" s="309"/>
      <c r="M105" s="310"/>
      <c r="N105" s="309"/>
      <c r="O105" s="309"/>
      <c r="P105" s="309"/>
      <c r="Q105" s="309"/>
      <c r="R105" s="310"/>
      <c r="S105" s="310"/>
      <c r="T105" s="311">
        <f>U105/3</f>
        <v>64196.5</v>
      </c>
      <c r="U105" s="329">
        <f>SUM(U100:U103)</f>
        <v>192589.5</v>
      </c>
      <c r="V105" s="309"/>
      <c r="W105" s="309"/>
      <c r="X105" s="329">
        <f>SUM(X100:X103)</f>
        <v>27327.599999999999</v>
      </c>
      <c r="Y105" s="329"/>
      <c r="Z105" s="329"/>
      <c r="AA105" s="329">
        <f>SUM(AA100:AA103)</f>
        <v>410.49</v>
      </c>
      <c r="AB105" s="329"/>
      <c r="AC105" s="329"/>
      <c r="AD105" s="329">
        <f>SUM(AD100:AD103)</f>
        <v>0</v>
      </c>
      <c r="AE105" s="329"/>
      <c r="AF105" s="329"/>
      <c r="AG105" s="329">
        <f>SUM(AG100:AG103)</f>
        <v>0</v>
      </c>
      <c r="AH105" s="329"/>
      <c r="AI105" s="329"/>
      <c r="AJ105" s="329">
        <f>SUM(AJ100:AJ103)</f>
        <v>0</v>
      </c>
      <c r="AK105" s="329"/>
      <c r="AL105" s="329"/>
      <c r="AM105" s="329">
        <f>SUM(AM100:AM103)</f>
        <v>11054.43</v>
      </c>
      <c r="AN105" s="329"/>
      <c r="AO105" s="329"/>
      <c r="AP105" s="329">
        <f>SUM(AP100:AP103)</f>
        <v>8856.75</v>
      </c>
      <c r="AQ105" s="329">
        <f>SUM(AQ100:AQ103)</f>
        <v>47649.27</v>
      </c>
      <c r="AR105" s="329"/>
      <c r="AS105" s="329">
        <f>SUM(AS100:AS103)</f>
        <v>34413</v>
      </c>
      <c r="AT105" s="329">
        <f>SUM(AT100:AT103)</f>
        <v>38517.9</v>
      </c>
      <c r="AU105" s="329">
        <f>SUM(AU100:AU103)</f>
        <v>0</v>
      </c>
      <c r="AV105" s="329"/>
      <c r="AW105" s="329">
        <f>SUM(AW100:AW103)</f>
        <v>0</v>
      </c>
      <c r="AX105" s="329"/>
      <c r="AY105" s="329">
        <f>SUM(AY100:AY103)</f>
        <v>0</v>
      </c>
      <c r="AZ105" s="329">
        <f>SUM(AZ100:AZ103)</f>
        <v>0</v>
      </c>
      <c r="BA105" s="329">
        <f>SUM(BA100:BA103)</f>
        <v>38517.9</v>
      </c>
      <c r="BB105" s="329">
        <f t="shared" si="79"/>
        <v>61945.926666666666</v>
      </c>
      <c r="BC105" s="329">
        <f>SUM(BC100:BC103)</f>
        <v>278756.67</v>
      </c>
      <c r="BD105" s="286">
        <f t="shared" si="38"/>
        <v>20648.642222222221</v>
      </c>
      <c r="BE105" s="323"/>
      <c r="BP105" s="315">
        <f>BC105+BC213+BC321+BC429+BC537+BC642</f>
        <v>1116922.3425</v>
      </c>
    </row>
    <row r="106" spans="1:68" s="316" customFormat="1" ht="14.25" hidden="1" x14ac:dyDescent="0.25">
      <c r="A106" s="306"/>
      <c r="B106" s="372"/>
      <c r="C106" s="329"/>
      <c r="D106" s="309"/>
      <c r="E106" s="309"/>
      <c r="F106" s="309"/>
      <c r="G106" s="309"/>
      <c r="H106" s="309"/>
      <c r="I106" s="309"/>
      <c r="J106" s="309"/>
      <c r="K106" s="309"/>
      <c r="L106" s="309"/>
      <c r="M106" s="310"/>
      <c r="N106" s="309"/>
      <c r="O106" s="309"/>
      <c r="P106" s="309"/>
      <c r="Q106" s="309"/>
      <c r="R106" s="310"/>
      <c r="S106" s="310"/>
      <c r="T106" s="311"/>
      <c r="U106" s="329"/>
      <c r="V106" s="309"/>
      <c r="W106" s="30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286"/>
      <c r="BE106" s="323"/>
      <c r="BP106" s="315"/>
    </row>
    <row r="107" spans="1:68" s="316" customFormat="1" ht="14.25" hidden="1" x14ac:dyDescent="0.25">
      <c r="A107" s="306"/>
      <c r="B107" s="307" t="s">
        <v>229</v>
      </c>
      <c r="C107" s="329">
        <f>+C97+C105</f>
        <v>18.5</v>
      </c>
      <c r="D107" s="309"/>
      <c r="E107" s="309"/>
      <c r="F107" s="309"/>
      <c r="G107" s="309"/>
      <c r="H107" s="309"/>
      <c r="I107" s="309"/>
      <c r="J107" s="309"/>
      <c r="K107" s="309"/>
      <c r="L107" s="309"/>
      <c r="M107" s="310"/>
      <c r="N107" s="309"/>
      <c r="O107" s="309"/>
      <c r="P107" s="309"/>
      <c r="Q107" s="309"/>
      <c r="R107" s="310"/>
      <c r="S107" s="310"/>
      <c r="T107" s="311">
        <f>U107/3</f>
        <v>248578.5</v>
      </c>
      <c r="U107" s="329">
        <f>+U97+U105</f>
        <v>745735.5</v>
      </c>
      <c r="V107" s="309"/>
      <c r="W107" s="309"/>
      <c r="X107" s="329">
        <f>+X97+X105</f>
        <v>114114.6</v>
      </c>
      <c r="Y107" s="329"/>
      <c r="Z107" s="329"/>
      <c r="AA107" s="329">
        <f>+AA97+AA105</f>
        <v>410.49</v>
      </c>
      <c r="AB107" s="329"/>
      <c r="AC107" s="329"/>
      <c r="AD107" s="329">
        <f>+AD97+AD105</f>
        <v>0</v>
      </c>
      <c r="AE107" s="329"/>
      <c r="AF107" s="329"/>
      <c r="AG107" s="329">
        <f>+AG97+AG105</f>
        <v>0</v>
      </c>
      <c r="AH107" s="329"/>
      <c r="AI107" s="329"/>
      <c r="AJ107" s="329">
        <f>+AJ97+AJ105</f>
        <v>0</v>
      </c>
      <c r="AK107" s="329"/>
      <c r="AL107" s="329"/>
      <c r="AM107" s="329">
        <f>+AM97+AM105</f>
        <v>70086.330000000016</v>
      </c>
      <c r="AN107" s="329"/>
      <c r="AO107" s="329"/>
      <c r="AP107" s="329">
        <f>+AP97+AP105</f>
        <v>8856.75</v>
      </c>
      <c r="AQ107" s="329">
        <f>+AQ97+AQ105</f>
        <v>193468.16999999998</v>
      </c>
      <c r="AR107" s="329"/>
      <c r="AS107" s="329">
        <f>+AS97+AS105</f>
        <v>79594.8</v>
      </c>
      <c r="AT107" s="329">
        <f>+AT97+AT105</f>
        <v>149147.1</v>
      </c>
      <c r="AU107" s="329">
        <f>+AU97+AU105</f>
        <v>1</v>
      </c>
      <c r="AV107" s="329"/>
      <c r="AW107" s="329">
        <f>+AW97+AW105</f>
        <v>11482</v>
      </c>
      <c r="AX107" s="329"/>
      <c r="AY107" s="329">
        <f>+AY97+AY105</f>
        <v>0</v>
      </c>
      <c r="AZ107" s="329">
        <f>+AZ97+AZ105</f>
        <v>0</v>
      </c>
      <c r="BA107" s="329">
        <f>+BA97+BA105</f>
        <v>160629.1</v>
      </c>
      <c r="BB107" s="329">
        <f t="shared" si="79"/>
        <v>59450.42</v>
      </c>
      <c r="BC107" s="329">
        <f>+BC97+BC105</f>
        <v>1099832.77</v>
      </c>
      <c r="BD107" s="286">
        <f t="shared" si="38"/>
        <v>19816.806666666667</v>
      </c>
      <c r="BE107" s="323"/>
      <c r="BF107" s="315">
        <f t="shared" ref="BF107:BM107" si="80">SUM(BF90:BF105)</f>
        <v>0</v>
      </c>
      <c r="BG107" s="315">
        <f t="shared" si="80"/>
        <v>0</v>
      </c>
      <c r="BH107" s="315">
        <f t="shared" si="80"/>
        <v>0</v>
      </c>
      <c r="BI107" s="315">
        <f t="shared" si="80"/>
        <v>0</v>
      </c>
      <c r="BJ107" s="315">
        <f t="shared" si="80"/>
        <v>258412.97999999998</v>
      </c>
      <c r="BK107" s="315">
        <f t="shared" si="80"/>
        <v>569940.19000000006</v>
      </c>
      <c r="BL107" s="315">
        <f t="shared" si="80"/>
        <v>271479.60000000003</v>
      </c>
      <c r="BM107" s="315">
        <f t="shared" si="80"/>
        <v>0</v>
      </c>
    </row>
    <row r="108" spans="1:68" s="287" customFormat="1" ht="14.25" hidden="1" x14ac:dyDescent="0.25">
      <c r="A108" s="276"/>
      <c r="B108" s="277"/>
      <c r="C108" s="394"/>
      <c r="D108" s="395"/>
      <c r="E108" s="395"/>
      <c r="F108" s="395"/>
      <c r="G108" s="395"/>
      <c r="H108" s="395"/>
      <c r="I108" s="395"/>
      <c r="J108" s="395"/>
      <c r="K108" s="395"/>
      <c r="L108" s="395"/>
      <c r="M108" s="396"/>
      <c r="N108" s="395"/>
      <c r="O108" s="395"/>
      <c r="P108" s="395"/>
      <c r="Q108" s="395"/>
      <c r="R108" s="396"/>
      <c r="S108" s="396"/>
      <c r="T108" s="394"/>
      <c r="U108" s="394"/>
      <c r="V108" s="395"/>
      <c r="W108" s="395"/>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286"/>
      <c r="BE108" s="323"/>
      <c r="BF108" s="323"/>
      <c r="BG108" s="323"/>
      <c r="BH108" s="323"/>
      <c r="BI108" s="323"/>
      <c r="BJ108" s="323"/>
      <c r="BK108" s="323"/>
      <c r="BL108" s="323"/>
      <c r="BM108" s="323"/>
    </row>
    <row r="109" spans="1:68" s="275" customFormat="1" ht="26.45" hidden="1" customHeight="1" x14ac:dyDescent="0.25">
      <c r="A109" s="270"/>
      <c r="B109" s="271"/>
      <c r="C109" s="272"/>
      <c r="D109" s="272"/>
      <c r="E109" s="272"/>
      <c r="F109" s="272"/>
      <c r="G109" s="272"/>
      <c r="H109" s="272"/>
      <c r="I109" s="272"/>
      <c r="J109" s="272"/>
      <c r="K109" s="272"/>
      <c r="L109" s="272"/>
      <c r="M109" s="272"/>
      <c r="N109" s="272"/>
      <c r="O109" s="272"/>
      <c r="P109" s="272"/>
      <c r="Q109" s="272"/>
      <c r="R109" s="272"/>
      <c r="S109" s="272"/>
      <c r="T109" s="311">
        <f t="shared" ref="T109:T116" si="81">U109/3</f>
        <v>0</v>
      </c>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3"/>
      <c r="BD109" s="286" t="e">
        <f t="shared" si="38"/>
        <v>#DIV/0!</v>
      </c>
      <c r="BE109" s="274"/>
    </row>
    <row r="110" spans="1:68" ht="28.5" hidden="1" customHeight="1" x14ac:dyDescent="0.25">
      <c r="A110" s="344"/>
      <c r="B110" s="277"/>
      <c r="C110" s="278"/>
      <c r="D110" s="279"/>
      <c r="E110" s="279"/>
      <c r="F110" s="279"/>
      <c r="G110" s="279"/>
      <c r="H110" s="279"/>
      <c r="I110" s="279"/>
      <c r="J110" s="279"/>
      <c r="K110" s="397"/>
      <c r="L110" s="277"/>
      <c r="M110" s="280"/>
      <c r="N110" s="281"/>
      <c r="O110" s="277"/>
      <c r="P110" s="282"/>
      <c r="Q110" s="277"/>
      <c r="R110" s="283"/>
      <c r="S110" s="280"/>
      <c r="T110" s="311">
        <f t="shared" si="81"/>
        <v>0</v>
      </c>
      <c r="U110" s="284"/>
      <c r="V110" s="277"/>
      <c r="W110" s="285"/>
      <c r="X110" s="285"/>
      <c r="Y110" s="277"/>
      <c r="Z110" s="277"/>
      <c r="AA110" s="277"/>
      <c r="AB110" s="277"/>
      <c r="AC110" s="277"/>
      <c r="AD110" s="277"/>
      <c r="AE110" s="277"/>
      <c r="AF110" s="277"/>
      <c r="AG110" s="277"/>
      <c r="AH110" s="277"/>
      <c r="AI110" s="277"/>
      <c r="AJ110" s="277"/>
      <c r="AK110" s="277"/>
      <c r="AL110" s="277"/>
      <c r="AM110" s="277"/>
      <c r="AN110" s="277"/>
      <c r="AO110" s="277"/>
      <c r="AP110" s="277"/>
      <c r="AQ110" s="284"/>
      <c r="AR110" s="277"/>
      <c r="AS110" s="285"/>
      <c r="AT110" s="280"/>
      <c r="AU110" s="277"/>
      <c r="AV110" s="277"/>
      <c r="AW110" s="277"/>
      <c r="AX110" s="277"/>
      <c r="AY110" s="285"/>
      <c r="AZ110" s="280"/>
      <c r="BA110" s="284"/>
      <c r="BB110" s="284"/>
      <c r="BC110" s="284"/>
      <c r="BD110" s="286" t="e">
        <f t="shared" si="38"/>
        <v>#DIV/0!</v>
      </c>
      <c r="BE110" s="286"/>
      <c r="BJ110" s="251"/>
      <c r="BK110" s="251"/>
      <c r="BL110" s="251"/>
    </row>
    <row r="111" spans="1:68" ht="28.5" hidden="1" customHeight="1" x14ac:dyDescent="0.25">
      <c r="A111" s="344"/>
      <c r="B111" s="288"/>
      <c r="C111" s="278"/>
      <c r="D111" s="279"/>
      <c r="E111" s="279"/>
      <c r="F111" s="279"/>
      <c r="G111" s="279"/>
      <c r="H111" s="279"/>
      <c r="I111" s="279"/>
      <c r="J111" s="279"/>
      <c r="K111" s="397"/>
      <c r="L111" s="277"/>
      <c r="M111" s="280"/>
      <c r="N111" s="281"/>
      <c r="O111" s="277"/>
      <c r="P111" s="282"/>
      <c r="Q111" s="277"/>
      <c r="R111" s="283"/>
      <c r="S111" s="280"/>
      <c r="T111" s="311">
        <f t="shared" si="81"/>
        <v>0</v>
      </c>
      <c r="U111" s="284"/>
      <c r="V111" s="277"/>
      <c r="W111" s="285"/>
      <c r="X111" s="285"/>
      <c r="Y111" s="277"/>
      <c r="Z111" s="277"/>
      <c r="AA111" s="277"/>
      <c r="AB111" s="277"/>
      <c r="AC111" s="277"/>
      <c r="AD111" s="277"/>
      <c r="AE111" s="277"/>
      <c r="AF111" s="277"/>
      <c r="AG111" s="277"/>
      <c r="AH111" s="277"/>
      <c r="AI111" s="277"/>
      <c r="AJ111" s="277"/>
      <c r="AK111" s="277"/>
      <c r="AL111" s="277"/>
      <c r="AM111" s="277"/>
      <c r="AN111" s="277"/>
      <c r="AO111" s="277"/>
      <c r="AP111" s="277"/>
      <c r="AQ111" s="284"/>
      <c r="AR111" s="277"/>
      <c r="AS111" s="285"/>
      <c r="AT111" s="280"/>
      <c r="AU111" s="277"/>
      <c r="AV111" s="277"/>
      <c r="AW111" s="277"/>
      <c r="AX111" s="277"/>
      <c r="AY111" s="285"/>
      <c r="AZ111" s="280"/>
      <c r="BA111" s="284"/>
      <c r="BB111" s="284"/>
      <c r="BC111" s="284"/>
      <c r="BD111" s="286" t="e">
        <f t="shared" si="38"/>
        <v>#DIV/0!</v>
      </c>
      <c r="BE111" s="286"/>
      <c r="BJ111" s="251"/>
      <c r="BK111" s="251"/>
      <c r="BL111" s="251"/>
    </row>
    <row r="112" spans="1:68" s="287" customFormat="1" ht="15" hidden="1" customHeight="1" x14ac:dyDescent="0.25">
      <c r="A112" s="276"/>
      <c r="B112" s="288"/>
      <c r="C112" s="278"/>
      <c r="D112" s="279"/>
      <c r="E112" s="279"/>
      <c r="F112" s="328"/>
      <c r="G112" s="328"/>
      <c r="H112" s="279"/>
      <c r="I112" s="328"/>
      <c r="J112" s="328"/>
      <c r="K112" s="279"/>
      <c r="L112" s="277"/>
      <c r="M112" s="280"/>
      <c r="N112" s="281"/>
      <c r="O112" s="277"/>
      <c r="P112" s="282"/>
      <c r="Q112" s="277"/>
      <c r="R112" s="283"/>
      <c r="S112" s="280"/>
      <c r="T112" s="311">
        <f t="shared" si="81"/>
        <v>0</v>
      </c>
      <c r="U112" s="284"/>
      <c r="V112" s="277"/>
      <c r="W112" s="285"/>
      <c r="X112" s="285"/>
      <c r="Y112" s="277"/>
      <c r="Z112" s="285"/>
      <c r="AA112" s="285"/>
      <c r="AB112" s="277"/>
      <c r="AC112" s="277"/>
      <c r="AD112" s="277"/>
      <c r="AE112" s="277"/>
      <c r="AF112" s="277"/>
      <c r="AG112" s="277"/>
      <c r="AH112" s="277"/>
      <c r="AI112" s="277"/>
      <c r="AJ112" s="277"/>
      <c r="AK112" s="277"/>
      <c r="AL112" s="277"/>
      <c r="AM112" s="277"/>
      <c r="AN112" s="277"/>
      <c r="AO112" s="277"/>
      <c r="AP112" s="277"/>
      <c r="AQ112" s="284"/>
      <c r="AR112" s="277"/>
      <c r="AS112" s="277"/>
      <c r="AT112" s="283"/>
      <c r="AU112" s="277"/>
      <c r="AV112" s="277"/>
      <c r="AW112" s="277"/>
      <c r="AX112" s="277"/>
      <c r="AY112" s="277"/>
      <c r="AZ112" s="283"/>
      <c r="BA112" s="284"/>
      <c r="BB112" s="284"/>
      <c r="BC112" s="284"/>
      <c r="BD112" s="286" t="e">
        <f t="shared" si="38"/>
        <v>#DIV/0!</v>
      </c>
      <c r="BE112" s="286"/>
      <c r="BF112" s="241"/>
      <c r="BG112" s="241"/>
      <c r="BH112" s="241"/>
      <c r="BI112" s="241"/>
      <c r="BJ112" s="251"/>
      <c r="BK112" s="241"/>
      <c r="BL112" s="241"/>
      <c r="BM112" s="241"/>
    </row>
    <row r="113" spans="1:69" ht="21" hidden="1" customHeight="1" x14ac:dyDescent="0.25">
      <c r="A113" s="344"/>
      <c r="B113" s="288"/>
      <c r="C113" s="278"/>
      <c r="D113" s="279"/>
      <c r="E113" s="279"/>
      <c r="F113" s="328"/>
      <c r="G113" s="328"/>
      <c r="H113" s="279"/>
      <c r="I113" s="328"/>
      <c r="J113" s="328"/>
      <c r="K113" s="279"/>
      <c r="L113" s="277"/>
      <c r="M113" s="280"/>
      <c r="N113" s="281"/>
      <c r="O113" s="277"/>
      <c r="P113" s="282"/>
      <c r="Q113" s="277"/>
      <c r="R113" s="283"/>
      <c r="S113" s="280"/>
      <c r="T113" s="311">
        <f t="shared" si="81"/>
        <v>0</v>
      </c>
      <c r="U113" s="284"/>
      <c r="V113" s="277"/>
      <c r="W113" s="285"/>
      <c r="X113" s="285"/>
      <c r="Y113" s="277"/>
      <c r="Z113" s="277"/>
      <c r="AA113" s="277"/>
      <c r="AB113" s="345"/>
      <c r="AC113" s="345"/>
      <c r="AD113" s="345"/>
      <c r="AE113" s="345"/>
      <c r="AF113" s="345"/>
      <c r="AG113" s="345"/>
      <c r="AH113" s="345"/>
      <c r="AI113" s="345"/>
      <c r="AJ113" s="345"/>
      <c r="AK113" s="277"/>
      <c r="AL113" s="285"/>
      <c r="AM113" s="285"/>
      <c r="AN113" s="277"/>
      <c r="AO113" s="285"/>
      <c r="AP113" s="285"/>
      <c r="AQ113" s="284"/>
      <c r="AR113" s="277"/>
      <c r="AS113" s="277"/>
      <c r="AT113" s="283"/>
      <c r="AU113" s="277"/>
      <c r="AV113" s="277"/>
      <c r="AW113" s="277"/>
      <c r="AX113" s="277"/>
      <c r="AY113" s="277"/>
      <c r="AZ113" s="304"/>
      <c r="BA113" s="284"/>
      <c r="BB113" s="284"/>
      <c r="BC113" s="284"/>
      <c r="BD113" s="286" t="e">
        <f t="shared" si="38"/>
        <v>#DIV/0!</v>
      </c>
      <c r="BE113" s="286"/>
      <c r="BF113" s="251"/>
      <c r="BG113" s="251"/>
      <c r="BH113" s="251"/>
      <c r="BI113" s="251"/>
      <c r="BJ113" s="251"/>
      <c r="BK113" s="251"/>
      <c r="BL113" s="251"/>
      <c r="BM113" s="251"/>
    </row>
    <row r="114" spans="1:69" s="316" customFormat="1" ht="18.75" hidden="1" customHeight="1" x14ac:dyDescent="0.25">
      <c r="A114" s="306"/>
      <c r="B114" s="307"/>
      <c r="C114" s="329"/>
      <c r="D114" s="309"/>
      <c r="E114" s="309"/>
      <c r="F114" s="309"/>
      <c r="G114" s="309"/>
      <c r="H114" s="309"/>
      <c r="I114" s="309"/>
      <c r="J114" s="309"/>
      <c r="K114" s="309"/>
      <c r="L114" s="309"/>
      <c r="M114" s="310"/>
      <c r="N114" s="309"/>
      <c r="O114" s="309"/>
      <c r="P114" s="309"/>
      <c r="Q114" s="309"/>
      <c r="R114" s="310"/>
      <c r="S114" s="310"/>
      <c r="T114" s="311">
        <f t="shared" si="81"/>
        <v>0</v>
      </c>
      <c r="U114" s="329"/>
      <c r="V114" s="309"/>
      <c r="W114" s="30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286" t="e">
        <f t="shared" si="38"/>
        <v>#DIV/0!</v>
      </c>
      <c r="BE114" s="323"/>
      <c r="BP114" s="315">
        <f>BC114+BC222+BC330+BC438+BC546+BC651</f>
        <v>813704.90249999997</v>
      </c>
    </row>
    <row r="115" spans="1:69" s="316" customFormat="1" ht="18.75" hidden="1" customHeight="1" x14ac:dyDescent="0.25">
      <c r="A115" s="306"/>
      <c r="B115" s="307"/>
      <c r="C115" s="329"/>
      <c r="D115" s="309"/>
      <c r="E115" s="309"/>
      <c r="F115" s="309"/>
      <c r="G115" s="309"/>
      <c r="H115" s="309"/>
      <c r="I115" s="309"/>
      <c r="J115" s="309"/>
      <c r="K115" s="309"/>
      <c r="L115" s="309"/>
      <c r="M115" s="310"/>
      <c r="N115" s="309"/>
      <c r="O115" s="309"/>
      <c r="P115" s="309"/>
      <c r="Q115" s="309"/>
      <c r="R115" s="310"/>
      <c r="S115" s="310"/>
      <c r="T115" s="311">
        <f t="shared" si="81"/>
        <v>0</v>
      </c>
      <c r="U115" s="329"/>
      <c r="V115" s="309"/>
      <c r="W115" s="30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286" t="e">
        <f t="shared" si="38"/>
        <v>#DIV/0!</v>
      </c>
      <c r="BE115" s="323"/>
    </row>
    <row r="116" spans="1:69" s="316" customFormat="1" ht="18.75" hidden="1" customHeight="1" x14ac:dyDescent="0.25">
      <c r="A116" s="306"/>
      <c r="B116" s="307"/>
      <c r="C116" s="329"/>
      <c r="D116" s="309"/>
      <c r="E116" s="309"/>
      <c r="F116" s="309"/>
      <c r="G116" s="309"/>
      <c r="H116" s="309"/>
      <c r="I116" s="309"/>
      <c r="J116" s="309"/>
      <c r="K116" s="309"/>
      <c r="L116" s="309"/>
      <c r="M116" s="310"/>
      <c r="N116" s="309"/>
      <c r="O116" s="309"/>
      <c r="P116" s="309"/>
      <c r="Q116" s="309"/>
      <c r="R116" s="310"/>
      <c r="S116" s="310"/>
      <c r="T116" s="311">
        <f t="shared" si="81"/>
        <v>0</v>
      </c>
      <c r="U116" s="329"/>
      <c r="V116" s="309"/>
      <c r="W116" s="30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286" t="e">
        <f t="shared" si="38"/>
        <v>#DIV/0!</v>
      </c>
      <c r="BE116" s="323"/>
    </row>
    <row r="117" spans="1:69" s="316" customFormat="1" ht="35.25" customHeight="1" thickBot="1" x14ac:dyDescent="0.3">
      <c r="A117" s="398"/>
      <c r="B117" s="399" t="s">
        <v>268</v>
      </c>
      <c r="C117" s="400">
        <f>C45+C86+C107</f>
        <v>88.5</v>
      </c>
      <c r="D117" s="401"/>
      <c r="E117" s="401"/>
      <c r="F117" s="401"/>
      <c r="G117" s="401"/>
      <c r="H117" s="401"/>
      <c r="I117" s="401"/>
      <c r="J117" s="401"/>
      <c r="K117" s="401"/>
      <c r="L117" s="401"/>
      <c r="M117" s="402"/>
      <c r="N117" s="401"/>
      <c r="O117" s="401"/>
      <c r="P117" s="401"/>
      <c r="Q117" s="401"/>
      <c r="R117" s="402"/>
      <c r="S117" s="402"/>
      <c r="T117" s="311">
        <f>U117/3</f>
        <v>1395685.5</v>
      </c>
      <c r="U117" s="403">
        <f>U45+U86+U107</f>
        <v>4187056.5</v>
      </c>
      <c r="V117" s="403"/>
      <c r="W117" s="403"/>
      <c r="X117" s="403">
        <f>X45+X86+X107</f>
        <v>722102.4</v>
      </c>
      <c r="Y117" s="403"/>
      <c r="Z117" s="403">
        <f>Z45+Z86+Z107</f>
        <v>0</v>
      </c>
      <c r="AA117" s="403">
        <f>AA45+AA86+AA107</f>
        <v>57201.44999999999</v>
      </c>
      <c r="AB117" s="403"/>
      <c r="AC117" s="403"/>
      <c r="AD117" s="403">
        <f>AD45+AD86+AD107</f>
        <v>34613.440297312743</v>
      </c>
      <c r="AE117" s="403"/>
      <c r="AF117" s="403">
        <f>AF45+AF86+AF107</f>
        <v>0</v>
      </c>
      <c r="AG117" s="403">
        <f>AG45+AG86+AG107</f>
        <v>121147.04104059462</v>
      </c>
      <c r="AH117" s="403"/>
      <c r="AI117" s="403">
        <f>AI45+AI86+AI107</f>
        <v>0</v>
      </c>
      <c r="AJ117" s="403">
        <f>AJ45+AJ86+AJ107</f>
        <v>106055.8677672956</v>
      </c>
      <c r="AK117" s="403"/>
      <c r="AL117" s="403">
        <f>AL45+AL86+AL107</f>
        <v>0</v>
      </c>
      <c r="AM117" s="403">
        <f>AM45+AM86+AM107</f>
        <v>316692.84000000003</v>
      </c>
      <c r="AN117" s="403"/>
      <c r="AO117" s="403">
        <f>AO45+AO86+AO107</f>
        <v>0</v>
      </c>
      <c r="AP117" s="403">
        <f>AP45+AP86+AP107</f>
        <v>25480.5</v>
      </c>
      <c r="AQ117" s="403">
        <f>AQ45+AQ86+AQ107</f>
        <v>1383293.539105203</v>
      </c>
      <c r="AR117" s="403"/>
      <c r="AS117" s="403">
        <f>AS45+AS86+AS107</f>
        <v>483416.60000000009</v>
      </c>
      <c r="AT117" s="403">
        <f>AT45+AT86+AT107</f>
        <v>854634.50000000012</v>
      </c>
      <c r="AU117" s="403">
        <f>AU45+AU86+AU107</f>
        <v>9</v>
      </c>
      <c r="AV117" s="403"/>
      <c r="AW117" s="403">
        <f>AW45+AW86+AW107</f>
        <v>118327</v>
      </c>
      <c r="AX117" s="403"/>
      <c r="AY117" s="403">
        <f>AY45+AY86+AY107</f>
        <v>0</v>
      </c>
      <c r="AZ117" s="403">
        <f>AZ45+AZ86+AZ107</f>
        <v>0</v>
      </c>
      <c r="BA117" s="403">
        <f>BA45+BA86+BA107</f>
        <v>972961.5</v>
      </c>
      <c r="BB117" s="403">
        <f>BB45+BB86+BB107</f>
        <v>1343218.6249180548</v>
      </c>
      <c r="BC117" s="403">
        <f>BC45+BC86+BC107</f>
        <v>6543311.539105203</v>
      </c>
      <c r="BD117" s="286">
        <f t="shared" si="38"/>
        <v>24645.241201902838</v>
      </c>
      <c r="BE117" s="323"/>
      <c r="BP117" s="315">
        <f>BC117+BC225+BC333+BC441+BC549+BC654</f>
        <v>27873796.322037056</v>
      </c>
      <c r="BQ117" s="315">
        <f>BP114+BP105+BP97+BP85+BP78+BP67+BP56+BP45</f>
        <v>27873796.32203706</v>
      </c>
    </row>
    <row r="118" spans="1:69" x14ac:dyDescent="0.25">
      <c r="D118" s="241"/>
      <c r="E118" s="241"/>
      <c r="F118" s="241"/>
      <c r="G118" s="241"/>
      <c r="H118" s="241"/>
      <c r="I118" s="241"/>
      <c r="J118" s="241"/>
      <c r="K118" s="241"/>
      <c r="AQ118" s="251"/>
      <c r="BA118" s="251"/>
    </row>
    <row r="119" spans="1:69" hidden="1" x14ac:dyDescent="0.25">
      <c r="D119" s="241"/>
      <c r="E119" s="241"/>
      <c r="F119" s="241"/>
      <c r="G119" s="241"/>
      <c r="H119" s="241"/>
      <c r="I119" s="241"/>
      <c r="J119" s="241"/>
      <c r="K119" s="241"/>
    </row>
    <row r="120" spans="1:69" ht="16.5" x14ac:dyDescent="0.25">
      <c r="D120" s="241"/>
      <c r="E120" s="241"/>
      <c r="F120" s="241"/>
      <c r="G120" s="241"/>
      <c r="H120" s="241"/>
      <c r="I120" s="241"/>
      <c r="J120" s="241"/>
      <c r="K120" s="241"/>
      <c r="S120" s="120"/>
      <c r="T120" s="404"/>
      <c r="U120" s="120" t="s">
        <v>269</v>
      </c>
      <c r="V120" s="405"/>
      <c r="W120" s="405"/>
      <c r="AT120" s="406">
        <f>C117</f>
        <v>88.5</v>
      </c>
      <c r="AZ120" s="407"/>
      <c r="BA120" s="251">
        <f>BC120/AT120/3</f>
        <v>24645.241201902838</v>
      </c>
      <c r="BC120" s="251">
        <f>BC117</f>
        <v>6543311.539105203</v>
      </c>
      <c r="BD120" s="251"/>
      <c r="BE120" s="251"/>
      <c r="BF120" s="241">
        <f>BC120/12</f>
        <v>545275.96159210021</v>
      </c>
      <c r="BH120" s="252">
        <f>BA117/2</f>
        <v>486480.75</v>
      </c>
    </row>
    <row r="121" spans="1:69" ht="17.25" x14ac:dyDescent="0.3">
      <c r="D121" s="241"/>
      <c r="E121" s="241"/>
      <c r="F121" s="241"/>
      <c r="G121" s="241"/>
      <c r="H121" s="241"/>
      <c r="I121" s="241"/>
      <c r="J121" s="241"/>
      <c r="K121" s="241"/>
      <c r="S121" s="148"/>
      <c r="T121" s="408"/>
      <c r="U121" s="148"/>
      <c r="V121" s="409" t="s">
        <v>270</v>
      </c>
      <c r="W121" s="410"/>
      <c r="AT121" s="406"/>
    </row>
    <row r="122" spans="1:69" ht="17.25" x14ac:dyDescent="0.3">
      <c r="D122" s="241"/>
      <c r="E122" s="241"/>
      <c r="F122" s="241"/>
      <c r="G122" s="241"/>
      <c r="H122" s="241"/>
      <c r="I122" s="241"/>
      <c r="J122" s="241"/>
      <c r="K122" s="241"/>
      <c r="S122" s="411"/>
      <c r="T122" s="412"/>
      <c r="U122" s="411" t="s">
        <v>271</v>
      </c>
      <c r="V122" s="413"/>
      <c r="W122" s="414"/>
      <c r="X122" s="415"/>
      <c r="Y122" s="415"/>
      <c r="Z122" s="415"/>
      <c r="AA122" s="415"/>
      <c r="AB122" s="415"/>
      <c r="AC122" s="415"/>
      <c r="AE122" s="415"/>
      <c r="AT122" s="406">
        <f>C45-C43+C56+C90+C91+C100</f>
        <v>28</v>
      </c>
      <c r="AZ122" s="407"/>
      <c r="BA122" s="251">
        <f>BC122/AT122/3</f>
        <v>33300.778095238093</v>
      </c>
      <c r="BC122" s="251">
        <f>BC45-BC43-BC44+BC56+BC90+BC91+BC100</f>
        <v>2797265.36</v>
      </c>
      <c r="BD122" s="251"/>
      <c r="BE122" s="251"/>
      <c r="BF122" s="241">
        <f>BC122/12</f>
        <v>233105.44666666666</v>
      </c>
    </row>
    <row r="123" spans="1:69" ht="16.5" x14ac:dyDescent="0.25">
      <c r="D123" s="241"/>
      <c r="E123" s="241"/>
      <c r="F123" s="241"/>
      <c r="G123" s="241"/>
      <c r="H123" s="241"/>
      <c r="I123" s="241"/>
      <c r="J123" s="241"/>
      <c r="K123" s="241"/>
      <c r="S123" s="148"/>
      <c r="T123" s="408"/>
      <c r="U123" s="148"/>
      <c r="V123" s="410"/>
      <c r="W123" s="410"/>
      <c r="AT123" s="406"/>
    </row>
    <row r="124" spans="1:69" ht="17.25" x14ac:dyDescent="0.3">
      <c r="D124" s="241"/>
      <c r="E124" s="241"/>
      <c r="F124" s="241"/>
      <c r="G124" s="241"/>
      <c r="H124" s="241"/>
      <c r="I124" s="241"/>
      <c r="J124" s="241"/>
      <c r="K124" s="241"/>
      <c r="S124" s="416"/>
      <c r="T124" s="412"/>
      <c r="U124" s="416" t="s">
        <v>272</v>
      </c>
      <c r="V124" s="409"/>
      <c r="W124" s="409"/>
      <c r="AT124" s="406">
        <f>C43+C67+C78+C85+C92+C93+C94+C95+C101+C102+C103</f>
        <v>60.5</v>
      </c>
      <c r="AZ124" s="407"/>
      <c r="BA124" s="251">
        <f>BC124/AT124/3</f>
        <v>20639.372887631973</v>
      </c>
      <c r="BC124" s="251">
        <f>BC43+BC67+BC78+BC85+BC92+BC93+BC94+BC95+BC101+BC102+BC103</f>
        <v>3746046.1791052031</v>
      </c>
      <c r="BD124" s="251"/>
      <c r="BE124" s="251"/>
      <c r="BF124" s="241">
        <f>BC124/12</f>
        <v>312170.51492543361</v>
      </c>
    </row>
    <row r="125" spans="1:69" x14ac:dyDescent="0.25">
      <c r="D125" s="241"/>
      <c r="E125" s="241"/>
      <c r="F125" s="241"/>
      <c r="G125" s="241"/>
      <c r="H125" s="241"/>
      <c r="I125" s="241"/>
      <c r="J125" s="241"/>
      <c r="K125" s="241"/>
      <c r="AT125" s="406">
        <f>SUM(AT122:AT124)</f>
        <v>88.5</v>
      </c>
      <c r="BC125" s="417">
        <f>SUM(BC122:BC124)</f>
        <v>6543311.539105203</v>
      </c>
    </row>
    <row r="126" spans="1:69" hidden="1" x14ac:dyDescent="0.25">
      <c r="D126" s="241"/>
      <c r="E126" s="241"/>
      <c r="F126" s="241"/>
      <c r="G126" s="241"/>
      <c r="H126" s="241"/>
      <c r="I126" s="241"/>
      <c r="J126" s="241"/>
      <c r="K126" s="241"/>
      <c r="AT126" s="418">
        <f>SUM(AT122:AT124)</f>
        <v>88.5</v>
      </c>
      <c r="AU126" s="418"/>
      <c r="AV126" s="418"/>
      <c r="AW126" s="418"/>
      <c r="AX126" s="419"/>
      <c r="AY126" s="419"/>
      <c r="AZ126" s="418"/>
      <c r="BA126" s="418"/>
      <c r="BB126" s="418">
        <f>SUM(BB122:BB124)</f>
        <v>0</v>
      </c>
      <c r="BC126" s="418">
        <f>SUM(BC122:BC124)</f>
        <v>6543311.539105203</v>
      </c>
    </row>
    <row r="127" spans="1:69" ht="15.75" hidden="1" x14ac:dyDescent="0.25">
      <c r="B127" s="420"/>
      <c r="C127" s="420"/>
      <c r="D127" s="241"/>
      <c r="E127" s="241"/>
      <c r="F127" s="241"/>
      <c r="G127" s="241"/>
      <c r="H127" s="241"/>
      <c r="I127" s="241"/>
      <c r="J127" s="241"/>
      <c r="K127" s="241"/>
      <c r="X127" s="420"/>
      <c r="Y127" s="416"/>
      <c r="Z127" s="416"/>
    </row>
    <row r="128" spans="1:69" ht="15.75" hidden="1" x14ac:dyDescent="0.25">
      <c r="B128" s="421"/>
      <c r="C128" s="422"/>
      <c r="D128" s="241"/>
      <c r="E128" s="241"/>
      <c r="F128" s="241"/>
      <c r="G128" s="241"/>
      <c r="H128" s="241"/>
      <c r="I128" s="241"/>
      <c r="J128" s="241"/>
      <c r="K128" s="241"/>
      <c r="X128" s="420"/>
      <c r="Y128" s="416"/>
      <c r="Z128" s="416"/>
    </row>
    <row r="129" spans="1:65" ht="15.75" hidden="1" x14ac:dyDescent="0.25">
      <c r="B129" s="421"/>
      <c r="C129" s="422"/>
      <c r="D129" s="241"/>
      <c r="E129" s="241"/>
      <c r="F129" s="241"/>
      <c r="G129" s="241"/>
      <c r="H129" s="241"/>
      <c r="I129" s="241"/>
      <c r="J129" s="241"/>
      <c r="K129" s="241"/>
      <c r="X129" s="420"/>
      <c r="Y129" s="420"/>
      <c r="Z129" s="420"/>
    </row>
    <row r="130" spans="1:65" ht="15.75" customHeight="1" x14ac:dyDescent="0.25">
      <c r="B130" s="423" t="s">
        <v>273</v>
      </c>
      <c r="C130" s="423">
        <f>C22</f>
        <v>3028</v>
      </c>
      <c r="D130" s="241"/>
      <c r="E130" s="241"/>
      <c r="F130" s="241"/>
      <c r="G130" s="241"/>
      <c r="H130" s="241"/>
      <c r="I130" s="241"/>
      <c r="J130" s="241"/>
      <c r="K130" s="241"/>
      <c r="L130" s="423" t="s">
        <v>173</v>
      </c>
    </row>
    <row r="131" spans="1:65" ht="65.25" customHeight="1" x14ac:dyDescent="0.25">
      <c r="A131" s="2042" t="s">
        <v>174</v>
      </c>
      <c r="B131" s="2042" t="s">
        <v>175</v>
      </c>
      <c r="C131" s="2043"/>
      <c r="D131" s="2045" t="s">
        <v>177</v>
      </c>
      <c r="E131" s="2045"/>
      <c r="F131" s="2045"/>
      <c r="G131" s="2045"/>
      <c r="H131" s="2045"/>
      <c r="I131" s="2045"/>
      <c r="J131" s="2045"/>
      <c r="K131" s="2045"/>
      <c r="L131" s="2043" t="s">
        <v>178</v>
      </c>
      <c r="M131" s="2048" t="s">
        <v>179</v>
      </c>
      <c r="N131" s="2043" t="s">
        <v>180</v>
      </c>
      <c r="O131" s="2043" t="s">
        <v>181</v>
      </c>
      <c r="P131" s="2043" t="s">
        <v>182</v>
      </c>
      <c r="Q131" s="2043" t="s">
        <v>183</v>
      </c>
      <c r="R131" s="2043" t="s">
        <v>184</v>
      </c>
      <c r="S131" s="2042" t="s">
        <v>274</v>
      </c>
      <c r="T131" s="2042"/>
      <c r="U131" s="2044" t="s">
        <v>186</v>
      </c>
      <c r="V131" s="2042" t="s">
        <v>275</v>
      </c>
      <c r="W131" s="2042"/>
      <c r="X131" s="2042"/>
      <c r="Y131" s="2042" t="s">
        <v>188</v>
      </c>
      <c r="Z131" s="2042"/>
      <c r="AA131" s="2042"/>
      <c r="AB131" s="2046" t="s">
        <v>189</v>
      </c>
      <c r="AC131" s="2046"/>
      <c r="AD131" s="2046"/>
      <c r="AE131" s="2042" t="s">
        <v>190</v>
      </c>
      <c r="AF131" s="2042"/>
      <c r="AG131" s="2042"/>
      <c r="AH131" s="2042" t="s">
        <v>191</v>
      </c>
      <c r="AI131" s="2042"/>
      <c r="AJ131" s="2042"/>
      <c r="AK131" s="2046" t="s">
        <v>192</v>
      </c>
      <c r="AL131" s="2046"/>
      <c r="AM131" s="2046"/>
      <c r="AN131" s="2042" t="s">
        <v>193</v>
      </c>
      <c r="AO131" s="2042"/>
      <c r="AP131" s="2042"/>
      <c r="AQ131" s="2044" t="s">
        <v>194</v>
      </c>
      <c r="AR131" s="2042" t="s">
        <v>195</v>
      </c>
      <c r="AS131" s="2042"/>
      <c r="AT131" s="2042"/>
      <c r="AU131" s="2042" t="s">
        <v>196</v>
      </c>
      <c r="AV131" s="2042"/>
      <c r="AW131" s="2042"/>
      <c r="AX131" s="2042"/>
      <c r="AY131" s="2042"/>
      <c r="AZ131" s="2042"/>
      <c r="BA131" s="2047" t="s">
        <v>276</v>
      </c>
      <c r="BB131" s="2044" t="s">
        <v>198</v>
      </c>
      <c r="BC131" s="2044"/>
      <c r="BD131" s="258"/>
      <c r="BE131" s="258"/>
      <c r="BF131" s="251">
        <f>BC153-BA136</f>
        <v>623377.13</v>
      </c>
    </row>
    <row r="132" spans="1:65" ht="10.9" customHeight="1" x14ac:dyDescent="0.25">
      <c r="A132" s="2042"/>
      <c r="B132" s="2042"/>
      <c r="C132" s="2043"/>
      <c r="D132" s="2045" t="s">
        <v>199</v>
      </c>
      <c r="E132" s="2045"/>
      <c r="F132" s="2045"/>
      <c r="G132" s="2045"/>
      <c r="H132" s="2045"/>
      <c r="I132" s="2045"/>
      <c r="J132" s="2045"/>
      <c r="K132" s="2045"/>
      <c r="L132" s="2043"/>
      <c r="M132" s="2048"/>
      <c r="N132" s="2043"/>
      <c r="O132" s="2043"/>
      <c r="P132" s="2043"/>
      <c r="Q132" s="2043"/>
      <c r="R132" s="2043"/>
      <c r="S132" s="2042"/>
      <c r="T132" s="2042"/>
      <c r="U132" s="2044"/>
      <c r="V132" s="2042" t="s">
        <v>200</v>
      </c>
      <c r="W132" s="2043" t="s">
        <v>201</v>
      </c>
      <c r="X132" s="2043"/>
      <c r="Y132" s="2042" t="s">
        <v>200</v>
      </c>
      <c r="Z132" s="2043" t="s">
        <v>201</v>
      </c>
      <c r="AA132" s="2043"/>
      <c r="AB132" s="2042" t="s">
        <v>200</v>
      </c>
      <c r="AC132" s="424"/>
      <c r="AD132" s="2043" t="s">
        <v>201</v>
      </c>
      <c r="AE132" s="2042" t="s">
        <v>200</v>
      </c>
      <c r="AF132" s="2043" t="s">
        <v>201</v>
      </c>
      <c r="AG132" s="2043"/>
      <c r="AH132" s="2042" t="s">
        <v>200</v>
      </c>
      <c r="AI132" s="2043" t="s">
        <v>201</v>
      </c>
      <c r="AJ132" s="2043"/>
      <c r="AK132" s="2042" t="s">
        <v>200</v>
      </c>
      <c r="AL132" s="2043" t="s">
        <v>201</v>
      </c>
      <c r="AM132" s="2043"/>
      <c r="AN132" s="2042" t="s">
        <v>200</v>
      </c>
      <c r="AO132" s="2043" t="s">
        <v>201</v>
      </c>
      <c r="AP132" s="2043"/>
      <c r="AQ132" s="2044"/>
      <c r="AR132" s="2042" t="s">
        <v>200</v>
      </c>
      <c r="AS132" s="2043" t="s">
        <v>201</v>
      </c>
      <c r="AT132" s="2043"/>
      <c r="AU132" s="2042" t="s">
        <v>277</v>
      </c>
      <c r="AV132" s="2043" t="s">
        <v>200</v>
      </c>
      <c r="AW132" s="2043" t="s">
        <v>201</v>
      </c>
      <c r="AX132" s="424" t="s">
        <v>200</v>
      </c>
      <c r="AY132" s="2043" t="s">
        <v>201</v>
      </c>
      <c r="AZ132" s="2043"/>
      <c r="BA132" s="2047"/>
      <c r="BB132" s="2044"/>
      <c r="BC132" s="2044"/>
      <c r="BD132" s="258"/>
      <c r="BE132" s="258"/>
    </row>
    <row r="133" spans="1:65" ht="22.5" customHeight="1" x14ac:dyDescent="0.25">
      <c r="A133" s="2042"/>
      <c r="B133" s="2042"/>
      <c r="C133" s="2043"/>
      <c r="D133" s="426" t="s">
        <v>203</v>
      </c>
      <c r="E133" s="426" t="s">
        <v>204</v>
      </c>
      <c r="F133" s="426" t="s">
        <v>205</v>
      </c>
      <c r="G133" s="426" t="s">
        <v>206</v>
      </c>
      <c r="H133" s="426" t="s">
        <v>207</v>
      </c>
      <c r="I133" s="426" t="s">
        <v>208</v>
      </c>
      <c r="J133" s="426" t="s">
        <v>209</v>
      </c>
      <c r="K133" s="426" t="s">
        <v>210</v>
      </c>
      <c r="L133" s="2043"/>
      <c r="M133" s="2048"/>
      <c r="N133" s="2043"/>
      <c r="O133" s="2043"/>
      <c r="P133" s="2043"/>
      <c r="Q133" s="2043"/>
      <c r="R133" s="2043"/>
      <c r="S133" s="263" t="s">
        <v>211</v>
      </c>
      <c r="T133" s="424" t="s">
        <v>212</v>
      </c>
      <c r="U133" s="2044"/>
      <c r="V133" s="2042"/>
      <c r="W133" s="2043"/>
      <c r="X133" s="2043"/>
      <c r="Y133" s="2042"/>
      <c r="Z133" s="2043"/>
      <c r="AA133" s="2043"/>
      <c r="AB133" s="2042"/>
      <c r="AC133" s="424"/>
      <c r="AD133" s="2043"/>
      <c r="AE133" s="2042"/>
      <c r="AF133" s="2043"/>
      <c r="AG133" s="2043"/>
      <c r="AH133" s="2042"/>
      <c r="AI133" s="2043"/>
      <c r="AJ133" s="2043"/>
      <c r="AK133" s="2042"/>
      <c r="AL133" s="2043"/>
      <c r="AM133" s="2043"/>
      <c r="AN133" s="2042"/>
      <c r="AO133" s="2043"/>
      <c r="AP133" s="2043"/>
      <c r="AQ133" s="2044"/>
      <c r="AR133" s="2042"/>
      <c r="AS133" s="2043"/>
      <c r="AT133" s="2043"/>
      <c r="AU133" s="2042"/>
      <c r="AV133" s="2043"/>
      <c r="AW133" s="2043"/>
      <c r="AX133" s="424" t="s">
        <v>200</v>
      </c>
      <c r="AY133" s="2043"/>
      <c r="AZ133" s="2043"/>
      <c r="BA133" s="2047"/>
      <c r="BB133" s="2044"/>
      <c r="BC133" s="2044"/>
      <c r="BD133" s="265"/>
      <c r="BE133" s="265"/>
      <c r="BF133" s="260" t="s">
        <v>203</v>
      </c>
      <c r="BG133" s="261" t="s">
        <v>204</v>
      </c>
      <c r="BH133" s="261" t="s">
        <v>205</v>
      </c>
      <c r="BI133" s="261" t="s">
        <v>206</v>
      </c>
      <c r="BJ133" s="261" t="s">
        <v>207</v>
      </c>
      <c r="BK133" s="261" t="s">
        <v>208</v>
      </c>
      <c r="BL133" s="261" t="s">
        <v>209</v>
      </c>
      <c r="BM133" s="262" t="s">
        <v>210</v>
      </c>
    </row>
    <row r="134" spans="1:65" s="251" customFormat="1" hidden="1" x14ac:dyDescent="0.25">
      <c r="A134" s="427">
        <v>1</v>
      </c>
      <c r="B134" s="428">
        <v>2</v>
      </c>
      <c r="C134" s="345">
        <v>3</v>
      </c>
      <c r="D134" s="428">
        <v>5</v>
      </c>
      <c r="E134" s="345">
        <v>6</v>
      </c>
      <c r="F134" s="345">
        <v>7</v>
      </c>
      <c r="G134" s="428">
        <v>8</v>
      </c>
      <c r="H134" s="345">
        <v>9</v>
      </c>
      <c r="I134" s="345">
        <v>10</v>
      </c>
      <c r="J134" s="428">
        <v>11</v>
      </c>
      <c r="K134" s="345">
        <v>12</v>
      </c>
      <c r="L134" s="345">
        <v>4</v>
      </c>
      <c r="M134" s="428">
        <v>5</v>
      </c>
      <c r="N134" s="345">
        <v>6</v>
      </c>
      <c r="O134" s="345">
        <v>7</v>
      </c>
      <c r="P134" s="428">
        <v>8</v>
      </c>
      <c r="Q134" s="345">
        <v>9</v>
      </c>
      <c r="R134" s="345">
        <v>10</v>
      </c>
      <c r="S134" s="428">
        <v>11</v>
      </c>
      <c r="T134" s="345">
        <v>12</v>
      </c>
      <c r="U134" s="345">
        <v>13</v>
      </c>
      <c r="V134" s="428">
        <v>14</v>
      </c>
      <c r="W134" s="345">
        <v>24</v>
      </c>
      <c r="X134" s="345">
        <v>15</v>
      </c>
      <c r="Y134" s="428">
        <v>16</v>
      </c>
      <c r="Z134" s="345">
        <v>30</v>
      </c>
      <c r="AA134" s="345">
        <v>17</v>
      </c>
      <c r="AB134" s="428">
        <v>18</v>
      </c>
      <c r="AC134" s="428"/>
      <c r="AD134" s="345">
        <v>19</v>
      </c>
      <c r="AE134" s="428">
        <v>18</v>
      </c>
      <c r="AF134" s="345">
        <v>33</v>
      </c>
      <c r="AG134" s="345">
        <v>19</v>
      </c>
      <c r="AH134" s="428">
        <v>20</v>
      </c>
      <c r="AI134" s="345">
        <v>36</v>
      </c>
      <c r="AJ134" s="345">
        <v>21</v>
      </c>
      <c r="AK134" s="428">
        <v>22</v>
      </c>
      <c r="AL134" s="345">
        <v>39</v>
      </c>
      <c r="AM134" s="345">
        <v>23</v>
      </c>
      <c r="AN134" s="428">
        <v>22</v>
      </c>
      <c r="AO134" s="345">
        <v>39</v>
      </c>
      <c r="AP134" s="345">
        <v>23</v>
      </c>
      <c r="AQ134" s="428">
        <v>24</v>
      </c>
      <c r="AR134" s="345">
        <v>25</v>
      </c>
      <c r="AS134" s="345">
        <v>43</v>
      </c>
      <c r="AT134" s="428">
        <v>26</v>
      </c>
      <c r="AU134" s="345">
        <v>27</v>
      </c>
      <c r="AV134" s="345">
        <v>28</v>
      </c>
      <c r="AW134" s="428">
        <v>29</v>
      </c>
      <c r="AX134" s="345">
        <v>30</v>
      </c>
      <c r="AY134" s="345">
        <v>43</v>
      </c>
      <c r="AZ134" s="428">
        <v>31</v>
      </c>
      <c r="BA134" s="345">
        <v>32</v>
      </c>
      <c r="BB134" s="345">
        <v>49</v>
      </c>
      <c r="BC134" s="428">
        <v>33</v>
      </c>
    </row>
    <row r="135" spans="1:65" s="275" customFormat="1" ht="21" customHeight="1" x14ac:dyDescent="0.25">
      <c r="A135" s="270" t="s">
        <v>213</v>
      </c>
      <c r="B135" s="271" t="s">
        <v>97</v>
      </c>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3"/>
      <c r="BD135" s="274"/>
      <c r="BE135" s="274"/>
    </row>
    <row r="136" spans="1:65" s="287" customFormat="1" ht="18.75" customHeight="1" x14ac:dyDescent="0.25">
      <c r="A136" s="276"/>
      <c r="B136" s="277" t="s">
        <v>146</v>
      </c>
      <c r="C136" s="278">
        <v>1</v>
      </c>
      <c r="D136" s="279"/>
      <c r="E136" s="279"/>
      <c r="F136" s="279"/>
      <c r="G136" s="279"/>
      <c r="H136" s="279"/>
      <c r="I136" s="279"/>
      <c r="J136" s="279">
        <v>1</v>
      </c>
      <c r="K136" s="279"/>
      <c r="L136" s="277"/>
      <c r="M136" s="280">
        <f>C130</f>
        <v>3028</v>
      </c>
      <c r="N136" s="281">
        <v>2</v>
      </c>
      <c r="O136" s="282">
        <v>4.5</v>
      </c>
      <c r="P136" s="282">
        <v>1.58</v>
      </c>
      <c r="Q136" s="282"/>
      <c r="R136" s="283" t="e">
        <f>[3]тар!#REF!</f>
        <v>#REF!</v>
      </c>
      <c r="S136" s="280" t="e">
        <f t="shared" ref="S136:S151" si="82">T136/(R136/1)</f>
        <v>#REF!</v>
      </c>
      <c r="T136" s="425">
        <f t="shared" ref="T136:T151" si="83">ROUND(M136*N136*O136*P136,0)</f>
        <v>43058</v>
      </c>
      <c r="U136" s="284">
        <f>T136*C136*1</f>
        <v>43058</v>
      </c>
      <c r="V136" s="277"/>
      <c r="W136" s="285"/>
      <c r="X136" s="285">
        <f t="shared" ref="X136:X151" si="84">U136*V136%</f>
        <v>0</v>
      </c>
      <c r="Y136" s="277"/>
      <c r="Z136" s="277"/>
      <c r="AA136" s="277"/>
      <c r="AB136" s="277"/>
      <c r="AC136" s="277"/>
      <c r="AD136" s="277"/>
      <c r="AE136" s="277"/>
      <c r="AF136" s="277"/>
      <c r="AG136" s="277"/>
      <c r="AH136" s="277"/>
      <c r="AI136" s="277"/>
      <c r="AJ136" s="277"/>
      <c r="AK136" s="277"/>
      <c r="AL136" s="277"/>
      <c r="AM136" s="285">
        <f t="shared" ref="AM136:AM143" si="85">T136*AK136%*1</f>
        <v>0</v>
      </c>
      <c r="AN136" s="277"/>
      <c r="AO136" s="277"/>
      <c r="AP136" s="285"/>
      <c r="AQ136" s="284">
        <f t="shared" ref="AQ136:AQ152" si="86">X136+AA136+AD136+AG136+AJ136+AM136+AP136</f>
        <v>0</v>
      </c>
      <c r="AR136" s="285"/>
      <c r="AS136" s="285">
        <f t="shared" ref="AS136:AS150" si="87">AT136/C136</f>
        <v>0</v>
      </c>
      <c r="AT136" s="280"/>
      <c r="AU136" s="277"/>
      <c r="AV136" s="277">
        <v>100</v>
      </c>
      <c r="AW136" s="277">
        <f t="shared" ref="AW136:AW150" si="88">AU136*T136</f>
        <v>0</v>
      </c>
      <c r="AX136" s="285"/>
      <c r="AY136" s="285"/>
      <c r="AZ136" s="280"/>
      <c r="BA136" s="284">
        <f t="shared" ref="BA136:BA151" si="89">AT136+AW136+AZ136</f>
        <v>0</v>
      </c>
      <c r="BB136" s="284">
        <f t="shared" ref="BB136:BB150" si="90">BC136/C136</f>
        <v>43058</v>
      </c>
      <c r="BC136" s="284">
        <f t="shared" ref="BC136:BC150" si="91">BA136+AQ136+U136</f>
        <v>43058</v>
      </c>
      <c r="BD136" s="286">
        <f t="shared" ref="BD136:BD151" si="92">BC136/C136/3</f>
        <v>14352.666666666666</v>
      </c>
      <c r="BE136" s="286"/>
      <c r="BF136" s="251">
        <f t="shared" ref="BF136:BF150" si="93">IF(D136=1,BC136,0)</f>
        <v>0</v>
      </c>
      <c r="BG136" s="251">
        <f t="shared" ref="BG136:BG150" si="94">IF(E136=1,BC136,0)</f>
        <v>0</v>
      </c>
      <c r="BH136" s="251">
        <f t="shared" ref="BH136:BH150" si="95">IF(F136=1,BC136,0)</f>
        <v>0</v>
      </c>
      <c r="BI136" s="251">
        <f t="shared" ref="BI136:BI150" si="96">IF(G136=1,BC136,0)</f>
        <v>0</v>
      </c>
      <c r="BJ136" s="251">
        <f t="shared" ref="BJ136:BJ150" si="97">IF(H136=1,BC136,0)</f>
        <v>0</v>
      </c>
      <c r="BK136" s="251">
        <f t="shared" ref="BK136:BK150" si="98">IF(I136=1,BC136,0)</f>
        <v>0</v>
      </c>
      <c r="BL136" s="251">
        <f t="shared" ref="BL136:BL150" si="99">IF(J136=1,BC136,0)</f>
        <v>43058</v>
      </c>
      <c r="BM136" s="251">
        <f t="shared" ref="BM136:BM150" si="100">IF(K136=1,BC136,0)</f>
        <v>0</v>
      </c>
    </row>
    <row r="137" spans="1:65" s="287" customFormat="1" x14ac:dyDescent="0.25">
      <c r="A137" s="276"/>
      <c r="B137" s="288" t="s">
        <v>214</v>
      </c>
      <c r="C137" s="278">
        <v>1</v>
      </c>
      <c r="D137" s="279"/>
      <c r="E137" s="279"/>
      <c r="F137" s="279"/>
      <c r="G137" s="279"/>
      <c r="H137" s="279"/>
      <c r="I137" s="279"/>
      <c r="J137" s="279">
        <v>1</v>
      </c>
      <c r="K137" s="279"/>
      <c r="L137" s="277"/>
      <c r="M137" s="280">
        <f>M$143</f>
        <v>3028</v>
      </c>
      <c r="N137" s="281">
        <f>N$136</f>
        <v>2</v>
      </c>
      <c r="O137" s="282">
        <f>O136*80%</f>
        <v>3.6</v>
      </c>
      <c r="P137" s="282">
        <f t="shared" ref="P137:P150" si="101">P$244</f>
        <v>1.58</v>
      </c>
      <c r="Q137" s="282"/>
      <c r="R137" s="283">
        <f t="shared" ref="R137:R151" si="102">$R$244</f>
        <v>477</v>
      </c>
      <c r="S137" s="280">
        <f t="shared" si="82"/>
        <v>72.215932914046121</v>
      </c>
      <c r="T137" s="425">
        <f t="shared" si="83"/>
        <v>34447</v>
      </c>
      <c r="U137" s="284">
        <f t="shared" ref="U137:U151" si="103">T137*C137*1</f>
        <v>34447</v>
      </c>
      <c r="V137" s="277">
        <v>30</v>
      </c>
      <c r="W137" s="285"/>
      <c r="X137" s="285">
        <f t="shared" si="84"/>
        <v>10334.1</v>
      </c>
      <c r="Y137" s="277"/>
      <c r="Z137" s="277"/>
      <c r="AA137" s="277"/>
      <c r="AB137" s="277"/>
      <c r="AC137" s="277"/>
      <c r="AD137" s="277"/>
      <c r="AE137" s="277"/>
      <c r="AF137" s="277"/>
      <c r="AG137" s="277"/>
      <c r="AH137" s="277"/>
      <c r="AI137" s="277"/>
      <c r="AJ137" s="277"/>
      <c r="AK137" s="277">
        <v>7</v>
      </c>
      <c r="AL137" s="277"/>
      <c r="AM137" s="285">
        <f t="shared" si="85"/>
        <v>2411.2900000000004</v>
      </c>
      <c r="AN137" s="277"/>
      <c r="AO137" s="277"/>
      <c r="AP137" s="277"/>
      <c r="AQ137" s="284">
        <f t="shared" si="86"/>
        <v>12745.390000000001</v>
      </c>
      <c r="AR137" s="277">
        <f t="shared" ref="AR137:AR151" si="104">AR$29</f>
        <v>20</v>
      </c>
      <c r="AS137" s="277">
        <f t="shared" si="87"/>
        <v>6889.4000000000005</v>
      </c>
      <c r="AT137" s="283">
        <f t="shared" ref="AT137:AT150" si="105">(U137)*AR137%</f>
        <v>6889.4000000000005</v>
      </c>
      <c r="AU137" s="277"/>
      <c r="AV137" s="277">
        <v>100</v>
      </c>
      <c r="AW137" s="277">
        <f t="shared" si="88"/>
        <v>0</v>
      </c>
      <c r="AX137" s="277"/>
      <c r="AY137" s="277"/>
      <c r="AZ137" s="283"/>
      <c r="BA137" s="284">
        <f t="shared" si="89"/>
        <v>6889.4000000000005</v>
      </c>
      <c r="BB137" s="284">
        <f t="shared" si="90"/>
        <v>54081.79</v>
      </c>
      <c r="BC137" s="284">
        <f t="shared" si="91"/>
        <v>54081.79</v>
      </c>
      <c r="BD137" s="286">
        <f t="shared" si="92"/>
        <v>18027.263333333332</v>
      </c>
      <c r="BE137" s="286"/>
      <c r="BF137" s="251">
        <f t="shared" si="93"/>
        <v>0</v>
      </c>
      <c r="BG137" s="251">
        <f t="shared" si="94"/>
        <v>0</v>
      </c>
      <c r="BH137" s="251">
        <f t="shared" si="95"/>
        <v>0</v>
      </c>
      <c r="BI137" s="251">
        <f t="shared" si="96"/>
        <v>0</v>
      </c>
      <c r="BJ137" s="251">
        <f t="shared" si="97"/>
        <v>0</v>
      </c>
      <c r="BK137" s="251">
        <f t="shared" si="98"/>
        <v>0</v>
      </c>
      <c r="BL137" s="251">
        <f t="shared" si="99"/>
        <v>54081.79</v>
      </c>
      <c r="BM137" s="251">
        <f t="shared" si="100"/>
        <v>0</v>
      </c>
    </row>
    <row r="138" spans="1:65" s="301" customFormat="1" x14ac:dyDescent="0.25">
      <c r="A138" s="289"/>
      <c r="B138" s="290" t="s">
        <v>215</v>
      </c>
      <c r="C138" s="376">
        <v>1</v>
      </c>
      <c r="D138" s="292"/>
      <c r="E138" s="292"/>
      <c r="F138" s="292"/>
      <c r="G138" s="292"/>
      <c r="H138" s="292"/>
      <c r="I138" s="292"/>
      <c r="J138" s="292">
        <v>1</v>
      </c>
      <c r="K138" s="292"/>
      <c r="L138" s="293"/>
      <c r="M138" s="280">
        <f>M$143</f>
        <v>3028</v>
      </c>
      <c r="N138" s="429">
        <f t="shared" ref="N138:N151" si="106">N$136</f>
        <v>2</v>
      </c>
      <c r="O138" s="295">
        <v>3.38</v>
      </c>
      <c r="P138" s="295">
        <f t="shared" si="101"/>
        <v>1.58</v>
      </c>
      <c r="Q138" s="295"/>
      <c r="R138" s="296">
        <f t="shared" si="102"/>
        <v>477</v>
      </c>
      <c r="S138" s="294">
        <f t="shared" si="82"/>
        <v>67.80083857442348</v>
      </c>
      <c r="T138" s="291">
        <f t="shared" si="83"/>
        <v>32341</v>
      </c>
      <c r="U138" s="297">
        <f>T138*C138*1</f>
        <v>32341</v>
      </c>
      <c r="V138" s="293">
        <v>30</v>
      </c>
      <c r="W138" s="298"/>
      <c r="X138" s="298">
        <f t="shared" si="84"/>
        <v>9702.2999999999993</v>
      </c>
      <c r="Y138" s="293"/>
      <c r="Z138" s="293"/>
      <c r="AA138" s="293"/>
      <c r="AB138" s="293"/>
      <c r="AC138" s="293"/>
      <c r="AD138" s="293"/>
      <c r="AE138" s="293"/>
      <c r="AF138" s="293"/>
      <c r="AG138" s="293"/>
      <c r="AH138" s="293"/>
      <c r="AI138" s="293"/>
      <c r="AJ138" s="293"/>
      <c r="AK138" s="293">
        <v>7</v>
      </c>
      <c r="AL138" s="293"/>
      <c r="AM138" s="298">
        <f t="shared" si="85"/>
        <v>2263.8700000000003</v>
      </c>
      <c r="AN138" s="293"/>
      <c r="AO138" s="293"/>
      <c r="AP138" s="293"/>
      <c r="AQ138" s="297">
        <f t="shared" si="86"/>
        <v>11966.17</v>
      </c>
      <c r="AR138" s="293">
        <f t="shared" si="104"/>
        <v>20</v>
      </c>
      <c r="AS138" s="293">
        <f t="shared" si="87"/>
        <v>6468.2000000000007</v>
      </c>
      <c r="AT138" s="296">
        <f t="shared" si="105"/>
        <v>6468.2000000000007</v>
      </c>
      <c r="AU138" s="293"/>
      <c r="AV138" s="293">
        <v>100</v>
      </c>
      <c r="AW138" s="293">
        <f t="shared" si="88"/>
        <v>0</v>
      </c>
      <c r="AX138" s="293"/>
      <c r="AY138" s="293"/>
      <c r="AZ138" s="296"/>
      <c r="BA138" s="297">
        <f t="shared" si="89"/>
        <v>6468.2000000000007</v>
      </c>
      <c r="BB138" s="297">
        <f t="shared" si="90"/>
        <v>50775.37</v>
      </c>
      <c r="BC138" s="297">
        <f t="shared" si="91"/>
        <v>50775.37</v>
      </c>
      <c r="BD138" s="299">
        <f>BC138/C138/3</f>
        <v>16925.123333333333</v>
      </c>
      <c r="BE138" s="299"/>
      <c r="BF138" s="300">
        <f t="shared" si="93"/>
        <v>0</v>
      </c>
      <c r="BG138" s="300">
        <f t="shared" si="94"/>
        <v>0</v>
      </c>
      <c r="BH138" s="300">
        <f t="shared" si="95"/>
        <v>0</v>
      </c>
      <c r="BI138" s="300">
        <f t="shared" si="96"/>
        <v>0</v>
      </c>
      <c r="BJ138" s="300">
        <f t="shared" si="97"/>
        <v>0</v>
      </c>
      <c r="BK138" s="300">
        <f t="shared" si="98"/>
        <v>0</v>
      </c>
      <c r="BL138" s="300">
        <f t="shared" si="99"/>
        <v>50775.37</v>
      </c>
      <c r="BM138" s="300">
        <f t="shared" si="100"/>
        <v>0</v>
      </c>
    </row>
    <row r="139" spans="1:65" s="287" customFormat="1" x14ac:dyDescent="0.25">
      <c r="A139" s="276"/>
      <c r="B139" s="288" t="s">
        <v>216</v>
      </c>
      <c r="C139" s="278">
        <v>1</v>
      </c>
      <c r="D139" s="279"/>
      <c r="E139" s="279"/>
      <c r="F139" s="279"/>
      <c r="G139" s="279"/>
      <c r="H139" s="279"/>
      <c r="I139" s="279"/>
      <c r="J139" s="279">
        <v>1</v>
      </c>
      <c r="K139" s="279"/>
      <c r="L139" s="277"/>
      <c r="M139" s="280">
        <f>M$143</f>
        <v>3028</v>
      </c>
      <c r="N139" s="281">
        <f t="shared" si="106"/>
        <v>2</v>
      </c>
      <c r="O139" s="282">
        <v>3.38</v>
      </c>
      <c r="P139" s="282">
        <f t="shared" si="101"/>
        <v>1.58</v>
      </c>
      <c r="Q139" s="282"/>
      <c r="R139" s="283">
        <f t="shared" si="102"/>
        <v>477</v>
      </c>
      <c r="S139" s="280">
        <f t="shared" si="82"/>
        <v>67.80083857442348</v>
      </c>
      <c r="T139" s="425">
        <f t="shared" si="83"/>
        <v>32341</v>
      </c>
      <c r="U139" s="284">
        <f t="shared" si="103"/>
        <v>32341</v>
      </c>
      <c r="V139" s="277">
        <v>30</v>
      </c>
      <c r="W139" s="285"/>
      <c r="X139" s="285">
        <f t="shared" si="84"/>
        <v>9702.2999999999993</v>
      </c>
      <c r="Y139" s="277"/>
      <c r="Z139" s="277"/>
      <c r="AA139" s="277"/>
      <c r="AB139" s="277"/>
      <c r="AC139" s="277"/>
      <c r="AD139" s="277"/>
      <c r="AE139" s="277"/>
      <c r="AF139" s="277"/>
      <c r="AG139" s="277"/>
      <c r="AH139" s="277"/>
      <c r="AI139" s="277"/>
      <c r="AJ139" s="277"/>
      <c r="AK139" s="277">
        <v>15</v>
      </c>
      <c r="AL139" s="277"/>
      <c r="AM139" s="285">
        <f t="shared" si="85"/>
        <v>4851.1499999999996</v>
      </c>
      <c r="AN139" s="277"/>
      <c r="AO139" s="277"/>
      <c r="AP139" s="277"/>
      <c r="AQ139" s="284">
        <f t="shared" si="86"/>
        <v>14553.449999999999</v>
      </c>
      <c r="AR139" s="277">
        <f t="shared" si="104"/>
        <v>20</v>
      </c>
      <c r="AS139" s="277">
        <f t="shared" si="87"/>
        <v>6468.2000000000007</v>
      </c>
      <c r="AT139" s="283">
        <f t="shared" si="105"/>
        <v>6468.2000000000007</v>
      </c>
      <c r="AU139" s="277"/>
      <c r="AV139" s="277">
        <v>100</v>
      </c>
      <c r="AW139" s="277">
        <f t="shared" si="88"/>
        <v>0</v>
      </c>
      <c r="AX139" s="277"/>
      <c r="AY139" s="277"/>
      <c r="AZ139" s="283"/>
      <c r="BA139" s="284">
        <f t="shared" si="89"/>
        <v>6468.2000000000007</v>
      </c>
      <c r="BB139" s="284">
        <f t="shared" si="90"/>
        <v>53362.65</v>
      </c>
      <c r="BC139" s="284">
        <f t="shared" si="91"/>
        <v>53362.65</v>
      </c>
      <c r="BD139" s="286">
        <f t="shared" si="92"/>
        <v>17787.55</v>
      </c>
      <c r="BE139" s="286"/>
      <c r="BF139" s="251">
        <f t="shared" si="93"/>
        <v>0</v>
      </c>
      <c r="BG139" s="251">
        <f t="shared" si="94"/>
        <v>0</v>
      </c>
      <c r="BH139" s="251">
        <f t="shared" si="95"/>
        <v>0</v>
      </c>
      <c r="BI139" s="251">
        <f t="shared" si="96"/>
        <v>0</v>
      </c>
      <c r="BJ139" s="251">
        <f t="shared" si="97"/>
        <v>0</v>
      </c>
      <c r="BK139" s="251">
        <f t="shared" si="98"/>
        <v>0</v>
      </c>
      <c r="BL139" s="251">
        <f t="shared" si="99"/>
        <v>53362.65</v>
      </c>
      <c r="BM139" s="251">
        <f t="shared" si="100"/>
        <v>0</v>
      </c>
    </row>
    <row r="140" spans="1:65" s="287" customFormat="1" x14ac:dyDescent="0.25">
      <c r="A140" s="276"/>
      <c r="B140" s="288" t="s">
        <v>217</v>
      </c>
      <c r="C140" s="278">
        <v>4</v>
      </c>
      <c r="D140" s="279"/>
      <c r="E140" s="279"/>
      <c r="F140" s="279"/>
      <c r="G140" s="279"/>
      <c r="H140" s="279"/>
      <c r="I140" s="279"/>
      <c r="J140" s="279">
        <v>1</v>
      </c>
      <c r="K140" s="279"/>
      <c r="L140" s="277"/>
      <c r="M140" s="280">
        <f>C130</f>
        <v>3028</v>
      </c>
      <c r="N140" s="281">
        <f t="shared" si="106"/>
        <v>2</v>
      </c>
      <c r="O140" s="282">
        <v>2</v>
      </c>
      <c r="P140" s="282">
        <f t="shared" si="101"/>
        <v>1.58</v>
      </c>
      <c r="Q140" s="282"/>
      <c r="R140" s="283">
        <f t="shared" si="102"/>
        <v>477</v>
      </c>
      <c r="S140" s="280">
        <f>T140/(R140/1)</f>
        <v>40.119496855345915</v>
      </c>
      <c r="T140" s="425">
        <f t="shared" si="83"/>
        <v>19137</v>
      </c>
      <c r="U140" s="284">
        <f>T140*C140*1</f>
        <v>76548</v>
      </c>
      <c r="V140" s="277">
        <v>20</v>
      </c>
      <c r="W140" s="285"/>
      <c r="X140" s="285">
        <f>U140*V140%</f>
        <v>15309.6</v>
      </c>
      <c r="Y140" s="277"/>
      <c r="Z140" s="277"/>
      <c r="AA140" s="277"/>
      <c r="AB140" s="277"/>
      <c r="AC140" s="277"/>
      <c r="AD140" s="277"/>
      <c r="AE140" s="277"/>
      <c r="AF140" s="277"/>
      <c r="AG140" s="277"/>
      <c r="AH140" s="277"/>
      <c r="AI140" s="277"/>
      <c r="AJ140" s="277"/>
      <c r="AK140" s="277">
        <f>(7)/1</f>
        <v>7</v>
      </c>
      <c r="AL140" s="277"/>
      <c r="AM140" s="342">
        <f>1*T140*AK140%*1</f>
        <v>1339.5900000000001</v>
      </c>
      <c r="AN140" s="277"/>
      <c r="AO140" s="277"/>
      <c r="AP140" s="277"/>
      <c r="AQ140" s="284">
        <f>X140+AA140+AD140+AG140+AJ140+AM140+AP140</f>
        <v>16649.190000000002</v>
      </c>
      <c r="AR140" s="277">
        <f t="shared" si="104"/>
        <v>20</v>
      </c>
      <c r="AS140" s="277">
        <f>AT140/C140</f>
        <v>3827.4</v>
      </c>
      <c r="AT140" s="283">
        <f>(U140)*AR140%</f>
        <v>15309.6</v>
      </c>
      <c r="AU140" s="277"/>
      <c r="AV140" s="277">
        <v>100</v>
      </c>
      <c r="AW140" s="277">
        <f>AU140*T140</f>
        <v>0</v>
      </c>
      <c r="AX140" s="277"/>
      <c r="AY140" s="277"/>
      <c r="AZ140" s="283"/>
      <c r="BA140" s="284">
        <f>AT140+AW140+AZ140</f>
        <v>15309.6</v>
      </c>
      <c r="BB140" s="284">
        <f>BC140/C140</f>
        <v>27126.697500000002</v>
      </c>
      <c r="BC140" s="284">
        <f>BA140+AQ140+U140</f>
        <v>108506.79000000001</v>
      </c>
      <c r="BD140" s="286">
        <f>BC140/C140/3</f>
        <v>9042.2325000000001</v>
      </c>
      <c r="BE140" s="286"/>
      <c r="BF140" s="251">
        <f>IF(D140=1,BC140,0)</f>
        <v>0</v>
      </c>
      <c r="BG140" s="251">
        <f>IF(E140=1,BC140,0)</f>
        <v>0</v>
      </c>
      <c r="BH140" s="251">
        <f>IF(F140=1,BC140,0)</f>
        <v>0</v>
      </c>
      <c r="BI140" s="251">
        <f>IF(G140=1,BC140,0)</f>
        <v>0</v>
      </c>
      <c r="BJ140" s="251">
        <f>IF(H140=1,BC140,0)</f>
        <v>0</v>
      </c>
      <c r="BK140" s="251">
        <f>IF(I140=1,BC140,0)</f>
        <v>0</v>
      </c>
      <c r="BL140" s="251">
        <f>IF(J140=1,BC140,0)</f>
        <v>108506.79000000001</v>
      </c>
      <c r="BM140" s="251">
        <f>IF(K140=1,BC140,0)</f>
        <v>0</v>
      </c>
    </row>
    <row r="141" spans="1:65" s="287" customFormat="1" x14ac:dyDescent="0.25">
      <c r="A141" s="276"/>
      <c r="B141" s="288" t="s">
        <v>218</v>
      </c>
      <c r="C141" s="278">
        <v>1</v>
      </c>
      <c r="D141" s="279"/>
      <c r="E141" s="279"/>
      <c r="F141" s="279"/>
      <c r="G141" s="279"/>
      <c r="H141" s="279"/>
      <c r="I141" s="279"/>
      <c r="J141" s="279">
        <v>1</v>
      </c>
      <c r="K141" s="279"/>
      <c r="L141" s="277"/>
      <c r="M141" s="280">
        <f>M$143</f>
        <v>3028</v>
      </c>
      <c r="N141" s="281">
        <f t="shared" si="106"/>
        <v>2</v>
      </c>
      <c r="O141" s="282">
        <v>3.15</v>
      </c>
      <c r="P141" s="282">
        <f t="shared" si="101"/>
        <v>1.58</v>
      </c>
      <c r="Q141" s="282"/>
      <c r="R141" s="283">
        <f t="shared" si="102"/>
        <v>477</v>
      </c>
      <c r="S141" s="280">
        <f t="shared" si="82"/>
        <v>63.188679245283019</v>
      </c>
      <c r="T141" s="425">
        <f t="shared" si="83"/>
        <v>30141</v>
      </c>
      <c r="U141" s="284">
        <f t="shared" si="103"/>
        <v>30141</v>
      </c>
      <c r="V141" s="277">
        <v>30</v>
      </c>
      <c r="W141" s="285"/>
      <c r="X141" s="285">
        <f t="shared" si="84"/>
        <v>9042.2999999999993</v>
      </c>
      <c r="Y141" s="277"/>
      <c r="Z141" s="277"/>
      <c r="AA141" s="277"/>
      <c r="AB141" s="277"/>
      <c r="AC141" s="277"/>
      <c r="AD141" s="277"/>
      <c r="AE141" s="277"/>
      <c r="AF141" s="277"/>
      <c r="AG141" s="277"/>
      <c r="AH141" s="277"/>
      <c r="AI141" s="277"/>
      <c r="AJ141" s="277"/>
      <c r="AK141" s="277">
        <v>20</v>
      </c>
      <c r="AL141" s="277"/>
      <c r="AM141" s="285">
        <f t="shared" si="85"/>
        <v>6028.2000000000007</v>
      </c>
      <c r="AN141" s="277"/>
      <c r="AO141" s="277"/>
      <c r="AP141" s="277"/>
      <c r="AQ141" s="284">
        <f t="shared" si="86"/>
        <v>15070.5</v>
      </c>
      <c r="AR141" s="277">
        <f t="shared" si="104"/>
        <v>20</v>
      </c>
      <c r="AS141" s="277">
        <f t="shared" si="87"/>
        <v>6028.2000000000007</v>
      </c>
      <c r="AT141" s="283">
        <f t="shared" si="105"/>
        <v>6028.2000000000007</v>
      </c>
      <c r="AU141" s="277"/>
      <c r="AV141" s="277">
        <v>100</v>
      </c>
      <c r="AW141" s="277">
        <f t="shared" si="88"/>
        <v>0</v>
      </c>
      <c r="AX141" s="277"/>
      <c r="AY141" s="277"/>
      <c r="AZ141" s="283"/>
      <c r="BA141" s="284">
        <f t="shared" si="89"/>
        <v>6028.2000000000007</v>
      </c>
      <c r="BB141" s="284">
        <f t="shared" si="90"/>
        <v>51239.7</v>
      </c>
      <c r="BC141" s="284">
        <f t="shared" si="91"/>
        <v>51239.7</v>
      </c>
      <c r="BD141" s="286">
        <f t="shared" si="92"/>
        <v>17079.899999999998</v>
      </c>
      <c r="BE141" s="286"/>
      <c r="BF141" s="251">
        <f t="shared" si="93"/>
        <v>0</v>
      </c>
      <c r="BG141" s="251">
        <f t="shared" si="94"/>
        <v>0</v>
      </c>
      <c r="BH141" s="251">
        <f t="shared" si="95"/>
        <v>0</v>
      </c>
      <c r="BI141" s="251">
        <f t="shared" si="96"/>
        <v>0</v>
      </c>
      <c r="BJ141" s="251">
        <f t="shared" si="97"/>
        <v>0</v>
      </c>
      <c r="BK141" s="251">
        <f t="shared" si="98"/>
        <v>0</v>
      </c>
      <c r="BL141" s="251">
        <f t="shared" si="99"/>
        <v>51239.7</v>
      </c>
      <c r="BM141" s="251">
        <f t="shared" si="100"/>
        <v>0</v>
      </c>
    </row>
    <row r="142" spans="1:65" s="301" customFormat="1" x14ac:dyDescent="0.25">
      <c r="A142" s="289"/>
      <c r="B142" s="290" t="s">
        <v>278</v>
      </c>
      <c r="C142" s="291">
        <v>1</v>
      </c>
      <c r="D142" s="292"/>
      <c r="E142" s="292"/>
      <c r="F142" s="292"/>
      <c r="G142" s="292"/>
      <c r="H142" s="292"/>
      <c r="I142" s="292"/>
      <c r="J142" s="292">
        <v>1</v>
      </c>
      <c r="K142" s="292"/>
      <c r="L142" s="293"/>
      <c r="M142" s="280">
        <f>M$143</f>
        <v>3028</v>
      </c>
      <c r="N142" s="429">
        <f t="shared" si="106"/>
        <v>2</v>
      </c>
      <c r="O142" s="295">
        <v>2.2000000000000002</v>
      </c>
      <c r="P142" s="295">
        <f t="shared" si="101"/>
        <v>1.58</v>
      </c>
      <c r="Q142" s="295"/>
      <c r="R142" s="296">
        <f t="shared" si="102"/>
        <v>477</v>
      </c>
      <c r="S142" s="294">
        <f t="shared" si="82"/>
        <v>44.132075471698116</v>
      </c>
      <c r="T142" s="291">
        <f t="shared" si="83"/>
        <v>21051</v>
      </c>
      <c r="U142" s="297">
        <f t="shared" si="103"/>
        <v>21051</v>
      </c>
      <c r="V142" s="293">
        <v>20</v>
      </c>
      <c r="W142" s="298"/>
      <c r="X142" s="298">
        <f t="shared" si="84"/>
        <v>4210.2</v>
      </c>
      <c r="Y142" s="293"/>
      <c r="Z142" s="293"/>
      <c r="AA142" s="293"/>
      <c r="AB142" s="293"/>
      <c r="AC142" s="293"/>
      <c r="AD142" s="293"/>
      <c r="AE142" s="293"/>
      <c r="AF142" s="293"/>
      <c r="AG142" s="293"/>
      <c r="AH142" s="293"/>
      <c r="AI142" s="293"/>
      <c r="AJ142" s="293"/>
      <c r="AK142" s="277">
        <v>7</v>
      </c>
      <c r="AL142" s="293"/>
      <c r="AM142" s="298">
        <f>T142*AK142%*1</f>
        <v>1473.5700000000002</v>
      </c>
      <c r="AN142" s="293"/>
      <c r="AO142" s="293"/>
      <c r="AP142" s="293"/>
      <c r="AQ142" s="297">
        <f t="shared" si="86"/>
        <v>5683.77</v>
      </c>
      <c r="AR142" s="293">
        <f t="shared" si="104"/>
        <v>20</v>
      </c>
      <c r="AS142" s="298">
        <f t="shared" si="87"/>
        <v>4210.2</v>
      </c>
      <c r="AT142" s="294">
        <f t="shared" si="105"/>
        <v>4210.2</v>
      </c>
      <c r="AU142" s="293"/>
      <c r="AV142" s="293">
        <v>100</v>
      </c>
      <c r="AW142" s="293">
        <f t="shared" si="88"/>
        <v>0</v>
      </c>
      <c r="AX142" s="293"/>
      <c r="AY142" s="298"/>
      <c r="AZ142" s="294"/>
      <c r="BA142" s="297">
        <f t="shared" si="89"/>
        <v>4210.2</v>
      </c>
      <c r="BB142" s="297">
        <f t="shared" si="90"/>
        <v>30944.97</v>
      </c>
      <c r="BC142" s="297">
        <f t="shared" si="91"/>
        <v>30944.97</v>
      </c>
      <c r="BD142" s="299">
        <f t="shared" si="92"/>
        <v>10314.99</v>
      </c>
      <c r="BE142" s="299"/>
      <c r="BF142" s="300">
        <f t="shared" si="93"/>
        <v>0</v>
      </c>
      <c r="BG142" s="300">
        <f t="shared" si="94"/>
        <v>0</v>
      </c>
      <c r="BH142" s="300">
        <f t="shared" si="95"/>
        <v>0</v>
      </c>
      <c r="BI142" s="300">
        <f t="shared" si="96"/>
        <v>0</v>
      </c>
      <c r="BJ142" s="300">
        <f t="shared" si="97"/>
        <v>0</v>
      </c>
      <c r="BK142" s="300">
        <f t="shared" si="98"/>
        <v>0</v>
      </c>
      <c r="BL142" s="300">
        <f t="shared" si="99"/>
        <v>30944.97</v>
      </c>
      <c r="BM142" s="300">
        <f t="shared" si="100"/>
        <v>0</v>
      </c>
    </row>
    <row r="143" spans="1:65" s="287" customFormat="1" x14ac:dyDescent="0.25">
      <c r="A143" s="276"/>
      <c r="B143" s="288" t="s">
        <v>220</v>
      </c>
      <c r="C143" s="278">
        <v>1</v>
      </c>
      <c r="D143" s="279"/>
      <c r="E143" s="279"/>
      <c r="F143" s="279"/>
      <c r="G143" s="279"/>
      <c r="H143" s="279"/>
      <c r="I143" s="279"/>
      <c r="J143" s="279">
        <v>1</v>
      </c>
      <c r="K143" s="279"/>
      <c r="L143" s="277"/>
      <c r="M143" s="304">
        <f>C130</f>
        <v>3028</v>
      </c>
      <c r="N143" s="281">
        <f t="shared" si="106"/>
        <v>2</v>
      </c>
      <c r="O143" s="282">
        <v>2.8</v>
      </c>
      <c r="P143" s="282">
        <f t="shared" si="101"/>
        <v>1.58</v>
      </c>
      <c r="Q143" s="282"/>
      <c r="R143" s="283">
        <f t="shared" si="102"/>
        <v>477</v>
      </c>
      <c r="S143" s="280">
        <f t="shared" si="82"/>
        <v>56.167714884696018</v>
      </c>
      <c r="T143" s="425">
        <f t="shared" si="83"/>
        <v>26792</v>
      </c>
      <c r="U143" s="284">
        <f t="shared" si="103"/>
        <v>26792</v>
      </c>
      <c r="V143" s="277">
        <v>20</v>
      </c>
      <c r="W143" s="285"/>
      <c r="X143" s="285">
        <f t="shared" si="84"/>
        <v>5358.4000000000005</v>
      </c>
      <c r="Y143" s="277"/>
      <c r="Z143" s="277"/>
      <c r="AA143" s="277"/>
      <c r="AB143" s="277"/>
      <c r="AC143" s="277"/>
      <c r="AD143" s="277"/>
      <c r="AE143" s="277"/>
      <c r="AF143" s="277"/>
      <c r="AG143" s="277"/>
      <c r="AH143" s="277"/>
      <c r="AI143" s="277"/>
      <c r="AJ143" s="277"/>
      <c r="AK143" s="277"/>
      <c r="AL143" s="277"/>
      <c r="AM143" s="285">
        <f t="shared" si="85"/>
        <v>0</v>
      </c>
      <c r="AN143" s="277"/>
      <c r="AO143" s="277"/>
      <c r="AP143" s="277"/>
      <c r="AQ143" s="284">
        <f t="shared" si="86"/>
        <v>5358.4000000000005</v>
      </c>
      <c r="AR143" s="277">
        <f t="shared" si="104"/>
        <v>20</v>
      </c>
      <c r="AS143" s="277">
        <f t="shared" si="87"/>
        <v>5358.4000000000005</v>
      </c>
      <c r="AT143" s="283">
        <f t="shared" si="105"/>
        <v>5358.4000000000005</v>
      </c>
      <c r="AU143" s="277"/>
      <c r="AV143" s="277">
        <v>100</v>
      </c>
      <c r="AW143" s="277">
        <f t="shared" si="88"/>
        <v>0</v>
      </c>
      <c r="AX143" s="277"/>
      <c r="AY143" s="277"/>
      <c r="AZ143" s="283"/>
      <c r="BA143" s="284">
        <f t="shared" si="89"/>
        <v>5358.4000000000005</v>
      </c>
      <c r="BB143" s="284">
        <f t="shared" si="90"/>
        <v>37508.800000000003</v>
      </c>
      <c r="BC143" s="284">
        <f t="shared" si="91"/>
        <v>37508.800000000003</v>
      </c>
      <c r="BD143" s="286">
        <f t="shared" si="92"/>
        <v>12502.933333333334</v>
      </c>
      <c r="BE143" s="286"/>
      <c r="BF143" s="251">
        <f t="shared" si="93"/>
        <v>0</v>
      </c>
      <c r="BG143" s="251">
        <f t="shared" si="94"/>
        <v>0</v>
      </c>
      <c r="BH143" s="251">
        <f t="shared" si="95"/>
        <v>0</v>
      </c>
      <c r="BI143" s="251">
        <f t="shared" si="96"/>
        <v>0</v>
      </c>
      <c r="BJ143" s="251">
        <f t="shared" si="97"/>
        <v>0</v>
      </c>
      <c r="BK143" s="251">
        <f t="shared" si="98"/>
        <v>0</v>
      </c>
      <c r="BL143" s="251">
        <f t="shared" si="99"/>
        <v>37508.800000000003</v>
      </c>
      <c r="BM143" s="251">
        <f t="shared" si="100"/>
        <v>0</v>
      </c>
    </row>
    <row r="144" spans="1:65" s="287" customFormat="1" x14ac:dyDescent="0.25">
      <c r="A144" s="276"/>
      <c r="B144" s="288" t="s">
        <v>221</v>
      </c>
      <c r="C144" s="425">
        <f>1</f>
        <v>1</v>
      </c>
      <c r="D144" s="279"/>
      <c r="E144" s="279"/>
      <c r="F144" s="279"/>
      <c r="G144" s="279"/>
      <c r="H144" s="279"/>
      <c r="I144" s="279"/>
      <c r="J144" s="279">
        <v>1</v>
      </c>
      <c r="K144" s="279"/>
      <c r="L144" s="277"/>
      <c r="M144" s="280">
        <f>M$143</f>
        <v>3028</v>
      </c>
      <c r="N144" s="281">
        <f t="shared" si="106"/>
        <v>2</v>
      </c>
      <c r="O144" s="282">
        <v>2.2000000000000002</v>
      </c>
      <c r="P144" s="282">
        <f t="shared" si="101"/>
        <v>1.58</v>
      </c>
      <c r="Q144" s="282"/>
      <c r="R144" s="283">
        <f t="shared" si="102"/>
        <v>477</v>
      </c>
      <c r="S144" s="280">
        <f t="shared" si="82"/>
        <v>44.132075471698116</v>
      </c>
      <c r="T144" s="425">
        <f t="shared" si="83"/>
        <v>21051</v>
      </c>
      <c r="U144" s="284">
        <f t="shared" si="103"/>
        <v>21051</v>
      </c>
      <c r="V144" s="277">
        <v>20</v>
      </c>
      <c r="W144" s="285"/>
      <c r="X144" s="285">
        <f t="shared" si="84"/>
        <v>4210.2</v>
      </c>
      <c r="Y144" s="277"/>
      <c r="Z144" s="277"/>
      <c r="AA144" s="277"/>
      <c r="AB144" s="277"/>
      <c r="AC144" s="277"/>
      <c r="AD144" s="277"/>
      <c r="AE144" s="277"/>
      <c r="AF144" s="277"/>
      <c r="AG144" s="277"/>
      <c r="AH144" s="277"/>
      <c r="AI144" s="277"/>
      <c r="AJ144" s="277"/>
      <c r="AK144" s="277"/>
      <c r="AL144" s="277"/>
      <c r="AM144" s="285">
        <f>T144*AK144%*1</f>
        <v>0</v>
      </c>
      <c r="AN144" s="277"/>
      <c r="AO144" s="277"/>
      <c r="AP144" s="277"/>
      <c r="AQ144" s="284">
        <f t="shared" si="86"/>
        <v>4210.2</v>
      </c>
      <c r="AR144" s="277">
        <f t="shared" si="104"/>
        <v>20</v>
      </c>
      <c r="AS144" s="285">
        <f t="shared" si="87"/>
        <v>4210.2</v>
      </c>
      <c r="AT144" s="280">
        <f t="shared" si="105"/>
        <v>4210.2</v>
      </c>
      <c r="AU144" s="277"/>
      <c r="AV144" s="277">
        <v>100</v>
      </c>
      <c r="AW144" s="277">
        <f t="shared" si="88"/>
        <v>0</v>
      </c>
      <c r="AX144" s="277"/>
      <c r="AY144" s="285"/>
      <c r="AZ144" s="280"/>
      <c r="BA144" s="284">
        <f t="shared" si="89"/>
        <v>4210.2</v>
      </c>
      <c r="BB144" s="284">
        <f t="shared" si="90"/>
        <v>29471.4</v>
      </c>
      <c r="BC144" s="284">
        <f t="shared" si="91"/>
        <v>29471.4</v>
      </c>
      <c r="BD144" s="286">
        <f t="shared" si="92"/>
        <v>9823.8000000000011</v>
      </c>
      <c r="BE144" s="286"/>
      <c r="BF144" s="251">
        <f t="shared" si="93"/>
        <v>0</v>
      </c>
      <c r="BG144" s="251">
        <f t="shared" si="94"/>
        <v>0</v>
      </c>
      <c r="BH144" s="251">
        <f t="shared" si="95"/>
        <v>0</v>
      </c>
      <c r="BI144" s="251">
        <f t="shared" si="96"/>
        <v>0</v>
      </c>
      <c r="BJ144" s="251">
        <f t="shared" si="97"/>
        <v>0</v>
      </c>
      <c r="BK144" s="251">
        <f t="shared" si="98"/>
        <v>0</v>
      </c>
      <c r="BL144" s="251">
        <f t="shared" si="99"/>
        <v>29471.4</v>
      </c>
      <c r="BM144" s="251">
        <f t="shared" si="100"/>
        <v>0</v>
      </c>
    </row>
    <row r="145" spans="1:65" s="287" customFormat="1" x14ac:dyDescent="0.25">
      <c r="A145" s="276"/>
      <c r="B145" s="288" t="s">
        <v>222</v>
      </c>
      <c r="C145" s="425">
        <f>1</f>
        <v>1</v>
      </c>
      <c r="D145" s="279"/>
      <c r="E145" s="279"/>
      <c r="F145" s="279"/>
      <c r="G145" s="279"/>
      <c r="H145" s="279"/>
      <c r="I145" s="279"/>
      <c r="J145" s="279">
        <v>1</v>
      </c>
      <c r="K145" s="279"/>
      <c r="L145" s="277"/>
      <c r="M145" s="280">
        <f t="shared" ref="M145:M151" si="107">M$143</f>
        <v>3028</v>
      </c>
      <c r="N145" s="281">
        <f t="shared" si="106"/>
        <v>2</v>
      </c>
      <c r="O145" s="282">
        <v>2.2000000000000002</v>
      </c>
      <c r="P145" s="282">
        <f t="shared" si="101"/>
        <v>1.58</v>
      </c>
      <c r="Q145" s="282"/>
      <c r="R145" s="283">
        <f t="shared" si="102"/>
        <v>477</v>
      </c>
      <c r="S145" s="280">
        <f t="shared" si="82"/>
        <v>44.132075471698116</v>
      </c>
      <c r="T145" s="425">
        <f t="shared" si="83"/>
        <v>21051</v>
      </c>
      <c r="U145" s="284">
        <f t="shared" si="103"/>
        <v>21051</v>
      </c>
      <c r="V145" s="277">
        <v>20</v>
      </c>
      <c r="W145" s="285"/>
      <c r="X145" s="285">
        <f t="shared" si="84"/>
        <v>4210.2</v>
      </c>
      <c r="Y145" s="277"/>
      <c r="Z145" s="277"/>
      <c r="AA145" s="277"/>
      <c r="AB145" s="277"/>
      <c r="AC145" s="277"/>
      <c r="AD145" s="277"/>
      <c r="AE145" s="277"/>
      <c r="AF145" s="277"/>
      <c r="AG145" s="277"/>
      <c r="AH145" s="277"/>
      <c r="AI145" s="277"/>
      <c r="AJ145" s="277"/>
      <c r="AK145" s="277">
        <v>10</v>
      </c>
      <c r="AL145" s="277"/>
      <c r="AM145" s="285">
        <f t="shared" ref="AM145:AM150" si="108">T145*AK145%*1</f>
        <v>2105.1</v>
      </c>
      <c r="AN145" s="277"/>
      <c r="AO145" s="277"/>
      <c r="AP145" s="277"/>
      <c r="AQ145" s="284">
        <f t="shared" si="86"/>
        <v>6315.2999999999993</v>
      </c>
      <c r="AR145" s="277">
        <f t="shared" si="104"/>
        <v>20</v>
      </c>
      <c r="AS145" s="285">
        <f t="shared" si="87"/>
        <v>4210.2</v>
      </c>
      <c r="AT145" s="280">
        <f t="shared" si="105"/>
        <v>4210.2</v>
      </c>
      <c r="AU145" s="277"/>
      <c r="AV145" s="277">
        <v>100</v>
      </c>
      <c r="AW145" s="277">
        <f t="shared" si="88"/>
        <v>0</v>
      </c>
      <c r="AX145" s="277"/>
      <c r="AY145" s="285"/>
      <c r="AZ145" s="280"/>
      <c r="BA145" s="284">
        <f t="shared" si="89"/>
        <v>4210.2</v>
      </c>
      <c r="BB145" s="284">
        <f t="shared" si="90"/>
        <v>31576.5</v>
      </c>
      <c r="BC145" s="284">
        <f t="shared" si="91"/>
        <v>31576.5</v>
      </c>
      <c r="BD145" s="286">
        <f t="shared" si="92"/>
        <v>10525.5</v>
      </c>
      <c r="BE145" s="286"/>
      <c r="BF145" s="251">
        <f t="shared" si="93"/>
        <v>0</v>
      </c>
      <c r="BG145" s="251">
        <f t="shared" si="94"/>
        <v>0</v>
      </c>
      <c r="BH145" s="251">
        <f t="shared" si="95"/>
        <v>0</v>
      </c>
      <c r="BI145" s="251">
        <f t="shared" si="96"/>
        <v>0</v>
      </c>
      <c r="BJ145" s="251">
        <f t="shared" si="97"/>
        <v>0</v>
      </c>
      <c r="BK145" s="251">
        <f t="shared" si="98"/>
        <v>0</v>
      </c>
      <c r="BL145" s="251">
        <f t="shared" si="99"/>
        <v>31576.5</v>
      </c>
      <c r="BM145" s="251">
        <f t="shared" si="100"/>
        <v>0</v>
      </c>
    </row>
    <row r="146" spans="1:65" s="287" customFormat="1" x14ac:dyDescent="0.25">
      <c r="A146" s="276"/>
      <c r="B146" s="288" t="s">
        <v>223</v>
      </c>
      <c r="C146" s="278">
        <v>1</v>
      </c>
      <c r="D146" s="279"/>
      <c r="E146" s="279"/>
      <c r="F146" s="279"/>
      <c r="G146" s="279"/>
      <c r="H146" s="279"/>
      <c r="I146" s="279"/>
      <c r="J146" s="279">
        <v>1</v>
      </c>
      <c r="K146" s="279"/>
      <c r="L146" s="277"/>
      <c r="M146" s="280">
        <f t="shared" si="107"/>
        <v>3028</v>
      </c>
      <c r="N146" s="281">
        <f t="shared" si="106"/>
        <v>2</v>
      </c>
      <c r="O146" s="282">
        <v>2.2000000000000002</v>
      </c>
      <c r="P146" s="282">
        <f t="shared" si="101"/>
        <v>1.58</v>
      </c>
      <c r="Q146" s="282"/>
      <c r="R146" s="283">
        <f t="shared" si="102"/>
        <v>477</v>
      </c>
      <c r="S146" s="280">
        <f t="shared" si="82"/>
        <v>44.132075471698116</v>
      </c>
      <c r="T146" s="425">
        <f t="shared" si="83"/>
        <v>21051</v>
      </c>
      <c r="U146" s="284">
        <f t="shared" si="103"/>
        <v>21051</v>
      </c>
      <c r="V146" s="277">
        <v>20</v>
      </c>
      <c r="W146" s="285"/>
      <c r="X146" s="285">
        <f t="shared" si="84"/>
        <v>4210.2</v>
      </c>
      <c r="Y146" s="277"/>
      <c r="Z146" s="277"/>
      <c r="AA146" s="277"/>
      <c r="AB146" s="277"/>
      <c r="AC146" s="277"/>
      <c r="AD146" s="277"/>
      <c r="AE146" s="277"/>
      <c r="AF146" s="277"/>
      <c r="AG146" s="277"/>
      <c r="AH146" s="277"/>
      <c r="AI146" s="277"/>
      <c r="AJ146" s="277"/>
      <c r="AK146" s="277">
        <v>7</v>
      </c>
      <c r="AL146" s="277"/>
      <c r="AM146" s="285">
        <f t="shared" si="108"/>
        <v>1473.5700000000002</v>
      </c>
      <c r="AN146" s="277"/>
      <c r="AO146" s="277"/>
      <c r="AP146" s="277"/>
      <c r="AQ146" s="284">
        <f t="shared" si="86"/>
        <v>5683.77</v>
      </c>
      <c r="AR146" s="277">
        <f t="shared" si="104"/>
        <v>20</v>
      </c>
      <c r="AS146" s="277">
        <f t="shared" si="87"/>
        <v>4210.2</v>
      </c>
      <c r="AT146" s="283">
        <f t="shared" si="105"/>
        <v>4210.2</v>
      </c>
      <c r="AU146" s="277"/>
      <c r="AV146" s="277">
        <v>100</v>
      </c>
      <c r="AW146" s="277">
        <f t="shared" si="88"/>
        <v>0</v>
      </c>
      <c r="AX146" s="277"/>
      <c r="AY146" s="277"/>
      <c r="AZ146" s="283"/>
      <c r="BA146" s="284">
        <f t="shared" si="89"/>
        <v>4210.2</v>
      </c>
      <c r="BB146" s="284">
        <f t="shared" si="90"/>
        <v>30944.97</v>
      </c>
      <c r="BC146" s="284">
        <f t="shared" si="91"/>
        <v>30944.97</v>
      </c>
      <c r="BD146" s="286">
        <f t="shared" si="92"/>
        <v>10314.99</v>
      </c>
      <c r="BE146" s="286"/>
      <c r="BF146" s="251">
        <f t="shared" si="93"/>
        <v>0</v>
      </c>
      <c r="BG146" s="251">
        <f t="shared" si="94"/>
        <v>0</v>
      </c>
      <c r="BH146" s="251">
        <f t="shared" si="95"/>
        <v>0</v>
      </c>
      <c r="BI146" s="251">
        <f t="shared" si="96"/>
        <v>0</v>
      </c>
      <c r="BJ146" s="251">
        <f t="shared" si="97"/>
        <v>0</v>
      </c>
      <c r="BK146" s="251">
        <f t="shared" si="98"/>
        <v>0</v>
      </c>
      <c r="BL146" s="251">
        <f t="shared" si="99"/>
        <v>30944.97</v>
      </c>
      <c r="BM146" s="251">
        <f t="shared" si="100"/>
        <v>0</v>
      </c>
    </row>
    <row r="147" spans="1:65" s="287" customFormat="1" x14ac:dyDescent="0.25">
      <c r="A147" s="276"/>
      <c r="B147" s="288" t="s">
        <v>224</v>
      </c>
      <c r="C147" s="278">
        <v>1</v>
      </c>
      <c r="D147" s="279"/>
      <c r="E147" s="279"/>
      <c r="F147" s="279"/>
      <c r="G147" s="279"/>
      <c r="H147" s="279"/>
      <c r="I147" s="279"/>
      <c r="J147" s="279">
        <v>1</v>
      </c>
      <c r="K147" s="279"/>
      <c r="L147" s="277"/>
      <c r="M147" s="280">
        <f t="shared" si="107"/>
        <v>3028</v>
      </c>
      <c r="N147" s="281">
        <f t="shared" si="106"/>
        <v>2</v>
      </c>
      <c r="O147" s="282">
        <v>2</v>
      </c>
      <c r="P147" s="282">
        <f t="shared" si="101"/>
        <v>1.58</v>
      </c>
      <c r="Q147" s="282"/>
      <c r="R147" s="283">
        <f t="shared" si="102"/>
        <v>477</v>
      </c>
      <c r="S147" s="280">
        <f t="shared" si="82"/>
        <v>40.119496855345915</v>
      </c>
      <c r="T147" s="425">
        <f t="shared" si="83"/>
        <v>19137</v>
      </c>
      <c r="U147" s="284">
        <f t="shared" si="103"/>
        <v>19137</v>
      </c>
      <c r="V147" s="277">
        <v>20</v>
      </c>
      <c r="W147" s="285"/>
      <c r="X147" s="285">
        <f t="shared" si="84"/>
        <v>3827.4</v>
      </c>
      <c r="Y147" s="277"/>
      <c r="Z147" s="277"/>
      <c r="AA147" s="277"/>
      <c r="AB147" s="277"/>
      <c r="AC147" s="277"/>
      <c r="AD147" s="277"/>
      <c r="AE147" s="277"/>
      <c r="AF147" s="277"/>
      <c r="AG147" s="277"/>
      <c r="AH147" s="277"/>
      <c r="AI147" s="277"/>
      <c r="AJ147" s="277"/>
      <c r="AK147" s="277">
        <v>15</v>
      </c>
      <c r="AL147" s="277"/>
      <c r="AM147" s="285">
        <f t="shared" si="108"/>
        <v>2870.5499999999997</v>
      </c>
      <c r="AN147" s="277"/>
      <c r="AO147" s="277"/>
      <c r="AP147" s="277"/>
      <c r="AQ147" s="284">
        <f t="shared" si="86"/>
        <v>6697.95</v>
      </c>
      <c r="AR147" s="277">
        <f t="shared" si="104"/>
        <v>20</v>
      </c>
      <c r="AS147" s="277">
        <f t="shared" si="87"/>
        <v>3827.4</v>
      </c>
      <c r="AT147" s="283">
        <f t="shared" si="105"/>
        <v>3827.4</v>
      </c>
      <c r="AU147" s="277"/>
      <c r="AV147" s="277">
        <v>100</v>
      </c>
      <c r="AW147" s="277">
        <f t="shared" si="88"/>
        <v>0</v>
      </c>
      <c r="AX147" s="277"/>
      <c r="AY147" s="277"/>
      <c r="AZ147" s="283"/>
      <c r="BA147" s="284">
        <f t="shared" si="89"/>
        <v>3827.4</v>
      </c>
      <c r="BB147" s="284">
        <f t="shared" si="90"/>
        <v>29662.35</v>
      </c>
      <c r="BC147" s="284">
        <f t="shared" si="91"/>
        <v>29662.35</v>
      </c>
      <c r="BD147" s="286">
        <f t="shared" si="92"/>
        <v>9887.4499999999989</v>
      </c>
      <c r="BE147" s="286"/>
      <c r="BF147" s="251">
        <f t="shared" si="93"/>
        <v>0</v>
      </c>
      <c r="BG147" s="251">
        <f t="shared" si="94"/>
        <v>0</v>
      </c>
      <c r="BH147" s="251">
        <f t="shared" si="95"/>
        <v>0</v>
      </c>
      <c r="BI147" s="251">
        <f t="shared" si="96"/>
        <v>0</v>
      </c>
      <c r="BJ147" s="251">
        <f t="shared" si="97"/>
        <v>0</v>
      </c>
      <c r="BK147" s="251">
        <f t="shared" si="98"/>
        <v>0</v>
      </c>
      <c r="BL147" s="251">
        <f t="shared" si="99"/>
        <v>29662.35</v>
      </c>
      <c r="BM147" s="251">
        <f t="shared" si="100"/>
        <v>0</v>
      </c>
    </row>
    <row r="148" spans="1:65" s="287" customFormat="1" x14ac:dyDescent="0.25">
      <c r="A148" s="276"/>
      <c r="B148" s="288" t="s">
        <v>225</v>
      </c>
      <c r="C148" s="278">
        <v>1</v>
      </c>
      <c r="D148" s="279"/>
      <c r="E148" s="279"/>
      <c r="F148" s="279"/>
      <c r="G148" s="279"/>
      <c r="H148" s="279"/>
      <c r="I148" s="279"/>
      <c r="J148" s="279">
        <v>1</v>
      </c>
      <c r="K148" s="279"/>
      <c r="L148" s="277"/>
      <c r="M148" s="280">
        <f t="shared" si="107"/>
        <v>3028</v>
      </c>
      <c r="N148" s="281">
        <f t="shared" si="106"/>
        <v>2</v>
      </c>
      <c r="O148" s="303">
        <v>1.26</v>
      </c>
      <c r="P148" s="282">
        <f t="shared" si="101"/>
        <v>1.58</v>
      </c>
      <c r="Q148" s="282"/>
      <c r="R148" s="283">
        <f t="shared" si="102"/>
        <v>477</v>
      </c>
      <c r="S148" s="280">
        <f t="shared" si="82"/>
        <v>25.274633123689728</v>
      </c>
      <c r="T148" s="425">
        <f t="shared" si="83"/>
        <v>12056</v>
      </c>
      <c r="U148" s="284">
        <f t="shared" si="103"/>
        <v>12056</v>
      </c>
      <c r="V148" s="277">
        <v>20</v>
      </c>
      <c r="W148" s="285"/>
      <c r="X148" s="285">
        <f t="shared" si="84"/>
        <v>2411.2000000000003</v>
      </c>
      <c r="Y148" s="277"/>
      <c r="Z148" s="277"/>
      <c r="AA148" s="277"/>
      <c r="AB148" s="277"/>
      <c r="AC148" s="277"/>
      <c r="AD148" s="277"/>
      <c r="AE148" s="277"/>
      <c r="AF148" s="277"/>
      <c r="AG148" s="277"/>
      <c r="AH148" s="277"/>
      <c r="AI148" s="277"/>
      <c r="AJ148" s="277"/>
      <c r="AK148" s="277"/>
      <c r="AL148" s="277"/>
      <c r="AM148" s="285">
        <f t="shared" si="108"/>
        <v>0</v>
      </c>
      <c r="AN148" s="277"/>
      <c r="AO148" s="277"/>
      <c r="AP148" s="277"/>
      <c r="AQ148" s="284">
        <f t="shared" si="86"/>
        <v>2411.2000000000003</v>
      </c>
      <c r="AR148" s="277">
        <f t="shared" si="104"/>
        <v>20</v>
      </c>
      <c r="AS148" s="277">
        <f t="shared" si="87"/>
        <v>2411.2000000000003</v>
      </c>
      <c r="AT148" s="283">
        <f t="shared" si="105"/>
        <v>2411.2000000000003</v>
      </c>
      <c r="AU148" s="277"/>
      <c r="AV148" s="277">
        <v>100</v>
      </c>
      <c r="AW148" s="277">
        <f t="shared" si="88"/>
        <v>0</v>
      </c>
      <c r="AX148" s="277"/>
      <c r="AY148" s="277"/>
      <c r="AZ148" s="283"/>
      <c r="BA148" s="284">
        <f t="shared" si="89"/>
        <v>2411.2000000000003</v>
      </c>
      <c r="BB148" s="284">
        <f t="shared" si="90"/>
        <v>16878.400000000001</v>
      </c>
      <c r="BC148" s="284">
        <f t="shared" si="91"/>
        <v>16878.400000000001</v>
      </c>
      <c r="BD148" s="286">
        <f t="shared" si="92"/>
        <v>5626.1333333333341</v>
      </c>
      <c r="BE148" s="286"/>
      <c r="BF148" s="251">
        <f t="shared" si="93"/>
        <v>0</v>
      </c>
      <c r="BG148" s="251">
        <f t="shared" si="94"/>
        <v>0</v>
      </c>
      <c r="BH148" s="251">
        <f t="shared" si="95"/>
        <v>0</v>
      </c>
      <c r="BI148" s="251">
        <f t="shared" si="96"/>
        <v>0</v>
      </c>
      <c r="BJ148" s="251">
        <f t="shared" si="97"/>
        <v>0</v>
      </c>
      <c r="BK148" s="251">
        <f t="shared" si="98"/>
        <v>0</v>
      </c>
      <c r="BL148" s="251">
        <f t="shared" si="99"/>
        <v>16878.400000000001</v>
      </c>
      <c r="BM148" s="251">
        <f t="shared" si="100"/>
        <v>0</v>
      </c>
    </row>
    <row r="149" spans="1:65" s="287" customFormat="1" x14ac:dyDescent="0.25">
      <c r="A149" s="276"/>
      <c r="B149" s="288" t="s">
        <v>226</v>
      </c>
      <c r="C149" s="278">
        <v>1</v>
      </c>
      <c r="D149" s="279"/>
      <c r="E149" s="279"/>
      <c r="F149" s="279"/>
      <c r="G149" s="279"/>
      <c r="H149" s="279"/>
      <c r="I149" s="279"/>
      <c r="J149" s="279">
        <v>1</v>
      </c>
      <c r="K149" s="279"/>
      <c r="L149" s="277"/>
      <c r="M149" s="280">
        <f t="shared" si="107"/>
        <v>3028</v>
      </c>
      <c r="N149" s="281">
        <f t="shared" si="106"/>
        <v>2</v>
      </c>
      <c r="O149" s="282">
        <v>1.7</v>
      </c>
      <c r="P149" s="282">
        <f t="shared" si="101"/>
        <v>1.58</v>
      </c>
      <c r="Q149" s="282"/>
      <c r="R149" s="283">
        <f t="shared" si="102"/>
        <v>477</v>
      </c>
      <c r="S149" s="280">
        <f t="shared" si="82"/>
        <v>34.100628930817614</v>
      </c>
      <c r="T149" s="425">
        <f t="shared" si="83"/>
        <v>16266</v>
      </c>
      <c r="U149" s="284">
        <f t="shared" si="103"/>
        <v>16266</v>
      </c>
      <c r="V149" s="277">
        <v>20</v>
      </c>
      <c r="W149" s="285"/>
      <c r="X149" s="285">
        <f t="shared" si="84"/>
        <v>3253.2000000000003</v>
      </c>
      <c r="Y149" s="277"/>
      <c r="Z149" s="277"/>
      <c r="AA149" s="277"/>
      <c r="AB149" s="277"/>
      <c r="AC149" s="277"/>
      <c r="AD149" s="277"/>
      <c r="AE149" s="277"/>
      <c r="AF149" s="277"/>
      <c r="AG149" s="277"/>
      <c r="AH149" s="277"/>
      <c r="AI149" s="277"/>
      <c r="AJ149" s="277"/>
      <c r="AK149" s="277">
        <v>10</v>
      </c>
      <c r="AL149" s="277"/>
      <c r="AM149" s="285">
        <f t="shared" si="108"/>
        <v>1626.6000000000001</v>
      </c>
      <c r="AN149" s="277"/>
      <c r="AO149" s="277"/>
      <c r="AP149" s="277"/>
      <c r="AQ149" s="284">
        <f t="shared" si="86"/>
        <v>4879.8</v>
      </c>
      <c r="AR149" s="277">
        <f t="shared" si="104"/>
        <v>20</v>
      </c>
      <c r="AS149" s="277">
        <f t="shared" si="87"/>
        <v>3253.2000000000003</v>
      </c>
      <c r="AT149" s="283">
        <f t="shared" si="105"/>
        <v>3253.2000000000003</v>
      </c>
      <c r="AU149" s="277"/>
      <c r="AV149" s="277">
        <v>100</v>
      </c>
      <c r="AW149" s="277">
        <f t="shared" si="88"/>
        <v>0</v>
      </c>
      <c r="AX149" s="277"/>
      <c r="AY149" s="277"/>
      <c r="AZ149" s="283"/>
      <c r="BA149" s="284">
        <f t="shared" si="89"/>
        <v>3253.2000000000003</v>
      </c>
      <c r="BB149" s="284">
        <f t="shared" si="90"/>
        <v>24399</v>
      </c>
      <c r="BC149" s="284">
        <f t="shared" si="91"/>
        <v>24399</v>
      </c>
      <c r="BD149" s="286">
        <f t="shared" si="92"/>
        <v>8133</v>
      </c>
      <c r="BE149" s="286"/>
      <c r="BF149" s="251">
        <f t="shared" si="93"/>
        <v>0</v>
      </c>
      <c r="BG149" s="251">
        <f t="shared" si="94"/>
        <v>0</v>
      </c>
      <c r="BH149" s="251">
        <f t="shared" si="95"/>
        <v>0</v>
      </c>
      <c r="BI149" s="251">
        <f t="shared" si="96"/>
        <v>0</v>
      </c>
      <c r="BJ149" s="251">
        <f t="shared" si="97"/>
        <v>0</v>
      </c>
      <c r="BK149" s="251">
        <f t="shared" si="98"/>
        <v>0</v>
      </c>
      <c r="BL149" s="251">
        <f t="shared" si="99"/>
        <v>24399</v>
      </c>
      <c r="BM149" s="251">
        <f t="shared" si="100"/>
        <v>0</v>
      </c>
    </row>
    <row r="150" spans="1:65" s="287" customFormat="1" x14ac:dyDescent="0.25">
      <c r="A150" s="276"/>
      <c r="B150" s="288" t="s">
        <v>227</v>
      </c>
      <c r="C150" s="278">
        <v>1</v>
      </c>
      <c r="D150" s="279"/>
      <c r="E150" s="279"/>
      <c r="F150" s="279"/>
      <c r="G150" s="279"/>
      <c r="H150" s="279"/>
      <c r="I150" s="279"/>
      <c r="J150" s="279">
        <v>1</v>
      </c>
      <c r="K150" s="279"/>
      <c r="L150" s="277"/>
      <c r="M150" s="280">
        <f t="shared" si="107"/>
        <v>3028</v>
      </c>
      <c r="N150" s="281">
        <f t="shared" si="106"/>
        <v>2</v>
      </c>
      <c r="O150" s="295">
        <v>1.6</v>
      </c>
      <c r="P150" s="282">
        <f t="shared" si="101"/>
        <v>1.58</v>
      </c>
      <c r="Q150" s="282"/>
      <c r="R150" s="283">
        <f t="shared" si="102"/>
        <v>477</v>
      </c>
      <c r="S150" s="280">
        <f t="shared" si="82"/>
        <v>32.096436058700206</v>
      </c>
      <c r="T150" s="425">
        <f t="shared" si="83"/>
        <v>15310</v>
      </c>
      <c r="U150" s="284">
        <f t="shared" si="103"/>
        <v>15310</v>
      </c>
      <c r="V150" s="277">
        <v>20</v>
      </c>
      <c r="W150" s="285"/>
      <c r="X150" s="285">
        <f t="shared" si="84"/>
        <v>3062</v>
      </c>
      <c r="Y150" s="277"/>
      <c r="Z150" s="277"/>
      <c r="AA150" s="277"/>
      <c r="AB150" s="277"/>
      <c r="AC150" s="277"/>
      <c r="AD150" s="277"/>
      <c r="AE150" s="277"/>
      <c r="AF150" s="277"/>
      <c r="AG150" s="277"/>
      <c r="AH150" s="277"/>
      <c r="AI150" s="277"/>
      <c r="AJ150" s="277"/>
      <c r="AK150" s="277">
        <v>7</v>
      </c>
      <c r="AL150" s="277"/>
      <c r="AM150" s="285">
        <f t="shared" si="108"/>
        <v>1071.7</v>
      </c>
      <c r="AN150" s="277"/>
      <c r="AO150" s="277"/>
      <c r="AP150" s="277"/>
      <c r="AQ150" s="284">
        <f t="shared" si="86"/>
        <v>4133.7</v>
      </c>
      <c r="AR150" s="277">
        <f t="shared" si="104"/>
        <v>20</v>
      </c>
      <c r="AS150" s="277">
        <f t="shared" si="87"/>
        <v>3062</v>
      </c>
      <c r="AT150" s="283">
        <f t="shared" si="105"/>
        <v>3062</v>
      </c>
      <c r="AU150" s="277"/>
      <c r="AV150" s="277">
        <v>100</v>
      </c>
      <c r="AW150" s="277">
        <f t="shared" si="88"/>
        <v>0</v>
      </c>
      <c r="AX150" s="277"/>
      <c r="AY150" s="277"/>
      <c r="AZ150" s="283"/>
      <c r="BA150" s="284">
        <f t="shared" si="89"/>
        <v>3062</v>
      </c>
      <c r="BB150" s="284">
        <f t="shared" si="90"/>
        <v>22505.7</v>
      </c>
      <c r="BC150" s="284">
        <f t="shared" si="91"/>
        <v>22505.7</v>
      </c>
      <c r="BD150" s="286">
        <f t="shared" si="92"/>
        <v>7501.9000000000005</v>
      </c>
      <c r="BE150" s="286"/>
      <c r="BF150" s="251">
        <f t="shared" si="93"/>
        <v>0</v>
      </c>
      <c r="BG150" s="251">
        <f t="shared" si="94"/>
        <v>0</v>
      </c>
      <c r="BH150" s="251">
        <f t="shared" si="95"/>
        <v>0</v>
      </c>
      <c r="BI150" s="251">
        <f t="shared" si="96"/>
        <v>0</v>
      </c>
      <c r="BJ150" s="251">
        <f t="shared" si="97"/>
        <v>0</v>
      </c>
      <c r="BK150" s="251">
        <f t="shared" si="98"/>
        <v>0</v>
      </c>
      <c r="BL150" s="251">
        <f t="shared" si="99"/>
        <v>22505.7</v>
      </c>
      <c r="BM150" s="251">
        <f t="shared" si="100"/>
        <v>0</v>
      </c>
    </row>
    <row r="151" spans="1:65" s="301" customFormat="1" ht="25.5" customHeight="1" x14ac:dyDescent="0.25">
      <c r="A151" s="289"/>
      <c r="B151" s="290" t="s">
        <v>228</v>
      </c>
      <c r="C151" s="291">
        <v>1</v>
      </c>
      <c r="D151" s="292"/>
      <c r="E151" s="292"/>
      <c r="F151" s="292"/>
      <c r="G151" s="292"/>
      <c r="H151" s="292"/>
      <c r="I151" s="292"/>
      <c r="J151" s="292">
        <v>1</v>
      </c>
      <c r="K151" s="292"/>
      <c r="L151" s="293"/>
      <c r="M151" s="280">
        <f t="shared" si="107"/>
        <v>3028</v>
      </c>
      <c r="N151" s="429">
        <f t="shared" si="106"/>
        <v>2</v>
      </c>
      <c r="O151" s="430">
        <v>1.1000000000000001</v>
      </c>
      <c r="P151" s="430">
        <v>1</v>
      </c>
      <c r="Q151" s="295"/>
      <c r="R151" s="296">
        <f t="shared" si="102"/>
        <v>477</v>
      </c>
      <c r="S151" s="294">
        <f t="shared" si="82"/>
        <v>13.966457023060796</v>
      </c>
      <c r="T151" s="291">
        <f t="shared" si="83"/>
        <v>6662</v>
      </c>
      <c r="U151" s="297">
        <f t="shared" si="103"/>
        <v>6662</v>
      </c>
      <c r="V151" s="293">
        <v>0</v>
      </c>
      <c r="W151" s="298"/>
      <c r="X151" s="298">
        <f t="shared" si="84"/>
        <v>0</v>
      </c>
      <c r="Y151" s="293"/>
      <c r="Z151" s="293"/>
      <c r="AA151" s="293"/>
      <c r="AB151" s="293"/>
      <c r="AC151" s="293"/>
      <c r="AD151" s="293"/>
      <c r="AE151" s="293"/>
      <c r="AF151" s="293"/>
      <c r="AG151" s="293"/>
      <c r="AH151" s="293"/>
      <c r="AI151" s="293"/>
      <c r="AJ151" s="293"/>
      <c r="AK151" s="277">
        <v>7</v>
      </c>
      <c r="AL151" s="293"/>
      <c r="AM151" s="298">
        <f>T151*AK151%*1</f>
        <v>466.34000000000003</v>
      </c>
      <c r="AN151" s="293"/>
      <c r="AO151" s="293"/>
      <c r="AP151" s="293"/>
      <c r="AQ151" s="297">
        <f t="shared" si="86"/>
        <v>466.34000000000003</v>
      </c>
      <c r="AR151" s="293">
        <f t="shared" si="104"/>
        <v>20</v>
      </c>
      <c r="AS151" s="298">
        <f>AT151/C151</f>
        <v>1332.4</v>
      </c>
      <c r="AT151" s="294">
        <f>(U151)*AR151%</f>
        <v>1332.4</v>
      </c>
      <c r="AU151" s="293"/>
      <c r="AV151" s="293">
        <v>100</v>
      </c>
      <c r="AW151" s="293">
        <f>AU151*T151</f>
        <v>0</v>
      </c>
      <c r="AX151" s="293"/>
      <c r="AY151" s="298"/>
      <c r="AZ151" s="431"/>
      <c r="BA151" s="297">
        <f t="shared" si="89"/>
        <v>1332.4</v>
      </c>
      <c r="BB151" s="297">
        <f>BC151/C151</f>
        <v>8460.74</v>
      </c>
      <c r="BC151" s="297">
        <f>BA151+AQ151+U151</f>
        <v>8460.74</v>
      </c>
      <c r="BD151" s="299">
        <f t="shared" si="92"/>
        <v>2820.2466666666664</v>
      </c>
      <c r="BE151" s="299"/>
      <c r="BF151" s="300">
        <f>IF(D151=1,BC151,0)</f>
        <v>0</v>
      </c>
      <c r="BG151" s="300">
        <f>IF(E151=1,BC151,0)</f>
        <v>0</v>
      </c>
      <c r="BH151" s="300">
        <f>IF(F151=1,BC151,0)</f>
        <v>0</v>
      </c>
      <c r="BI151" s="300">
        <f>IF(G151=1,BC151,0)</f>
        <v>0</v>
      </c>
      <c r="BJ151" s="300">
        <f>IF(H151=1,BC151,0)</f>
        <v>0</v>
      </c>
      <c r="BK151" s="300">
        <f>IF(I151=1,BC151,0)</f>
        <v>0</v>
      </c>
      <c r="BL151" s="300">
        <f>IF(J151=1,BC151,0)</f>
        <v>8460.74</v>
      </c>
      <c r="BM151" s="300">
        <f>IF(K151=1,BC151,0)</f>
        <v>0</v>
      </c>
    </row>
    <row r="152" spans="1:65" s="287" customFormat="1" x14ac:dyDescent="0.25">
      <c r="A152" s="276"/>
      <c r="B152" s="288"/>
      <c r="C152" s="305"/>
      <c r="D152" s="279"/>
      <c r="E152" s="279"/>
      <c r="F152" s="279"/>
      <c r="G152" s="279"/>
      <c r="H152" s="279"/>
      <c r="I152" s="279"/>
      <c r="J152" s="279"/>
      <c r="K152" s="279"/>
      <c r="L152" s="277"/>
      <c r="M152" s="280"/>
      <c r="N152" s="281"/>
      <c r="O152" s="277"/>
      <c r="P152" s="282"/>
      <c r="Q152" s="277"/>
      <c r="R152" s="283"/>
      <c r="S152" s="280"/>
      <c r="T152" s="425"/>
      <c r="U152" s="284"/>
      <c r="V152" s="277"/>
      <c r="W152" s="285"/>
      <c r="X152" s="285"/>
      <c r="Y152" s="277"/>
      <c r="Z152" s="277"/>
      <c r="AA152" s="277"/>
      <c r="AB152" s="277"/>
      <c r="AC152" s="277"/>
      <c r="AD152" s="277"/>
      <c r="AE152" s="277"/>
      <c r="AF152" s="277"/>
      <c r="AG152" s="277"/>
      <c r="AH152" s="277"/>
      <c r="AI152" s="277"/>
      <c r="AJ152" s="277"/>
      <c r="AK152" s="277"/>
      <c r="AL152" s="277"/>
      <c r="AM152" s="285"/>
      <c r="AN152" s="277"/>
      <c r="AO152" s="277"/>
      <c r="AP152" s="277"/>
      <c r="AQ152" s="284">
        <f t="shared" si="86"/>
        <v>0</v>
      </c>
      <c r="AR152" s="277"/>
      <c r="AS152" s="277"/>
      <c r="AT152" s="283"/>
      <c r="AU152" s="277"/>
      <c r="AV152" s="277"/>
      <c r="AW152" s="277"/>
      <c r="AX152" s="277"/>
      <c r="AY152" s="277"/>
      <c r="AZ152" s="283"/>
      <c r="BA152" s="284"/>
      <c r="BB152" s="284"/>
      <c r="BC152" s="284"/>
      <c r="BD152" s="286"/>
      <c r="BE152" s="286"/>
      <c r="BF152" s="251"/>
      <c r="BG152" s="251"/>
      <c r="BH152" s="251"/>
      <c r="BI152" s="251"/>
      <c r="BJ152" s="251"/>
      <c r="BK152" s="251"/>
      <c r="BL152" s="251"/>
      <c r="BM152" s="251"/>
    </row>
    <row r="153" spans="1:65" s="316" customFormat="1" ht="14.25" x14ac:dyDescent="0.25">
      <c r="A153" s="306"/>
      <c r="B153" s="307" t="s">
        <v>229</v>
      </c>
      <c r="C153" s="308">
        <f>SUM(C136:C152)</f>
        <v>19</v>
      </c>
      <c r="D153" s="309"/>
      <c r="E153" s="309"/>
      <c r="F153" s="309"/>
      <c r="G153" s="309"/>
      <c r="H153" s="309"/>
      <c r="I153" s="309"/>
      <c r="J153" s="309"/>
      <c r="K153" s="309"/>
      <c r="L153" s="309"/>
      <c r="M153" s="310"/>
      <c r="N153" s="309"/>
      <c r="O153" s="309"/>
      <c r="P153" s="309"/>
      <c r="Q153" s="309"/>
      <c r="R153" s="310"/>
      <c r="S153" s="310"/>
      <c r="T153" s="349">
        <f>U153/1</f>
        <v>429303</v>
      </c>
      <c r="U153" s="312">
        <f>SUM(U136:U152)</f>
        <v>429303</v>
      </c>
      <c r="V153" s="309"/>
      <c r="W153" s="309"/>
      <c r="X153" s="312">
        <f>SUM(X136:X152)</f>
        <v>88843.599999999991</v>
      </c>
      <c r="Y153" s="312"/>
      <c r="Z153" s="312">
        <f>SUM(Z136:Z152)</f>
        <v>0</v>
      </c>
      <c r="AA153" s="312">
        <f>SUM(AA136:AA152)</f>
        <v>0</v>
      </c>
      <c r="AB153" s="312"/>
      <c r="AC153" s="312"/>
      <c r="AD153" s="312">
        <f>SUM(AD136:AD152)</f>
        <v>0</v>
      </c>
      <c r="AE153" s="312"/>
      <c r="AF153" s="312">
        <f>SUM(AF136:AF152)</f>
        <v>0</v>
      </c>
      <c r="AG153" s="312">
        <f>SUM(AG136:AG152)</f>
        <v>0</v>
      </c>
      <c r="AH153" s="312"/>
      <c r="AI153" s="312">
        <f>SUM(AI136:AI152)</f>
        <v>0</v>
      </c>
      <c r="AJ153" s="312">
        <f>SUM(AJ136:AJ152)</f>
        <v>0</v>
      </c>
      <c r="AK153" s="312"/>
      <c r="AL153" s="312">
        <f>SUM(AL136:AL152)</f>
        <v>0</v>
      </c>
      <c r="AM153" s="312">
        <f>SUM(AM136:AM152)</f>
        <v>27981.53</v>
      </c>
      <c r="AN153" s="312"/>
      <c r="AO153" s="312">
        <f>SUM(AO136:AO152)</f>
        <v>0</v>
      </c>
      <c r="AP153" s="312">
        <f>SUM(AP136:AP152)</f>
        <v>0</v>
      </c>
      <c r="AQ153" s="312">
        <f>SUM(AQ136:AQ152)</f>
        <v>116825.13</v>
      </c>
      <c r="AR153" s="312"/>
      <c r="AS153" s="312">
        <f>SUM(AS136:AS152)</f>
        <v>65766.799999999988</v>
      </c>
      <c r="AT153" s="312">
        <f>SUM(AT136:AT152)</f>
        <v>77248.999999999985</v>
      </c>
      <c r="AU153" s="312">
        <f>SUM(AU136:AU152)</f>
        <v>0</v>
      </c>
      <c r="AV153" s="312"/>
      <c r="AW153" s="312">
        <f>SUM(AW136:AW152)</f>
        <v>0</v>
      </c>
      <c r="AX153" s="312"/>
      <c r="AY153" s="312">
        <f>SUM(AY136:AY152)</f>
        <v>0</v>
      </c>
      <c r="AZ153" s="312">
        <f>SUM(AZ136:AZ152)</f>
        <v>0</v>
      </c>
      <c r="BA153" s="312">
        <f>SUM(BA136:BA152)</f>
        <v>77248.999999999985</v>
      </c>
      <c r="BB153" s="312">
        <f>BC153/C153</f>
        <v>32809.322631578951</v>
      </c>
      <c r="BC153" s="312">
        <f>SUM(BC136:BC152)</f>
        <v>623377.13</v>
      </c>
      <c r="BD153" s="286">
        <f>BC153/C153/3</f>
        <v>10936.440877192983</v>
      </c>
      <c r="BE153" s="314"/>
      <c r="BF153" s="315">
        <f t="shared" ref="BF153:BM153" si="109">SUM(BF136:BF152)</f>
        <v>0</v>
      </c>
      <c r="BG153" s="315">
        <f t="shared" si="109"/>
        <v>0</v>
      </c>
      <c r="BH153" s="315">
        <f t="shared" si="109"/>
        <v>0</v>
      </c>
      <c r="BI153" s="315">
        <f t="shared" si="109"/>
        <v>0</v>
      </c>
      <c r="BJ153" s="315">
        <f t="shared" si="109"/>
        <v>0</v>
      </c>
      <c r="BK153" s="315">
        <f t="shared" si="109"/>
        <v>0</v>
      </c>
      <c r="BL153" s="315">
        <f t="shared" si="109"/>
        <v>623377.13</v>
      </c>
      <c r="BM153" s="315">
        <f t="shared" si="109"/>
        <v>0</v>
      </c>
    </row>
    <row r="154" spans="1:65" s="287" customFormat="1" ht="30" customHeight="1" x14ac:dyDescent="0.25">
      <c r="A154" s="276"/>
      <c r="B154" s="317"/>
      <c r="C154" s="318"/>
      <c r="D154" s="319"/>
      <c r="E154" s="319"/>
      <c r="F154" s="319"/>
      <c r="G154" s="319"/>
      <c r="H154" s="319"/>
      <c r="I154" s="319"/>
      <c r="J154" s="319"/>
      <c r="K154" s="319"/>
      <c r="L154" s="319"/>
      <c r="M154" s="320"/>
      <c r="N154" s="319"/>
      <c r="O154" s="319"/>
      <c r="P154" s="319"/>
      <c r="Q154" s="319"/>
      <c r="R154" s="320"/>
      <c r="S154" s="320"/>
      <c r="T154" s="432"/>
      <c r="U154" s="321"/>
      <c r="V154" s="319"/>
      <c r="W154" s="319"/>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19"/>
      <c r="AS154" s="319"/>
      <c r="AT154" s="320"/>
      <c r="AU154" s="319"/>
      <c r="AV154" s="319"/>
      <c r="AW154" s="319"/>
      <c r="AX154" s="319"/>
      <c r="AY154" s="319"/>
      <c r="AZ154" s="320"/>
      <c r="BA154" s="321"/>
      <c r="BB154" s="321"/>
      <c r="BC154" s="322"/>
      <c r="BD154" s="286"/>
      <c r="BE154" s="314"/>
      <c r="BF154" s="323"/>
      <c r="BG154" s="323"/>
      <c r="BH154" s="323"/>
      <c r="BI154" s="323"/>
      <c r="BJ154" s="323"/>
      <c r="BK154" s="323"/>
      <c r="BL154" s="323"/>
      <c r="BM154" s="323"/>
    </row>
    <row r="155" spans="1:65" s="275" customFormat="1" ht="21" customHeight="1" x14ac:dyDescent="0.25">
      <c r="A155" s="270" t="s">
        <v>230</v>
      </c>
      <c r="B155" s="324" t="s">
        <v>231</v>
      </c>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2"/>
      <c r="AY155" s="272"/>
      <c r="AZ155" s="272"/>
      <c r="BA155" s="272"/>
      <c r="BB155" s="272"/>
      <c r="BC155" s="273"/>
      <c r="BD155" s="286"/>
      <c r="BE155" s="274"/>
    </row>
    <row r="156" spans="1:65" s="275" customFormat="1" ht="14.25" x14ac:dyDescent="0.25">
      <c r="A156" s="270"/>
      <c r="B156" s="271" t="s">
        <v>232</v>
      </c>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2"/>
      <c r="BC156" s="273"/>
      <c r="BD156" s="286"/>
      <c r="BE156" s="274"/>
    </row>
    <row r="157" spans="1:65" s="275" customFormat="1" ht="19.5" customHeight="1" x14ac:dyDescent="0.25">
      <c r="A157" s="270"/>
      <c r="B157" s="325" t="s">
        <v>233</v>
      </c>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c r="BB157" s="326"/>
      <c r="BC157" s="327"/>
      <c r="BD157" s="286"/>
      <c r="BE157" s="274"/>
    </row>
    <row r="158" spans="1:65" s="287" customFormat="1" x14ac:dyDescent="0.25">
      <c r="A158" s="276"/>
      <c r="B158" s="288" t="s">
        <v>234</v>
      </c>
      <c r="C158" s="278">
        <v>1</v>
      </c>
      <c r="D158" s="279"/>
      <c r="E158" s="279"/>
      <c r="F158" s="328"/>
      <c r="G158" s="328"/>
      <c r="H158" s="279">
        <v>1</v>
      </c>
      <c r="I158" s="328"/>
      <c r="J158" s="279"/>
      <c r="K158" s="279"/>
      <c r="L158" s="277"/>
      <c r="M158" s="280">
        <f>M$143</f>
        <v>3028</v>
      </c>
      <c r="N158" s="281">
        <f>N$136</f>
        <v>2</v>
      </c>
      <c r="O158" s="277">
        <v>2.2999999999999998</v>
      </c>
      <c r="P158" s="282">
        <f t="shared" ref="P158:P163" si="110">P$244</f>
        <v>1.58</v>
      </c>
      <c r="Q158" s="277"/>
      <c r="R158" s="283">
        <f t="shared" ref="R158:R163" si="111">$R$244</f>
        <v>477</v>
      </c>
      <c r="S158" s="280">
        <f t="shared" ref="S158:S163" si="112">T158/(R158/1)</f>
        <v>46.138364779874216</v>
      </c>
      <c r="T158" s="425">
        <f t="shared" ref="T158:T163" si="113">ROUND(M158*N158*O158*P158,0)</f>
        <v>22008</v>
      </c>
      <c r="U158" s="284">
        <f t="shared" ref="U158:U163" si="114">T158*C158*1</f>
        <v>22008</v>
      </c>
      <c r="V158" s="277">
        <v>30</v>
      </c>
      <c r="W158" s="285"/>
      <c r="X158" s="285">
        <f t="shared" ref="X158:X163" si="115">U158*V158%</f>
        <v>6602.4</v>
      </c>
      <c r="Y158" s="277"/>
      <c r="Z158" s="277"/>
      <c r="AA158" s="277"/>
      <c r="AB158" s="277"/>
      <c r="AC158" s="277"/>
      <c r="AD158" s="277"/>
      <c r="AE158" s="277"/>
      <c r="AF158" s="277"/>
      <c r="AG158" s="277"/>
      <c r="AH158" s="277"/>
      <c r="AI158" s="277"/>
      <c r="AJ158" s="277"/>
      <c r="AK158" s="277">
        <v>7</v>
      </c>
      <c r="AL158" s="277"/>
      <c r="AM158" s="285">
        <f t="shared" ref="AM158:AM163" si="116">T158*AK158%*1</f>
        <v>1540.5600000000002</v>
      </c>
      <c r="AN158" s="277"/>
      <c r="AO158" s="277"/>
      <c r="AP158" s="285"/>
      <c r="AQ158" s="284">
        <f t="shared" ref="AQ158:AQ163" si="117">X158+AA158+AD158+AG158+AJ158+AM158+AP158</f>
        <v>8142.96</v>
      </c>
      <c r="AR158" s="277">
        <f>AR$29</f>
        <v>20</v>
      </c>
      <c r="AS158" s="277">
        <f t="shared" ref="AS158:AS163" si="118">AT158/C158</f>
        <v>4401.6000000000004</v>
      </c>
      <c r="AT158" s="283">
        <f t="shared" ref="AT158:AT163" si="119">(U158)*AR158%</f>
        <v>4401.6000000000004</v>
      </c>
      <c r="AU158" s="277"/>
      <c r="AV158" s="277">
        <v>100</v>
      </c>
      <c r="AW158" s="277">
        <f t="shared" ref="AW158:AW163" si="120">AU158*T158</f>
        <v>0</v>
      </c>
      <c r="AX158" s="277"/>
      <c r="AY158" s="277"/>
      <c r="AZ158" s="283"/>
      <c r="BA158" s="284">
        <f t="shared" ref="BA158:BA163" si="121">AT158+AW158+AZ158</f>
        <v>4401.6000000000004</v>
      </c>
      <c r="BB158" s="284">
        <f t="shared" ref="BB158:BB163" si="122">BC158/C158</f>
        <v>34552.559999999998</v>
      </c>
      <c r="BC158" s="284">
        <f t="shared" ref="BC158:BC163" si="123">BA158+AQ158+U158</f>
        <v>34552.559999999998</v>
      </c>
      <c r="BD158" s="286">
        <f t="shared" ref="BD158:BD164" si="124">BC158/C158/3</f>
        <v>11517.519999999999</v>
      </c>
      <c r="BE158" s="286"/>
      <c r="BF158" s="241">
        <f>IF(D158=1,BC158,0)</f>
        <v>0</v>
      </c>
      <c r="BG158" s="241">
        <f>IF(E158=1,BC158,0)</f>
        <v>0</v>
      </c>
      <c r="BH158" s="241">
        <f>IF(F158=1,BC158,0)</f>
        <v>0</v>
      </c>
      <c r="BI158" s="241">
        <f>IF(G158=1,BC158,0)</f>
        <v>0</v>
      </c>
      <c r="BJ158" s="251">
        <f>IF(H158=1,BC158,0)</f>
        <v>34552.559999999998</v>
      </c>
      <c r="BK158" s="251">
        <f>IF(I158=1,BC158,0)</f>
        <v>0</v>
      </c>
      <c r="BL158" s="251">
        <f>IF(J158=1,BC158,0)</f>
        <v>0</v>
      </c>
      <c r="BM158" s="241">
        <f>IF(K158=1,BC158,0)</f>
        <v>0</v>
      </c>
    </row>
    <row r="159" spans="1:65" s="287" customFormat="1" x14ac:dyDescent="0.25">
      <c r="A159" s="276"/>
      <c r="B159" s="290" t="s">
        <v>235</v>
      </c>
      <c r="C159" s="278">
        <v>1</v>
      </c>
      <c r="D159" s="279"/>
      <c r="E159" s="279"/>
      <c r="F159" s="328"/>
      <c r="G159" s="328"/>
      <c r="H159" s="279">
        <v>1</v>
      </c>
      <c r="I159" s="328"/>
      <c r="J159" s="279"/>
      <c r="K159" s="279"/>
      <c r="L159" s="277"/>
      <c r="M159" s="280">
        <f>M$35</f>
        <v>3028</v>
      </c>
      <c r="N159" s="281">
        <f>N$29</f>
        <v>2</v>
      </c>
      <c r="O159" s="293">
        <v>2</v>
      </c>
      <c r="P159" s="282">
        <f t="shared" si="110"/>
        <v>1.58</v>
      </c>
      <c r="Q159" s="277"/>
      <c r="R159" s="283">
        <f t="shared" si="111"/>
        <v>477</v>
      </c>
      <c r="S159" s="280">
        <f t="shared" si="112"/>
        <v>40.119496855345915</v>
      </c>
      <c r="T159" s="425">
        <f t="shared" si="113"/>
        <v>19137</v>
      </c>
      <c r="U159" s="284">
        <f t="shared" si="114"/>
        <v>19137</v>
      </c>
      <c r="V159" s="277">
        <v>20</v>
      </c>
      <c r="W159" s="285"/>
      <c r="X159" s="285">
        <f t="shared" si="115"/>
        <v>3827.4</v>
      </c>
      <c r="Y159" s="277"/>
      <c r="Z159" s="277"/>
      <c r="AA159" s="277"/>
      <c r="AB159" s="277"/>
      <c r="AC159" s="277"/>
      <c r="AD159" s="277"/>
      <c r="AE159" s="277"/>
      <c r="AF159" s="277"/>
      <c r="AG159" s="277"/>
      <c r="AH159" s="277"/>
      <c r="AI159" s="277"/>
      <c r="AJ159" s="277"/>
      <c r="AK159" s="277">
        <v>15</v>
      </c>
      <c r="AL159" s="277"/>
      <c r="AM159" s="285">
        <f t="shared" si="116"/>
        <v>2870.5499999999997</v>
      </c>
      <c r="AN159" s="277"/>
      <c r="AO159" s="277"/>
      <c r="AP159" s="285"/>
      <c r="AQ159" s="284">
        <f t="shared" si="117"/>
        <v>6697.95</v>
      </c>
      <c r="AR159" s="277">
        <f>AR$29</f>
        <v>20</v>
      </c>
      <c r="AS159" s="277">
        <f t="shared" si="118"/>
        <v>3827.4</v>
      </c>
      <c r="AT159" s="283">
        <f t="shared" si="119"/>
        <v>3827.4</v>
      </c>
      <c r="AU159" s="277">
        <v>1</v>
      </c>
      <c r="AV159" s="277">
        <v>100</v>
      </c>
      <c r="AW159" s="277">
        <f t="shared" si="120"/>
        <v>19137</v>
      </c>
      <c r="AX159" s="277"/>
      <c r="AY159" s="277"/>
      <c r="AZ159" s="283"/>
      <c r="BA159" s="284">
        <f t="shared" si="121"/>
        <v>22964.400000000001</v>
      </c>
      <c r="BB159" s="284">
        <f t="shared" si="122"/>
        <v>48799.350000000006</v>
      </c>
      <c r="BC159" s="284">
        <f t="shared" si="123"/>
        <v>48799.350000000006</v>
      </c>
      <c r="BD159" s="286">
        <f t="shared" si="124"/>
        <v>16266.450000000003</v>
      </c>
      <c r="BE159" s="286"/>
      <c r="BF159" s="241"/>
      <c r="BG159" s="241"/>
      <c r="BH159" s="241"/>
      <c r="BI159" s="241"/>
      <c r="BJ159" s="251"/>
      <c r="BK159" s="251"/>
      <c r="BL159" s="251"/>
      <c r="BM159" s="241"/>
    </row>
    <row r="160" spans="1:65" s="287" customFormat="1" ht="28.5" x14ac:dyDescent="0.25">
      <c r="A160" s="276"/>
      <c r="B160" s="288" t="s">
        <v>236</v>
      </c>
      <c r="C160" s="278">
        <v>1</v>
      </c>
      <c r="D160" s="279"/>
      <c r="E160" s="279"/>
      <c r="F160" s="328"/>
      <c r="G160" s="328"/>
      <c r="H160" s="279">
        <v>1</v>
      </c>
      <c r="I160" s="328"/>
      <c r="J160" s="279"/>
      <c r="K160" s="279"/>
      <c r="L160" s="277"/>
      <c r="M160" s="280">
        <f>M$35</f>
        <v>3028</v>
      </c>
      <c r="N160" s="281">
        <f>N$29</f>
        <v>2</v>
      </c>
      <c r="O160" s="277">
        <v>1.9</v>
      </c>
      <c r="P160" s="282">
        <f t="shared" si="110"/>
        <v>1.58</v>
      </c>
      <c r="Q160" s="277"/>
      <c r="R160" s="283">
        <f t="shared" si="111"/>
        <v>477</v>
      </c>
      <c r="S160" s="280">
        <f t="shared" si="112"/>
        <v>38.113207547169814</v>
      </c>
      <c r="T160" s="425">
        <f t="shared" si="113"/>
        <v>18180</v>
      </c>
      <c r="U160" s="284">
        <f t="shared" si="114"/>
        <v>18180</v>
      </c>
      <c r="V160" s="277">
        <v>20</v>
      </c>
      <c r="W160" s="285"/>
      <c r="X160" s="285">
        <f t="shared" si="115"/>
        <v>3636</v>
      </c>
      <c r="Y160" s="277"/>
      <c r="Z160" s="277"/>
      <c r="AA160" s="277"/>
      <c r="AB160" s="277"/>
      <c r="AC160" s="277"/>
      <c r="AD160" s="277"/>
      <c r="AE160" s="277"/>
      <c r="AF160" s="277"/>
      <c r="AG160" s="277"/>
      <c r="AH160" s="277"/>
      <c r="AI160" s="277"/>
      <c r="AJ160" s="277"/>
      <c r="AK160" s="277">
        <v>10</v>
      </c>
      <c r="AL160" s="277"/>
      <c r="AM160" s="285">
        <f t="shared" si="116"/>
        <v>1818</v>
      </c>
      <c r="AN160" s="277"/>
      <c r="AO160" s="277"/>
      <c r="AP160" s="285"/>
      <c r="AQ160" s="284">
        <f t="shared" si="117"/>
        <v>5454</v>
      </c>
      <c r="AR160" s="277">
        <f>AR$29</f>
        <v>20</v>
      </c>
      <c r="AS160" s="277">
        <f t="shared" si="118"/>
        <v>3636</v>
      </c>
      <c r="AT160" s="283">
        <f t="shared" si="119"/>
        <v>3636</v>
      </c>
      <c r="AU160" s="277"/>
      <c r="AV160" s="277">
        <v>100</v>
      </c>
      <c r="AW160" s="277">
        <f t="shared" si="120"/>
        <v>0</v>
      </c>
      <c r="AX160" s="277"/>
      <c r="AY160" s="277"/>
      <c r="AZ160" s="283"/>
      <c r="BA160" s="284">
        <f t="shared" si="121"/>
        <v>3636</v>
      </c>
      <c r="BB160" s="284">
        <f t="shared" si="122"/>
        <v>27270</v>
      </c>
      <c r="BC160" s="284">
        <f t="shared" si="123"/>
        <v>27270</v>
      </c>
      <c r="BD160" s="286">
        <f t="shared" si="124"/>
        <v>9090</v>
      </c>
      <c r="BE160" s="286"/>
      <c r="BF160" s="241"/>
      <c r="BG160" s="241"/>
      <c r="BH160" s="241"/>
      <c r="BI160" s="241"/>
      <c r="BJ160" s="251"/>
      <c r="BK160" s="251"/>
      <c r="BL160" s="251"/>
      <c r="BM160" s="241"/>
    </row>
    <row r="161" spans="1:65" s="301" customFormat="1" x14ac:dyDescent="0.25">
      <c r="A161" s="289"/>
      <c r="B161" s="277" t="s">
        <v>237</v>
      </c>
      <c r="C161" s="278">
        <v>1</v>
      </c>
      <c r="D161" s="279"/>
      <c r="E161" s="279"/>
      <c r="F161" s="328"/>
      <c r="G161" s="328"/>
      <c r="H161" s="279">
        <v>1</v>
      </c>
      <c r="I161" s="328"/>
      <c r="J161" s="279"/>
      <c r="K161" s="279"/>
      <c r="L161" s="277"/>
      <c r="M161" s="280">
        <f>M$35</f>
        <v>3028</v>
      </c>
      <c r="N161" s="281">
        <f>N$29</f>
        <v>2</v>
      </c>
      <c r="O161" s="277">
        <v>1.9</v>
      </c>
      <c r="P161" s="295">
        <f t="shared" si="110"/>
        <v>1.58</v>
      </c>
      <c r="Q161" s="293"/>
      <c r="R161" s="296">
        <f t="shared" si="111"/>
        <v>477</v>
      </c>
      <c r="S161" s="294">
        <f t="shared" si="112"/>
        <v>38.113207547169814</v>
      </c>
      <c r="T161" s="291">
        <f t="shared" si="113"/>
        <v>18180</v>
      </c>
      <c r="U161" s="297">
        <f t="shared" si="114"/>
        <v>18180</v>
      </c>
      <c r="V161" s="293">
        <v>20</v>
      </c>
      <c r="W161" s="298"/>
      <c r="X161" s="298">
        <f t="shared" si="115"/>
        <v>3636</v>
      </c>
      <c r="Y161" s="293"/>
      <c r="Z161" s="293"/>
      <c r="AA161" s="293"/>
      <c r="AB161" s="293"/>
      <c r="AC161" s="293"/>
      <c r="AD161" s="293"/>
      <c r="AE161" s="293"/>
      <c r="AF161" s="293"/>
      <c r="AG161" s="293"/>
      <c r="AH161" s="293"/>
      <c r="AI161" s="293"/>
      <c r="AJ161" s="293"/>
      <c r="AK161" s="293"/>
      <c r="AL161" s="293"/>
      <c r="AM161" s="285">
        <f t="shared" si="116"/>
        <v>0</v>
      </c>
      <c r="AN161" s="293"/>
      <c r="AO161" s="293"/>
      <c r="AP161" s="293"/>
      <c r="AQ161" s="297">
        <f t="shared" si="117"/>
        <v>3636</v>
      </c>
      <c r="AR161" s="293">
        <f>AR$29</f>
        <v>20</v>
      </c>
      <c r="AS161" s="293">
        <f t="shared" si="118"/>
        <v>3636</v>
      </c>
      <c r="AT161" s="296">
        <f t="shared" si="119"/>
        <v>3636</v>
      </c>
      <c r="AU161" s="293"/>
      <c r="AV161" s="293">
        <v>100</v>
      </c>
      <c r="AW161" s="293">
        <f t="shared" si="120"/>
        <v>0</v>
      </c>
      <c r="AX161" s="293"/>
      <c r="AY161" s="293"/>
      <c r="AZ161" s="296"/>
      <c r="BA161" s="297">
        <f t="shared" si="121"/>
        <v>3636</v>
      </c>
      <c r="BB161" s="297">
        <f t="shared" si="122"/>
        <v>25452</v>
      </c>
      <c r="BC161" s="297">
        <f t="shared" si="123"/>
        <v>25452</v>
      </c>
      <c r="BD161" s="299">
        <f t="shared" si="124"/>
        <v>8484</v>
      </c>
      <c r="BE161" s="299"/>
      <c r="BF161" s="377">
        <f>IF(D161=1,BC161,0)</f>
        <v>0</v>
      </c>
      <c r="BG161" s="377">
        <f>IF(E161=1,BC161,0)</f>
        <v>0</v>
      </c>
      <c r="BH161" s="377">
        <f>IF(F161=1,BC161,0)</f>
        <v>0</v>
      </c>
      <c r="BI161" s="377">
        <f>IF(G161=1,BC161,0)</f>
        <v>0</v>
      </c>
      <c r="BJ161" s="300">
        <f>IF(H161=1,BC161,0)</f>
        <v>25452</v>
      </c>
      <c r="BK161" s="300">
        <f>IF(I161=1,BC161,0)</f>
        <v>0</v>
      </c>
      <c r="BL161" s="300">
        <f>IF(J161=1,BC161,0)</f>
        <v>0</v>
      </c>
      <c r="BM161" s="377">
        <f>IF(K161=1,BC161,0)</f>
        <v>0</v>
      </c>
    </row>
    <row r="162" spans="1:65" s="287" customFormat="1" x14ac:dyDescent="0.25">
      <c r="A162" s="276"/>
      <c r="B162" s="288" t="s">
        <v>238</v>
      </c>
      <c r="C162" s="425">
        <v>1</v>
      </c>
      <c r="D162" s="279"/>
      <c r="E162" s="279"/>
      <c r="F162" s="279"/>
      <c r="G162" s="279"/>
      <c r="H162" s="279"/>
      <c r="I162" s="279">
        <v>1</v>
      </c>
      <c r="J162" s="279"/>
      <c r="K162" s="279"/>
      <c r="L162" s="277"/>
      <c r="M162" s="280">
        <f>M$35</f>
        <v>3028</v>
      </c>
      <c r="N162" s="281">
        <f>N$29</f>
        <v>2</v>
      </c>
      <c r="O162" s="277">
        <v>2</v>
      </c>
      <c r="P162" s="282">
        <f t="shared" si="110"/>
        <v>1.58</v>
      </c>
      <c r="Q162" s="282"/>
      <c r="R162" s="283">
        <f t="shared" si="111"/>
        <v>477</v>
      </c>
      <c r="S162" s="280">
        <f t="shared" si="112"/>
        <v>40.119496855345915</v>
      </c>
      <c r="T162" s="425">
        <f t="shared" si="113"/>
        <v>19137</v>
      </c>
      <c r="U162" s="284">
        <f t="shared" si="114"/>
        <v>19137</v>
      </c>
      <c r="V162" s="277">
        <v>20</v>
      </c>
      <c r="W162" s="285"/>
      <c r="X162" s="285">
        <f t="shared" si="115"/>
        <v>3827.4</v>
      </c>
      <c r="Y162" s="277"/>
      <c r="Z162" s="277"/>
      <c r="AA162" s="277"/>
      <c r="AB162" s="277"/>
      <c r="AC162" s="277"/>
      <c r="AD162" s="277"/>
      <c r="AE162" s="277"/>
      <c r="AF162" s="277"/>
      <c r="AG162" s="277"/>
      <c r="AH162" s="277"/>
      <c r="AI162" s="277"/>
      <c r="AJ162" s="277"/>
      <c r="AK162" s="277"/>
      <c r="AL162" s="277"/>
      <c r="AM162" s="285">
        <f t="shared" si="116"/>
        <v>0</v>
      </c>
      <c r="AN162" s="277"/>
      <c r="AO162" s="277"/>
      <c r="AP162" s="277"/>
      <c r="AQ162" s="284">
        <f t="shared" si="117"/>
        <v>3827.4</v>
      </c>
      <c r="AR162" s="277">
        <f>AR$29</f>
        <v>20</v>
      </c>
      <c r="AS162" s="285">
        <f t="shared" si="118"/>
        <v>3827.4</v>
      </c>
      <c r="AT162" s="280">
        <f t="shared" si="119"/>
        <v>3827.4</v>
      </c>
      <c r="AU162" s="277"/>
      <c r="AV162" s="277">
        <v>100</v>
      </c>
      <c r="AW162" s="277">
        <f t="shared" si="120"/>
        <v>0</v>
      </c>
      <c r="AX162" s="277"/>
      <c r="AY162" s="285"/>
      <c r="AZ162" s="280"/>
      <c r="BA162" s="284">
        <f t="shared" si="121"/>
        <v>3827.4</v>
      </c>
      <c r="BB162" s="284">
        <f t="shared" si="122"/>
        <v>26791.8</v>
      </c>
      <c r="BC162" s="284">
        <f t="shared" si="123"/>
        <v>26791.8</v>
      </c>
      <c r="BD162" s="286">
        <f>BC162/C162/3</f>
        <v>8930.6</v>
      </c>
      <c r="BE162" s="286"/>
      <c r="BF162" s="251">
        <f>IF(D162=1,BC162,0)</f>
        <v>0</v>
      </c>
      <c r="BG162" s="251">
        <f>IF(E162=1,BC162,0)</f>
        <v>0</v>
      </c>
      <c r="BH162" s="251">
        <f>IF(F162=1,BC162,0)</f>
        <v>0</v>
      </c>
      <c r="BI162" s="251">
        <f>IF(G162=1,BC162,0)</f>
        <v>0</v>
      </c>
      <c r="BJ162" s="251">
        <f>IF(H162=1,BC162,0)</f>
        <v>0</v>
      </c>
      <c r="BK162" s="251">
        <f>IF(I162=1,BC162,0)</f>
        <v>26791.8</v>
      </c>
      <c r="BL162" s="251">
        <f>IF(J162=1,BC162,0)</f>
        <v>0</v>
      </c>
      <c r="BM162" s="251">
        <f>IF(K162=1,BC162,0)</f>
        <v>0</v>
      </c>
    </row>
    <row r="163" spans="1:65" s="301" customFormat="1" x14ac:dyDescent="0.25">
      <c r="A163" s="289"/>
      <c r="B163" s="290" t="s">
        <v>242</v>
      </c>
      <c r="C163" s="278">
        <v>1</v>
      </c>
      <c r="D163" s="279"/>
      <c r="E163" s="279"/>
      <c r="F163" s="279"/>
      <c r="G163" s="279"/>
      <c r="H163" s="279"/>
      <c r="I163" s="279"/>
      <c r="J163" s="279">
        <v>1</v>
      </c>
      <c r="K163" s="279"/>
      <c r="L163" s="277"/>
      <c r="M163" s="280">
        <f t="shared" ref="M163:M170" si="125">M$35</f>
        <v>3028</v>
      </c>
      <c r="N163" s="281">
        <f t="shared" ref="N163:N170" si="126">N$29</f>
        <v>2</v>
      </c>
      <c r="O163" s="295">
        <v>1.7</v>
      </c>
      <c r="P163" s="282">
        <f t="shared" si="110"/>
        <v>1.58</v>
      </c>
      <c r="Q163" s="293"/>
      <c r="R163" s="296">
        <f t="shared" si="111"/>
        <v>477</v>
      </c>
      <c r="S163" s="294">
        <f t="shared" si="112"/>
        <v>34.100628930817614</v>
      </c>
      <c r="T163" s="291">
        <f t="shared" si="113"/>
        <v>16266</v>
      </c>
      <c r="U163" s="297">
        <f t="shared" si="114"/>
        <v>16266</v>
      </c>
      <c r="V163" s="293"/>
      <c r="W163" s="298"/>
      <c r="X163" s="298">
        <f t="shared" si="115"/>
        <v>0</v>
      </c>
      <c r="Y163" s="293"/>
      <c r="Z163" s="293"/>
      <c r="AA163" s="293"/>
      <c r="AB163" s="293"/>
      <c r="AC163" s="293"/>
      <c r="AD163" s="293"/>
      <c r="AE163" s="293"/>
      <c r="AF163" s="293"/>
      <c r="AG163" s="293"/>
      <c r="AH163" s="293"/>
      <c r="AI163" s="293"/>
      <c r="AJ163" s="293"/>
      <c r="AK163" s="277">
        <v>7</v>
      </c>
      <c r="AL163" s="293"/>
      <c r="AM163" s="298">
        <f t="shared" si="116"/>
        <v>1138.6200000000001</v>
      </c>
      <c r="AN163" s="293"/>
      <c r="AO163" s="293"/>
      <c r="AP163" s="293"/>
      <c r="AQ163" s="297">
        <f t="shared" si="117"/>
        <v>1138.6200000000001</v>
      </c>
      <c r="AR163" s="293">
        <f t="shared" ref="AR163:AR172" si="127">AR$29</f>
        <v>20</v>
      </c>
      <c r="AS163" s="293">
        <f t="shared" si="118"/>
        <v>3253.2000000000003</v>
      </c>
      <c r="AT163" s="296">
        <f t="shared" si="119"/>
        <v>3253.2000000000003</v>
      </c>
      <c r="AU163" s="293"/>
      <c r="AV163" s="293">
        <v>100</v>
      </c>
      <c r="AW163" s="293">
        <f t="shared" si="120"/>
        <v>0</v>
      </c>
      <c r="AX163" s="293"/>
      <c r="AY163" s="293"/>
      <c r="AZ163" s="431"/>
      <c r="BA163" s="297">
        <f t="shared" si="121"/>
        <v>3253.2000000000003</v>
      </c>
      <c r="BB163" s="297">
        <f t="shared" si="122"/>
        <v>20657.82</v>
      </c>
      <c r="BC163" s="297">
        <f t="shared" si="123"/>
        <v>20657.82</v>
      </c>
      <c r="BD163" s="299">
        <f>BC163/C163/3</f>
        <v>6885.94</v>
      </c>
      <c r="BE163" s="299"/>
      <c r="BF163" s="300">
        <f>IF(D163=1,BC163,0)</f>
        <v>0</v>
      </c>
      <c r="BG163" s="300">
        <f>IF(E163=1,BC163,0)</f>
        <v>0</v>
      </c>
      <c r="BH163" s="300">
        <f>IF(F163=1,BC163,0)</f>
        <v>0</v>
      </c>
      <c r="BI163" s="300">
        <f>IF(G163=1,BC163,0)</f>
        <v>0</v>
      </c>
      <c r="BJ163" s="300">
        <f>IF(H163=1,BC163,0)</f>
        <v>0</v>
      </c>
      <c r="BK163" s="300">
        <f>IF(I163=1,BC163,0)</f>
        <v>0</v>
      </c>
      <c r="BL163" s="300">
        <f>IF(J163=1,BC163,0)</f>
        <v>20657.82</v>
      </c>
      <c r="BM163" s="300">
        <f>IF(K163=1,BC163,0)</f>
        <v>0</v>
      </c>
    </row>
    <row r="164" spans="1:65" s="316" customFormat="1" ht="23.25" customHeight="1" x14ac:dyDescent="0.25">
      <c r="A164" s="306"/>
      <c r="B164" s="307" t="s">
        <v>229</v>
      </c>
      <c r="C164" s="329">
        <f>SUM(C158:C163)</f>
        <v>6</v>
      </c>
      <c r="D164" s="330"/>
      <c r="E164" s="330"/>
      <c r="F164" s="330"/>
      <c r="G164" s="330"/>
      <c r="H164" s="330"/>
      <c r="I164" s="330"/>
      <c r="J164" s="330"/>
      <c r="K164" s="330"/>
      <c r="L164" s="307"/>
      <c r="M164" s="331"/>
      <c r="N164" s="307"/>
      <c r="O164" s="307"/>
      <c r="P164" s="332"/>
      <c r="Q164" s="307"/>
      <c r="R164" s="331"/>
      <c r="S164" s="331"/>
      <c r="T164" s="349">
        <f>U164/1</f>
        <v>112908</v>
      </c>
      <c r="U164" s="284">
        <f>SUM(U158:U163)</f>
        <v>112908</v>
      </c>
      <c r="V164" s="329"/>
      <c r="W164" s="307"/>
      <c r="X164" s="284">
        <f>SUM(X158:X163)</f>
        <v>21529.200000000001</v>
      </c>
      <c r="Y164" s="284"/>
      <c r="Z164" s="284">
        <f>SUM(Z158:Z161)</f>
        <v>0</v>
      </c>
      <c r="AA164" s="284">
        <f>SUM(AA158:AA163)</f>
        <v>0</v>
      </c>
      <c r="AB164" s="284"/>
      <c r="AC164" s="284"/>
      <c r="AD164" s="284">
        <f>SUM(AD158:AD163)</f>
        <v>0</v>
      </c>
      <c r="AE164" s="284"/>
      <c r="AF164" s="284">
        <f>SUM(AF158:AF161)</f>
        <v>0</v>
      </c>
      <c r="AG164" s="284">
        <f>SUM(AG158:AG163)</f>
        <v>0</v>
      </c>
      <c r="AH164" s="284"/>
      <c r="AI164" s="284">
        <f>SUM(AI158:AI161)</f>
        <v>0</v>
      </c>
      <c r="AJ164" s="284">
        <f>SUM(AJ158:AJ163)</f>
        <v>0</v>
      </c>
      <c r="AK164" s="284"/>
      <c r="AL164" s="284">
        <f>SUM(AL158:AL161)</f>
        <v>0</v>
      </c>
      <c r="AM164" s="284">
        <f>SUM(AM158:AM163)</f>
        <v>7367.73</v>
      </c>
      <c r="AN164" s="284"/>
      <c r="AO164" s="284">
        <f>SUM(AO158:AO161)</f>
        <v>0</v>
      </c>
      <c r="AP164" s="284">
        <f>SUM(AP158:AP163)</f>
        <v>0</v>
      </c>
      <c r="AQ164" s="284">
        <f>SUM(AQ158:AQ163)</f>
        <v>28896.93</v>
      </c>
      <c r="AR164" s="284"/>
      <c r="AS164" s="284">
        <f>SUM(AS158:AS161)</f>
        <v>15501</v>
      </c>
      <c r="AT164" s="284">
        <f>SUM(AT158:AT163)</f>
        <v>22581.600000000002</v>
      </c>
      <c r="AU164" s="284">
        <f>SUM(AU158:AU163)</f>
        <v>1</v>
      </c>
      <c r="AV164" s="284"/>
      <c r="AW164" s="284">
        <f>SUM(AW158:AW163)</f>
        <v>19137</v>
      </c>
      <c r="AX164" s="284"/>
      <c r="AY164" s="284">
        <f>SUM(AY158:AY161)</f>
        <v>0</v>
      </c>
      <c r="AZ164" s="284">
        <f>SUM(AZ158:AZ163)</f>
        <v>0</v>
      </c>
      <c r="BA164" s="284">
        <f>SUM(BA158:BA163)</f>
        <v>41718.6</v>
      </c>
      <c r="BB164" s="284">
        <f>SUM(BB158:BB163)</f>
        <v>183523.53</v>
      </c>
      <c r="BC164" s="284">
        <f>SUM(BC158:BC163)</f>
        <v>183523.53</v>
      </c>
      <c r="BD164" s="286">
        <f t="shared" si="124"/>
        <v>10195.751666666667</v>
      </c>
      <c r="BE164" s="286"/>
      <c r="BF164" s="316">
        <f t="shared" ref="BF164:BM164" si="128">SUM(BF158:BF161)</f>
        <v>0</v>
      </c>
      <c r="BG164" s="316">
        <f t="shared" si="128"/>
        <v>0</v>
      </c>
      <c r="BH164" s="316">
        <f t="shared" si="128"/>
        <v>0</v>
      </c>
      <c r="BI164" s="316">
        <f t="shared" si="128"/>
        <v>0</v>
      </c>
      <c r="BJ164" s="316">
        <f t="shared" si="128"/>
        <v>60004.56</v>
      </c>
      <c r="BK164" s="316">
        <f t="shared" si="128"/>
        <v>0</v>
      </c>
      <c r="BL164" s="316">
        <f t="shared" si="128"/>
        <v>0</v>
      </c>
      <c r="BM164" s="316">
        <f t="shared" si="128"/>
        <v>0</v>
      </c>
    </row>
    <row r="165" spans="1:65" s="287" customFormat="1" ht="18" customHeight="1" x14ac:dyDescent="0.25">
      <c r="A165" s="270"/>
      <c r="B165" s="334" t="s">
        <v>239</v>
      </c>
      <c r="C165" s="335"/>
      <c r="D165" s="335"/>
      <c r="E165" s="335"/>
      <c r="F165" s="335"/>
      <c r="G165" s="335"/>
      <c r="H165" s="335"/>
      <c r="I165" s="335"/>
      <c r="J165" s="335"/>
      <c r="K165" s="335"/>
      <c r="L165" s="335"/>
      <c r="M165" s="335"/>
      <c r="N165" s="335"/>
      <c r="O165" s="335"/>
      <c r="P165" s="335"/>
      <c r="Q165" s="335"/>
      <c r="R165" s="335"/>
      <c r="S165" s="335"/>
      <c r="T165" s="433"/>
      <c r="U165" s="335"/>
      <c r="V165" s="335"/>
      <c r="W165" s="335"/>
      <c r="X165" s="335"/>
      <c r="Y165" s="335"/>
      <c r="Z165" s="335"/>
      <c r="AA165" s="335"/>
      <c r="AB165" s="335"/>
      <c r="AC165" s="335"/>
      <c r="AD165" s="335"/>
      <c r="AE165" s="335"/>
      <c r="AF165" s="335"/>
      <c r="AG165" s="335"/>
      <c r="AH165" s="335"/>
      <c r="AI165" s="335"/>
      <c r="AJ165" s="335"/>
      <c r="AK165" s="336"/>
      <c r="AL165" s="336"/>
      <c r="AM165" s="434"/>
      <c r="AN165" s="335"/>
      <c r="AO165" s="335"/>
      <c r="AP165" s="335"/>
      <c r="AQ165" s="335"/>
      <c r="AR165" s="335"/>
      <c r="AS165" s="335"/>
      <c r="AT165" s="335"/>
      <c r="AU165" s="335"/>
      <c r="AV165" s="335"/>
      <c r="AW165" s="335"/>
      <c r="AX165" s="335"/>
      <c r="AY165" s="335"/>
      <c r="AZ165" s="335"/>
      <c r="BA165" s="335"/>
      <c r="BB165" s="335"/>
      <c r="BC165" s="362"/>
      <c r="BD165" s="286"/>
      <c r="BE165" s="274"/>
      <c r="BF165" s="338" t="e">
        <f>BC175-#REF!</f>
        <v>#REF!</v>
      </c>
    </row>
    <row r="166" spans="1:65" s="287" customFormat="1" ht="19.5" customHeight="1" x14ac:dyDescent="0.25">
      <c r="A166" s="276"/>
      <c r="B166" s="288" t="s">
        <v>240</v>
      </c>
      <c r="C166" s="278">
        <v>3</v>
      </c>
      <c r="D166" s="279"/>
      <c r="E166" s="279"/>
      <c r="F166" s="328"/>
      <c r="G166" s="328"/>
      <c r="H166" s="279">
        <v>1</v>
      </c>
      <c r="I166" s="328"/>
      <c r="J166" s="328"/>
      <c r="K166" s="279"/>
      <c r="L166" s="277">
        <v>4</v>
      </c>
      <c r="M166" s="280">
        <f t="shared" si="125"/>
        <v>3028</v>
      </c>
      <c r="N166" s="281">
        <f t="shared" si="126"/>
        <v>2</v>
      </c>
      <c r="O166" s="277">
        <v>1.43</v>
      </c>
      <c r="P166" s="282">
        <f>P$244</f>
        <v>1.58</v>
      </c>
      <c r="Q166" s="277"/>
      <c r="R166" s="283">
        <f t="shared" ref="R166:R173" si="129">$R$244</f>
        <v>477</v>
      </c>
      <c r="S166" s="280">
        <f t="shared" ref="S166:S173" si="130">T166/(R166/1)</f>
        <v>28.685534591194969</v>
      </c>
      <c r="T166" s="425">
        <f t="shared" ref="T166:T173" si="131">ROUND(M166*N166*O166*P166,0)</f>
        <v>13683</v>
      </c>
      <c r="U166" s="284">
        <f>T166*C166*1</f>
        <v>41049</v>
      </c>
      <c r="V166" s="277">
        <v>16</v>
      </c>
      <c r="W166" s="285"/>
      <c r="X166" s="285">
        <f t="shared" ref="X166:X171" si="132">U166*V166%</f>
        <v>6567.84</v>
      </c>
      <c r="Y166" s="277">
        <v>4</v>
      </c>
      <c r="Z166" s="285"/>
      <c r="AA166" s="285">
        <f>U166*Y166%</f>
        <v>1641.96</v>
      </c>
      <c r="AB166" s="277"/>
      <c r="AC166" s="277"/>
      <c r="AD166" s="277"/>
      <c r="AE166" s="277"/>
      <c r="AF166" s="277"/>
      <c r="AG166" s="277"/>
      <c r="AH166" s="277"/>
      <c r="AI166" s="277"/>
      <c r="AJ166" s="277"/>
      <c r="AK166" s="277">
        <v>7</v>
      </c>
      <c r="AL166" s="277"/>
      <c r="AM166" s="285">
        <f>T166*AK166%*1</f>
        <v>957.81000000000006</v>
      </c>
      <c r="AN166" s="277"/>
      <c r="AO166" s="277"/>
      <c r="AP166" s="277"/>
      <c r="AQ166" s="284">
        <f t="shared" ref="AQ166:AQ174" si="133">X166+AA166+AD166+AG166+AJ166+AM166+AP166</f>
        <v>9167.6099999999988</v>
      </c>
      <c r="AR166" s="277">
        <f t="shared" si="127"/>
        <v>20</v>
      </c>
      <c r="AS166" s="277">
        <f t="shared" ref="AS166:AS173" si="134">AT166/C166</f>
        <v>2736.6000000000004</v>
      </c>
      <c r="AT166" s="283">
        <f t="shared" ref="AT166:AT173" si="135">(U166)*AR166%</f>
        <v>8209.8000000000011</v>
      </c>
      <c r="AU166" s="277"/>
      <c r="AV166" s="277">
        <v>100</v>
      </c>
      <c r="AW166" s="277">
        <f t="shared" ref="AW166:AW173" si="136">AU166*T166</f>
        <v>0</v>
      </c>
      <c r="AX166" s="277"/>
      <c r="AY166" s="277"/>
      <c r="AZ166" s="283"/>
      <c r="BA166" s="284">
        <f t="shared" ref="BA166:BA171" si="137">AT166+AW166+AZ166</f>
        <v>8209.8000000000011</v>
      </c>
      <c r="BB166" s="284">
        <f t="shared" ref="BB166:BB173" si="138">BC166/C166</f>
        <v>19475.47</v>
      </c>
      <c r="BC166" s="284">
        <f t="shared" ref="BC166:BC173" si="139">BA166+AQ166+U166</f>
        <v>58426.41</v>
      </c>
      <c r="BD166" s="286">
        <f t="shared" ref="BD166:BD173" si="140">BC166/C166/3</f>
        <v>6491.8233333333337</v>
      </c>
      <c r="BE166" s="286"/>
      <c r="BF166" s="241">
        <f t="shared" ref="BF166:BF173" si="141">IF(D166=1,BC166,0)</f>
        <v>0</v>
      </c>
      <c r="BG166" s="241">
        <f t="shared" ref="BG166:BG173" si="142">IF(E166=1,BC166,0)</f>
        <v>0</v>
      </c>
      <c r="BH166" s="241">
        <f t="shared" ref="BH166:BH173" si="143">IF(F166=1,BC166,0)</f>
        <v>0</v>
      </c>
      <c r="BI166" s="241">
        <f t="shared" ref="BI166:BI173" si="144">IF(G166=1,BC166,0)</f>
        <v>0</v>
      </c>
      <c r="BJ166" s="251">
        <f t="shared" ref="BJ166:BJ173" si="145">IF(H166=1,BC166,0)</f>
        <v>58426.41</v>
      </c>
      <c r="BK166" s="241">
        <f t="shared" ref="BK166:BK174" si="146">IF(I166=1,BC166,0)</f>
        <v>0</v>
      </c>
      <c r="BL166" s="241">
        <f t="shared" ref="BL166:BL174" si="147">IF(J166=1,BC166,0)</f>
        <v>0</v>
      </c>
      <c r="BM166" s="241">
        <f t="shared" ref="BM166:BM174" si="148">IF(K166=1,BC166,0)</f>
        <v>0</v>
      </c>
    </row>
    <row r="167" spans="1:65" s="287" customFormat="1" ht="19.5" customHeight="1" x14ac:dyDescent="0.25">
      <c r="A167" s="276"/>
      <c r="B167" s="288" t="s">
        <v>240</v>
      </c>
      <c r="C167" s="278">
        <v>8</v>
      </c>
      <c r="D167" s="279"/>
      <c r="E167" s="279"/>
      <c r="F167" s="328"/>
      <c r="G167" s="328"/>
      <c r="H167" s="279">
        <v>1</v>
      </c>
      <c r="I167" s="328"/>
      <c r="J167" s="328"/>
      <c r="K167" s="279"/>
      <c r="L167" s="277">
        <v>4</v>
      </c>
      <c r="M167" s="280">
        <f t="shared" si="125"/>
        <v>3028</v>
      </c>
      <c r="N167" s="281">
        <f t="shared" si="126"/>
        <v>2</v>
      </c>
      <c r="O167" s="277">
        <v>1.43</v>
      </c>
      <c r="P167" s="282">
        <f>P$244</f>
        <v>1.58</v>
      </c>
      <c r="Q167" s="277"/>
      <c r="R167" s="283">
        <f t="shared" si="129"/>
        <v>477</v>
      </c>
      <c r="S167" s="280">
        <f t="shared" si="130"/>
        <v>28.685534591194969</v>
      </c>
      <c r="T167" s="425">
        <f t="shared" si="131"/>
        <v>13683</v>
      </c>
      <c r="U167" s="284">
        <f t="shared" ref="U167:U173" si="149">T167*C167*1</f>
        <v>109464</v>
      </c>
      <c r="V167" s="277">
        <v>16</v>
      </c>
      <c r="W167" s="285"/>
      <c r="X167" s="285">
        <f t="shared" si="132"/>
        <v>17514.240000000002</v>
      </c>
      <c r="Y167" s="277">
        <v>4</v>
      </c>
      <c r="Z167" s="285"/>
      <c r="AA167" s="285">
        <f>U167*Y167%</f>
        <v>4378.5600000000004</v>
      </c>
      <c r="AB167" s="277">
        <v>20</v>
      </c>
      <c r="AC167" s="277"/>
      <c r="AD167" s="340">
        <f>SUM([3]ночн.празд!T6)</f>
        <v>3932.8383233532936</v>
      </c>
      <c r="AE167" s="341">
        <v>35</v>
      </c>
      <c r="AF167" s="340"/>
      <c r="AG167" s="340">
        <f>SUM([3]ночн.празд!U6)</f>
        <v>13764.934131736527</v>
      </c>
      <c r="AH167" s="341">
        <v>200</v>
      </c>
      <c r="AI167" s="340"/>
      <c r="AJ167" s="340">
        <f>SUM([3]ночн.празд!R6:S6)</f>
        <v>12290.119760479041</v>
      </c>
      <c r="AK167" s="277"/>
      <c r="AL167" s="277"/>
      <c r="AM167" s="285">
        <f>T167*AK167%*1</f>
        <v>0</v>
      </c>
      <c r="AN167" s="277"/>
      <c r="AO167" s="277"/>
      <c r="AP167" s="277"/>
      <c r="AQ167" s="284">
        <f t="shared" si="133"/>
        <v>51880.692215568866</v>
      </c>
      <c r="AR167" s="277">
        <f t="shared" si="127"/>
        <v>20</v>
      </c>
      <c r="AS167" s="277">
        <f t="shared" si="134"/>
        <v>2736.6000000000004</v>
      </c>
      <c r="AT167" s="283">
        <f t="shared" si="135"/>
        <v>21892.800000000003</v>
      </c>
      <c r="AU167" s="339"/>
      <c r="AV167" s="277">
        <v>100</v>
      </c>
      <c r="AW167" s="277">
        <f t="shared" si="136"/>
        <v>0</v>
      </c>
      <c r="AX167" s="277"/>
      <c r="AY167" s="277"/>
      <c r="AZ167" s="283"/>
      <c r="BA167" s="284">
        <f t="shared" si="137"/>
        <v>21892.800000000003</v>
      </c>
      <c r="BB167" s="284">
        <f t="shared" si="138"/>
        <v>22904.686526946109</v>
      </c>
      <c r="BC167" s="284">
        <f t="shared" si="139"/>
        <v>183237.49221556887</v>
      </c>
      <c r="BD167" s="286">
        <f t="shared" si="140"/>
        <v>7634.8955089820365</v>
      </c>
      <c r="BE167" s="286"/>
      <c r="BF167" s="241">
        <f t="shared" si="141"/>
        <v>0</v>
      </c>
      <c r="BG167" s="241">
        <f t="shared" si="142"/>
        <v>0</v>
      </c>
      <c r="BH167" s="241">
        <f t="shared" si="143"/>
        <v>0</v>
      </c>
      <c r="BI167" s="241">
        <f t="shared" si="144"/>
        <v>0</v>
      </c>
      <c r="BJ167" s="251">
        <f t="shared" si="145"/>
        <v>183237.49221556887</v>
      </c>
      <c r="BK167" s="241">
        <f t="shared" si="146"/>
        <v>0</v>
      </c>
      <c r="BL167" s="241">
        <f t="shared" si="147"/>
        <v>0</v>
      </c>
      <c r="BM167" s="241">
        <f t="shared" si="148"/>
        <v>0</v>
      </c>
    </row>
    <row r="168" spans="1:65" s="287" customFormat="1" ht="19.5" customHeight="1" x14ac:dyDescent="0.25">
      <c r="A168" s="276"/>
      <c r="B168" s="288" t="s">
        <v>240</v>
      </c>
      <c r="C168" s="278">
        <v>3</v>
      </c>
      <c r="D168" s="279"/>
      <c r="E168" s="279"/>
      <c r="F168" s="328"/>
      <c r="G168" s="328"/>
      <c r="H168" s="279">
        <v>1</v>
      </c>
      <c r="I168" s="328"/>
      <c r="J168" s="328"/>
      <c r="K168" s="279"/>
      <c r="L168" s="277">
        <v>5</v>
      </c>
      <c r="M168" s="280">
        <f t="shared" si="125"/>
        <v>3028</v>
      </c>
      <c r="N168" s="281">
        <f t="shared" si="126"/>
        <v>2</v>
      </c>
      <c r="O168" s="277">
        <v>1.67</v>
      </c>
      <c r="P168" s="282">
        <f>P$244</f>
        <v>1.58</v>
      </c>
      <c r="Q168" s="277"/>
      <c r="R168" s="283">
        <f t="shared" si="129"/>
        <v>477</v>
      </c>
      <c r="S168" s="280">
        <f t="shared" si="130"/>
        <v>33.498951781970646</v>
      </c>
      <c r="T168" s="425">
        <f t="shared" si="131"/>
        <v>15979</v>
      </c>
      <c r="U168" s="284">
        <f t="shared" si="149"/>
        <v>47937</v>
      </c>
      <c r="V168" s="277">
        <v>20</v>
      </c>
      <c r="W168" s="285"/>
      <c r="X168" s="285">
        <f t="shared" si="132"/>
        <v>9587.4</v>
      </c>
      <c r="Y168" s="277">
        <v>4</v>
      </c>
      <c r="Z168" s="285"/>
      <c r="AA168" s="285">
        <f>U168*Y168%</f>
        <v>1917.48</v>
      </c>
      <c r="AB168" s="277"/>
      <c r="AC168" s="277"/>
      <c r="AD168" s="277"/>
      <c r="AE168" s="277"/>
      <c r="AF168" s="277"/>
      <c r="AG168" s="277"/>
      <c r="AH168" s="277"/>
      <c r="AI168" s="277"/>
      <c r="AJ168" s="277"/>
      <c r="AK168" s="277">
        <f>(10+10+15)/3</f>
        <v>11.666666666666666</v>
      </c>
      <c r="AL168" s="277"/>
      <c r="AM168" s="342">
        <f>3*T168*AK168%*1</f>
        <v>5592.65</v>
      </c>
      <c r="AN168" s="277"/>
      <c r="AO168" s="277"/>
      <c r="AP168" s="277"/>
      <c r="AQ168" s="284">
        <f t="shared" si="133"/>
        <v>17097.53</v>
      </c>
      <c r="AR168" s="277">
        <f t="shared" si="127"/>
        <v>20</v>
      </c>
      <c r="AS168" s="277">
        <f t="shared" si="134"/>
        <v>3195.7999999999997</v>
      </c>
      <c r="AT168" s="283">
        <f t="shared" si="135"/>
        <v>9587.4</v>
      </c>
      <c r="AU168" s="277">
        <f>1+1</f>
        <v>2</v>
      </c>
      <c r="AV168" s="277">
        <v>100</v>
      </c>
      <c r="AW168" s="277">
        <f t="shared" si="136"/>
        <v>31958</v>
      </c>
      <c r="AX168" s="277"/>
      <c r="AY168" s="277"/>
      <c r="AZ168" s="283"/>
      <c r="BA168" s="284">
        <f t="shared" si="137"/>
        <v>41545.4</v>
      </c>
      <c r="BB168" s="284">
        <f t="shared" si="138"/>
        <v>35526.643333333333</v>
      </c>
      <c r="BC168" s="284">
        <f t="shared" si="139"/>
        <v>106579.93</v>
      </c>
      <c r="BD168" s="286">
        <f t="shared" si="140"/>
        <v>11842.214444444444</v>
      </c>
      <c r="BE168" s="286"/>
      <c r="BF168" s="241">
        <f t="shared" si="141"/>
        <v>0</v>
      </c>
      <c r="BG168" s="241">
        <f t="shared" si="142"/>
        <v>0</v>
      </c>
      <c r="BH168" s="241">
        <f t="shared" si="143"/>
        <v>0</v>
      </c>
      <c r="BI168" s="241">
        <f t="shared" si="144"/>
        <v>0</v>
      </c>
      <c r="BJ168" s="251">
        <f t="shared" si="145"/>
        <v>106579.93</v>
      </c>
      <c r="BK168" s="241">
        <f t="shared" si="146"/>
        <v>0</v>
      </c>
      <c r="BL168" s="241">
        <f t="shared" si="147"/>
        <v>0</v>
      </c>
      <c r="BM168" s="241">
        <f t="shared" si="148"/>
        <v>0</v>
      </c>
    </row>
    <row r="169" spans="1:65" s="287" customFormat="1" ht="19.5" customHeight="1" x14ac:dyDescent="0.25">
      <c r="A169" s="276"/>
      <c r="B169" s="288" t="s">
        <v>240</v>
      </c>
      <c r="C169" s="278">
        <v>4</v>
      </c>
      <c r="D169" s="279"/>
      <c r="E169" s="279"/>
      <c r="F169" s="328"/>
      <c r="G169" s="328"/>
      <c r="H169" s="279">
        <v>1</v>
      </c>
      <c r="I169" s="328"/>
      <c r="J169" s="328"/>
      <c r="K169" s="279"/>
      <c r="L169" s="277">
        <v>5</v>
      </c>
      <c r="M169" s="280">
        <f t="shared" si="125"/>
        <v>3028</v>
      </c>
      <c r="N169" s="281">
        <f t="shared" si="126"/>
        <v>2</v>
      </c>
      <c r="O169" s="277">
        <v>1.67</v>
      </c>
      <c r="P169" s="282">
        <f>P$244</f>
        <v>1.58</v>
      </c>
      <c r="Q169" s="277"/>
      <c r="R169" s="283">
        <f t="shared" si="129"/>
        <v>477</v>
      </c>
      <c r="S169" s="280">
        <f t="shared" si="130"/>
        <v>33.498951781970646</v>
      </c>
      <c r="T169" s="425">
        <f t="shared" si="131"/>
        <v>15979</v>
      </c>
      <c r="U169" s="284">
        <f t="shared" si="149"/>
        <v>63916</v>
      </c>
      <c r="V169" s="277">
        <v>20</v>
      </c>
      <c r="W169" s="285"/>
      <c r="X169" s="285">
        <f t="shared" si="132"/>
        <v>12783.2</v>
      </c>
      <c r="Y169" s="277">
        <v>4</v>
      </c>
      <c r="Z169" s="285"/>
      <c r="AA169" s="285">
        <f>U169*Y169%</f>
        <v>2556.64</v>
      </c>
      <c r="AB169" s="277">
        <v>20</v>
      </c>
      <c r="AC169" s="277"/>
      <c r="AD169" s="340">
        <f>SUM([3]ночн.празд!L6)</f>
        <v>2296.3832335329344</v>
      </c>
      <c r="AE169" s="341">
        <v>35</v>
      </c>
      <c r="AF169" s="340"/>
      <c r="AG169" s="340">
        <f>SUM([3]ночн.празд!M6)</f>
        <v>8037.3413173652689</v>
      </c>
      <c r="AH169" s="341">
        <v>200</v>
      </c>
      <c r="AI169" s="340"/>
      <c r="AJ169" s="340">
        <f>SUM([3]ночн.празд!J6:K6)</f>
        <v>9376.8982035928148</v>
      </c>
      <c r="AK169" s="277">
        <f>(7+7)/2</f>
        <v>7</v>
      </c>
      <c r="AL169" s="277"/>
      <c r="AM169" s="285">
        <f>2*T169*AK169%*1</f>
        <v>2237.0600000000004</v>
      </c>
      <c r="AN169" s="277"/>
      <c r="AO169" s="277"/>
      <c r="AP169" s="277"/>
      <c r="AQ169" s="284">
        <f t="shared" si="133"/>
        <v>37287.522754491016</v>
      </c>
      <c r="AR169" s="277">
        <f t="shared" si="127"/>
        <v>20</v>
      </c>
      <c r="AS169" s="277">
        <f t="shared" si="134"/>
        <v>3195.8</v>
      </c>
      <c r="AT169" s="283">
        <f t="shared" si="135"/>
        <v>12783.2</v>
      </c>
      <c r="AU169" s="277"/>
      <c r="AV169" s="277">
        <v>100</v>
      </c>
      <c r="AW169" s="277">
        <f t="shared" si="136"/>
        <v>0</v>
      </c>
      <c r="AX169" s="277"/>
      <c r="AY169" s="277"/>
      <c r="AZ169" s="283"/>
      <c r="BA169" s="284">
        <f t="shared" si="137"/>
        <v>12783.2</v>
      </c>
      <c r="BB169" s="284">
        <f t="shared" si="138"/>
        <v>28496.680688622753</v>
      </c>
      <c r="BC169" s="284">
        <f t="shared" si="139"/>
        <v>113986.72275449101</v>
      </c>
      <c r="BD169" s="286">
        <f t="shared" si="140"/>
        <v>9498.8935628742511</v>
      </c>
      <c r="BE169" s="286"/>
      <c r="BF169" s="241">
        <f t="shared" si="141"/>
        <v>0</v>
      </c>
      <c r="BG169" s="241">
        <f t="shared" si="142"/>
        <v>0</v>
      </c>
      <c r="BH169" s="241">
        <f t="shared" si="143"/>
        <v>0</v>
      </c>
      <c r="BI169" s="241">
        <f t="shared" si="144"/>
        <v>0</v>
      </c>
      <c r="BJ169" s="251">
        <f t="shared" si="145"/>
        <v>113986.72275449101</v>
      </c>
      <c r="BK169" s="241">
        <f t="shared" si="146"/>
        <v>0</v>
      </c>
      <c r="BL169" s="241">
        <f t="shared" si="147"/>
        <v>0</v>
      </c>
      <c r="BM169" s="241">
        <f t="shared" si="148"/>
        <v>0</v>
      </c>
    </row>
    <row r="170" spans="1:65" s="287" customFormat="1" x14ac:dyDescent="0.25">
      <c r="A170" s="276"/>
      <c r="B170" s="288" t="s">
        <v>241</v>
      </c>
      <c r="C170" s="278">
        <v>2</v>
      </c>
      <c r="D170" s="279"/>
      <c r="E170" s="279"/>
      <c r="F170" s="328"/>
      <c r="G170" s="328"/>
      <c r="H170" s="279">
        <v>1</v>
      </c>
      <c r="I170" s="328"/>
      <c r="J170" s="328"/>
      <c r="K170" s="279"/>
      <c r="L170" s="277">
        <v>5</v>
      </c>
      <c r="M170" s="280">
        <f t="shared" si="125"/>
        <v>3028</v>
      </c>
      <c r="N170" s="281">
        <f t="shared" si="126"/>
        <v>2</v>
      </c>
      <c r="O170" s="277">
        <v>1.67</v>
      </c>
      <c r="P170" s="282">
        <f>P$244</f>
        <v>1.58</v>
      </c>
      <c r="Q170" s="277"/>
      <c r="R170" s="283">
        <f t="shared" si="129"/>
        <v>477</v>
      </c>
      <c r="S170" s="280">
        <f t="shared" si="130"/>
        <v>33.498951781970646</v>
      </c>
      <c r="T170" s="425">
        <f t="shared" si="131"/>
        <v>15979</v>
      </c>
      <c r="U170" s="284">
        <f t="shared" si="149"/>
        <v>31958</v>
      </c>
      <c r="V170" s="277">
        <v>20</v>
      </c>
      <c r="W170" s="285"/>
      <c r="X170" s="285">
        <f t="shared" si="132"/>
        <v>6391.6</v>
      </c>
      <c r="Y170" s="277">
        <v>8</v>
      </c>
      <c r="Z170" s="285"/>
      <c r="AA170" s="285">
        <f>U170*Y170%</f>
        <v>2556.64</v>
      </c>
      <c r="AB170" s="277"/>
      <c r="AC170" s="277"/>
      <c r="AD170" s="277"/>
      <c r="AE170" s="277"/>
      <c r="AF170" s="277"/>
      <c r="AG170" s="277"/>
      <c r="AH170" s="277"/>
      <c r="AI170" s="277"/>
      <c r="AJ170" s="277"/>
      <c r="AK170" s="277">
        <f>(30+10)/2</f>
        <v>20</v>
      </c>
      <c r="AL170" s="277"/>
      <c r="AM170" s="342">
        <f>2*T170*AK170%*1</f>
        <v>6391.6</v>
      </c>
      <c r="AN170" s="277"/>
      <c r="AO170" s="277"/>
      <c r="AP170" s="277"/>
      <c r="AQ170" s="284">
        <f t="shared" si="133"/>
        <v>15339.84</v>
      </c>
      <c r="AR170" s="277">
        <f t="shared" si="127"/>
        <v>20</v>
      </c>
      <c r="AS170" s="277">
        <f t="shared" si="134"/>
        <v>3195.8</v>
      </c>
      <c r="AT170" s="283">
        <f t="shared" si="135"/>
        <v>6391.6</v>
      </c>
      <c r="AU170" s="277"/>
      <c r="AV170" s="277">
        <v>100</v>
      </c>
      <c r="AW170" s="277">
        <f t="shared" si="136"/>
        <v>0</v>
      </c>
      <c r="AX170" s="277"/>
      <c r="AY170" s="277"/>
      <c r="AZ170" s="283"/>
      <c r="BA170" s="284">
        <f t="shared" si="137"/>
        <v>6391.6</v>
      </c>
      <c r="BB170" s="284">
        <f t="shared" si="138"/>
        <v>26844.720000000001</v>
      </c>
      <c r="BC170" s="284">
        <f t="shared" si="139"/>
        <v>53689.440000000002</v>
      </c>
      <c r="BD170" s="286">
        <f t="shared" si="140"/>
        <v>8948.24</v>
      </c>
      <c r="BE170" s="286"/>
      <c r="BF170" s="251">
        <f t="shared" si="141"/>
        <v>0</v>
      </c>
      <c r="BG170" s="251">
        <f t="shared" si="142"/>
        <v>0</v>
      </c>
      <c r="BH170" s="251">
        <f t="shared" si="143"/>
        <v>0</v>
      </c>
      <c r="BI170" s="251">
        <f t="shared" si="144"/>
        <v>0</v>
      </c>
      <c r="BJ170" s="251">
        <f t="shared" si="145"/>
        <v>53689.440000000002</v>
      </c>
      <c r="BK170" s="251">
        <f t="shared" si="146"/>
        <v>0</v>
      </c>
      <c r="BL170" s="251">
        <f t="shared" si="147"/>
        <v>0</v>
      </c>
      <c r="BM170" s="251">
        <f t="shared" si="148"/>
        <v>0</v>
      </c>
    </row>
    <row r="171" spans="1:65" x14ac:dyDescent="0.25">
      <c r="A171" s="344"/>
      <c r="B171" s="288" t="s">
        <v>243</v>
      </c>
      <c r="C171" s="393">
        <v>1</v>
      </c>
      <c r="D171" s="279"/>
      <c r="E171" s="279"/>
      <c r="F171" s="328"/>
      <c r="G171" s="328"/>
      <c r="H171" s="279">
        <v>1</v>
      </c>
      <c r="I171" s="328"/>
      <c r="J171" s="328"/>
      <c r="K171" s="279"/>
      <c r="L171" s="277"/>
      <c r="M171" s="280">
        <f>M$143</f>
        <v>3028</v>
      </c>
      <c r="N171" s="281">
        <f>N$136</f>
        <v>2</v>
      </c>
      <c r="O171" s="277">
        <v>1.86</v>
      </c>
      <c r="P171" s="282">
        <v>1</v>
      </c>
      <c r="Q171" s="277"/>
      <c r="R171" s="283">
        <f t="shared" si="129"/>
        <v>477</v>
      </c>
      <c r="S171" s="280">
        <f t="shared" si="130"/>
        <v>23.614255765199161</v>
      </c>
      <c r="T171" s="425">
        <f t="shared" si="131"/>
        <v>11264</v>
      </c>
      <c r="U171" s="284">
        <f t="shared" si="149"/>
        <v>11264</v>
      </c>
      <c r="V171" s="277"/>
      <c r="W171" s="285"/>
      <c r="X171" s="285">
        <f t="shared" si="132"/>
        <v>0</v>
      </c>
      <c r="Y171" s="277"/>
      <c r="Z171" s="277"/>
      <c r="AA171" s="277"/>
      <c r="AB171" s="345"/>
      <c r="AC171" s="345"/>
      <c r="AD171" s="345"/>
      <c r="AE171" s="345"/>
      <c r="AF171" s="345"/>
      <c r="AG171" s="345"/>
      <c r="AH171" s="345"/>
      <c r="AI171" s="345"/>
      <c r="AJ171" s="345"/>
      <c r="AK171" s="277"/>
      <c r="AL171" s="285"/>
      <c r="AM171" s="285">
        <f>T171*AK171%*1</f>
        <v>0</v>
      </c>
      <c r="AN171" s="277">
        <v>25</v>
      </c>
      <c r="AO171" s="285"/>
      <c r="AP171" s="285">
        <f>U171*AN171%</f>
        <v>2816</v>
      </c>
      <c r="AQ171" s="284">
        <f t="shared" si="133"/>
        <v>2816</v>
      </c>
      <c r="AR171" s="277">
        <f t="shared" si="127"/>
        <v>20</v>
      </c>
      <c r="AS171" s="277">
        <f t="shared" si="134"/>
        <v>2252.8000000000002</v>
      </c>
      <c r="AT171" s="283">
        <f t="shared" si="135"/>
        <v>2252.8000000000002</v>
      </c>
      <c r="AU171" s="277">
        <v>1</v>
      </c>
      <c r="AV171" s="277">
        <v>100</v>
      </c>
      <c r="AW171" s="277">
        <f t="shared" si="136"/>
        <v>11264</v>
      </c>
      <c r="AX171" s="277"/>
      <c r="AY171" s="277"/>
      <c r="AZ171" s="304"/>
      <c r="BA171" s="284">
        <f t="shared" si="137"/>
        <v>13516.8</v>
      </c>
      <c r="BB171" s="284">
        <f t="shared" si="138"/>
        <v>27596.799999999999</v>
      </c>
      <c r="BC171" s="284">
        <f t="shared" si="139"/>
        <v>27596.799999999999</v>
      </c>
      <c r="BD171" s="286">
        <f t="shared" si="140"/>
        <v>9198.9333333333325</v>
      </c>
      <c r="BE171" s="286"/>
      <c r="BF171" s="251">
        <f t="shared" si="141"/>
        <v>0</v>
      </c>
      <c r="BG171" s="251">
        <f t="shared" si="142"/>
        <v>0</v>
      </c>
      <c r="BH171" s="251">
        <f t="shared" si="143"/>
        <v>0</v>
      </c>
      <c r="BI171" s="251">
        <f t="shared" si="144"/>
        <v>0</v>
      </c>
      <c r="BJ171" s="251">
        <f t="shared" si="145"/>
        <v>27596.799999999999</v>
      </c>
      <c r="BK171" s="251">
        <f t="shared" si="146"/>
        <v>0</v>
      </c>
      <c r="BL171" s="251">
        <f t="shared" si="147"/>
        <v>0</v>
      </c>
      <c r="BM171" s="251">
        <f t="shared" si="148"/>
        <v>0</v>
      </c>
    </row>
    <row r="172" spans="1:65" x14ac:dyDescent="0.25">
      <c r="A172" s="344"/>
      <c r="B172" s="288" t="s">
        <v>243</v>
      </c>
      <c r="C172" s="393">
        <v>1</v>
      </c>
      <c r="D172" s="279"/>
      <c r="E172" s="279"/>
      <c r="F172" s="328"/>
      <c r="G172" s="328"/>
      <c r="H172" s="279">
        <v>1</v>
      </c>
      <c r="I172" s="328"/>
      <c r="J172" s="328"/>
      <c r="K172" s="279"/>
      <c r="L172" s="277"/>
      <c r="M172" s="280">
        <f>M$143</f>
        <v>3028</v>
      </c>
      <c r="N172" s="281">
        <f>N$136</f>
        <v>2</v>
      </c>
      <c r="O172" s="277">
        <v>1.8</v>
      </c>
      <c r="P172" s="282">
        <v>1</v>
      </c>
      <c r="Q172" s="277"/>
      <c r="R172" s="283">
        <f t="shared" si="129"/>
        <v>477</v>
      </c>
      <c r="S172" s="280">
        <f t="shared" si="130"/>
        <v>22.853249475890987</v>
      </c>
      <c r="T172" s="425">
        <f t="shared" si="131"/>
        <v>10901</v>
      </c>
      <c r="U172" s="284">
        <f t="shared" si="149"/>
        <v>10901</v>
      </c>
      <c r="V172" s="277"/>
      <c r="W172" s="285"/>
      <c r="X172" s="285">
        <f>U172*V172%</f>
        <v>0</v>
      </c>
      <c r="Y172" s="277"/>
      <c r="Z172" s="277"/>
      <c r="AA172" s="277"/>
      <c r="AB172" s="345"/>
      <c r="AC172" s="345"/>
      <c r="AD172" s="345"/>
      <c r="AE172" s="345"/>
      <c r="AF172" s="345"/>
      <c r="AG172" s="345"/>
      <c r="AH172" s="345"/>
      <c r="AI172" s="345"/>
      <c r="AJ172" s="345"/>
      <c r="AK172" s="277">
        <v>7</v>
      </c>
      <c r="AL172" s="285"/>
      <c r="AM172" s="285">
        <f>T172*AK172%*1</f>
        <v>763.07</v>
      </c>
      <c r="AN172" s="277">
        <v>25</v>
      </c>
      <c r="AO172" s="285"/>
      <c r="AP172" s="285">
        <f>U172*AN172%</f>
        <v>2725.25</v>
      </c>
      <c r="AQ172" s="284">
        <f t="shared" si="133"/>
        <v>3488.32</v>
      </c>
      <c r="AR172" s="277">
        <f t="shared" si="127"/>
        <v>20</v>
      </c>
      <c r="AS172" s="277">
        <f t="shared" si="134"/>
        <v>2180.2000000000003</v>
      </c>
      <c r="AT172" s="283">
        <f t="shared" si="135"/>
        <v>2180.2000000000003</v>
      </c>
      <c r="AU172" s="277"/>
      <c r="AV172" s="277">
        <v>100</v>
      </c>
      <c r="AW172" s="277">
        <f t="shared" si="136"/>
        <v>0</v>
      </c>
      <c r="AX172" s="277"/>
      <c r="AY172" s="277"/>
      <c r="AZ172" s="304"/>
      <c r="BA172" s="284">
        <f>AT172+AW172+AZ172</f>
        <v>2180.2000000000003</v>
      </c>
      <c r="BB172" s="284">
        <f t="shared" si="138"/>
        <v>16569.52</v>
      </c>
      <c r="BC172" s="284">
        <f t="shared" si="139"/>
        <v>16569.52</v>
      </c>
      <c r="BD172" s="286">
        <f t="shared" si="140"/>
        <v>5523.1733333333332</v>
      </c>
      <c r="BE172" s="286"/>
      <c r="BF172" s="251">
        <f t="shared" si="141"/>
        <v>0</v>
      </c>
      <c r="BG172" s="251">
        <f t="shared" si="142"/>
        <v>0</v>
      </c>
      <c r="BH172" s="251">
        <f t="shared" si="143"/>
        <v>0</v>
      </c>
      <c r="BI172" s="251">
        <f t="shared" si="144"/>
        <v>0</v>
      </c>
      <c r="BJ172" s="251">
        <f t="shared" si="145"/>
        <v>16569.52</v>
      </c>
      <c r="BK172" s="251">
        <f t="shared" si="146"/>
        <v>0</v>
      </c>
      <c r="BL172" s="251">
        <f t="shared" si="147"/>
        <v>0</v>
      </c>
      <c r="BM172" s="251">
        <f t="shared" si="148"/>
        <v>0</v>
      </c>
    </row>
    <row r="173" spans="1:65" x14ac:dyDescent="0.25">
      <c r="A173" s="344"/>
      <c r="B173" s="288" t="s">
        <v>244</v>
      </c>
      <c r="C173" s="393">
        <v>1</v>
      </c>
      <c r="D173" s="279"/>
      <c r="E173" s="279"/>
      <c r="F173" s="328"/>
      <c r="G173" s="328"/>
      <c r="H173" s="279">
        <v>1</v>
      </c>
      <c r="I173" s="328"/>
      <c r="J173" s="328"/>
      <c r="K173" s="279"/>
      <c r="L173" s="277">
        <v>5</v>
      </c>
      <c r="M173" s="280">
        <f>M$143</f>
        <v>3028</v>
      </c>
      <c r="N173" s="281">
        <f>N$136</f>
        <v>2</v>
      </c>
      <c r="O173" s="277">
        <v>1.67</v>
      </c>
      <c r="P173" s="282">
        <f>P$244</f>
        <v>1.58</v>
      </c>
      <c r="Q173" s="277"/>
      <c r="R173" s="283">
        <f t="shared" si="129"/>
        <v>477</v>
      </c>
      <c r="S173" s="280">
        <f t="shared" si="130"/>
        <v>33.498951781970646</v>
      </c>
      <c r="T173" s="425">
        <f t="shared" si="131"/>
        <v>15979</v>
      </c>
      <c r="U173" s="284">
        <f t="shared" si="149"/>
        <v>15979</v>
      </c>
      <c r="V173" s="277">
        <v>20</v>
      </c>
      <c r="W173" s="285"/>
      <c r="X173" s="285">
        <f>U173*V173%</f>
        <v>3195.8</v>
      </c>
      <c r="Y173" s="277"/>
      <c r="Z173" s="277"/>
      <c r="AA173" s="277"/>
      <c r="AB173" s="345"/>
      <c r="AC173" s="345"/>
      <c r="AD173" s="345"/>
      <c r="AE173" s="345"/>
      <c r="AF173" s="345"/>
      <c r="AG173" s="345"/>
      <c r="AH173" s="345"/>
      <c r="AI173" s="345"/>
      <c r="AJ173" s="345"/>
      <c r="AK173" s="277">
        <v>15</v>
      </c>
      <c r="AL173" s="277"/>
      <c r="AM173" s="285">
        <f>T173*AK173%*1</f>
        <v>2396.85</v>
      </c>
      <c r="AN173" s="345"/>
      <c r="AO173" s="345"/>
      <c r="AP173" s="345"/>
      <c r="AQ173" s="284">
        <f t="shared" si="133"/>
        <v>5592.65</v>
      </c>
      <c r="AR173" s="277">
        <v>20</v>
      </c>
      <c r="AS173" s="277">
        <f t="shared" si="134"/>
        <v>3195.8</v>
      </c>
      <c r="AT173" s="283">
        <f t="shared" si="135"/>
        <v>3195.8</v>
      </c>
      <c r="AU173" s="277"/>
      <c r="AV173" s="277">
        <v>100</v>
      </c>
      <c r="AW173" s="277">
        <f t="shared" si="136"/>
        <v>0</v>
      </c>
      <c r="AX173" s="277"/>
      <c r="AY173" s="277"/>
      <c r="AZ173" s="283"/>
      <c r="BA173" s="284">
        <f>AT173+AW173+AZ173</f>
        <v>3195.8</v>
      </c>
      <c r="BB173" s="284">
        <f t="shared" si="138"/>
        <v>24767.45</v>
      </c>
      <c r="BC173" s="284">
        <f t="shared" si="139"/>
        <v>24767.45</v>
      </c>
      <c r="BD173" s="286">
        <f t="shared" si="140"/>
        <v>8255.8166666666675</v>
      </c>
      <c r="BE173" s="286"/>
      <c r="BF173" s="251">
        <f t="shared" si="141"/>
        <v>0</v>
      </c>
      <c r="BG173" s="251">
        <f t="shared" si="142"/>
        <v>0</v>
      </c>
      <c r="BH173" s="251">
        <f t="shared" si="143"/>
        <v>0</v>
      </c>
      <c r="BI173" s="251">
        <f t="shared" si="144"/>
        <v>0</v>
      </c>
      <c r="BJ173" s="251">
        <f t="shared" si="145"/>
        <v>24767.45</v>
      </c>
      <c r="BK173" s="251">
        <f t="shared" si="146"/>
        <v>0</v>
      </c>
      <c r="BL173" s="251">
        <f t="shared" si="147"/>
        <v>0</v>
      </c>
      <c r="BM173" s="251">
        <f t="shared" si="148"/>
        <v>0</v>
      </c>
    </row>
    <row r="174" spans="1:65" ht="8.25" customHeight="1" x14ac:dyDescent="0.25">
      <c r="A174" s="344"/>
      <c r="B174" s="346" t="s">
        <v>245</v>
      </c>
      <c r="C174" s="435"/>
      <c r="D174" s="328"/>
      <c r="E174" s="328"/>
      <c r="F174" s="328"/>
      <c r="G174" s="328"/>
      <c r="H174" s="328"/>
      <c r="I174" s="328"/>
      <c r="J174" s="328"/>
      <c r="K174" s="328"/>
      <c r="L174" s="345"/>
      <c r="M174" s="347"/>
      <c r="N174" s="345"/>
      <c r="O174" s="345"/>
      <c r="P174" s="345"/>
      <c r="Q174" s="345"/>
      <c r="R174" s="347"/>
      <c r="S174" s="347"/>
      <c r="T174" s="345"/>
      <c r="U174" s="348"/>
      <c r="V174" s="345"/>
      <c r="W174" s="345"/>
      <c r="X174" s="345"/>
      <c r="Y174" s="345"/>
      <c r="Z174" s="345"/>
      <c r="AA174" s="345"/>
      <c r="AB174" s="345"/>
      <c r="AC174" s="345"/>
      <c r="AD174" s="345"/>
      <c r="AE174" s="345"/>
      <c r="AF174" s="345"/>
      <c r="AG174" s="345"/>
      <c r="AH174" s="345"/>
      <c r="AI174" s="345"/>
      <c r="AJ174" s="345"/>
      <c r="AK174" s="345"/>
      <c r="AL174" s="345"/>
      <c r="AM174" s="428"/>
      <c r="AN174" s="345"/>
      <c r="AO174" s="345"/>
      <c r="AP174" s="345"/>
      <c r="AQ174" s="284">
        <f t="shared" si="133"/>
        <v>0</v>
      </c>
      <c r="AR174" s="345"/>
      <c r="AS174" s="345"/>
      <c r="AT174" s="347"/>
      <c r="AU174" s="345"/>
      <c r="AV174" s="345"/>
      <c r="AW174" s="345"/>
      <c r="AX174" s="345"/>
      <c r="AY174" s="345"/>
      <c r="AZ174" s="347"/>
      <c r="BA174" s="330"/>
      <c r="BB174" s="330"/>
      <c r="BC174" s="330"/>
      <c r="BD174" s="286"/>
      <c r="BK174" s="241">
        <f t="shared" si="146"/>
        <v>0</v>
      </c>
      <c r="BL174" s="241">
        <f t="shared" si="147"/>
        <v>0</v>
      </c>
      <c r="BM174" s="241">
        <f t="shared" si="148"/>
        <v>0</v>
      </c>
    </row>
    <row r="175" spans="1:65" s="316" customFormat="1" ht="22.9" customHeight="1" x14ac:dyDescent="0.25">
      <c r="A175" s="306"/>
      <c r="B175" s="307" t="s">
        <v>229</v>
      </c>
      <c r="C175" s="436">
        <f>SUM(C166:C173)</f>
        <v>23</v>
      </c>
      <c r="D175" s="309"/>
      <c r="E175" s="309"/>
      <c r="F175" s="309"/>
      <c r="G175" s="309"/>
      <c r="H175" s="309"/>
      <c r="I175" s="309"/>
      <c r="J175" s="309"/>
      <c r="K175" s="309"/>
      <c r="L175" s="309"/>
      <c r="M175" s="310"/>
      <c r="N175" s="309"/>
      <c r="O175" s="309"/>
      <c r="P175" s="309"/>
      <c r="Q175" s="309"/>
      <c r="R175" s="310"/>
      <c r="S175" s="310"/>
      <c r="T175" s="349">
        <f>U175/1</f>
        <v>332468</v>
      </c>
      <c r="U175" s="329">
        <f>SUM(U166:U174)</f>
        <v>332468</v>
      </c>
      <c r="V175" s="309"/>
      <c r="W175" s="309"/>
      <c r="X175" s="329">
        <f>SUM(X166:X173)</f>
        <v>56040.080000000009</v>
      </c>
      <c r="Y175" s="329"/>
      <c r="Z175" s="329"/>
      <c r="AA175" s="329">
        <f>SUM(AA166:AA173)</f>
        <v>13051.279999999999</v>
      </c>
      <c r="AB175" s="329"/>
      <c r="AC175" s="329"/>
      <c r="AD175" s="329">
        <f>SUM(AD166:AD173)</f>
        <v>6229.2215568862284</v>
      </c>
      <c r="AE175" s="329"/>
      <c r="AF175" s="329"/>
      <c r="AG175" s="329">
        <f>SUM(AG166:AG173)</f>
        <v>21802.275449101795</v>
      </c>
      <c r="AH175" s="329"/>
      <c r="AI175" s="329"/>
      <c r="AJ175" s="329">
        <f>SUM(AJ166:AJ173)</f>
        <v>21667.017964071856</v>
      </c>
      <c r="AK175" s="329"/>
      <c r="AL175" s="329"/>
      <c r="AM175" s="329">
        <f>SUM(AM166:AM173)</f>
        <v>18339.04</v>
      </c>
      <c r="AN175" s="329"/>
      <c r="AO175" s="329"/>
      <c r="AP175" s="329">
        <f>SUM(AP166:AP173)</f>
        <v>5541.25</v>
      </c>
      <c r="AQ175" s="329">
        <f>SUM(AQ166:AQ173)</f>
        <v>142670.16497005988</v>
      </c>
      <c r="AR175" s="329"/>
      <c r="AS175" s="329">
        <f>SUM(AS166:AS173)</f>
        <v>22689.399999999998</v>
      </c>
      <c r="AT175" s="329">
        <f>SUM(AT166:AT173)</f>
        <v>66493.600000000006</v>
      </c>
      <c r="AU175" s="329">
        <f>SUM(AU166:AU173)</f>
        <v>3</v>
      </c>
      <c r="AV175" s="329"/>
      <c r="AW175" s="329">
        <f>SUM(AW166:AW173)</f>
        <v>43222</v>
      </c>
      <c r="AX175" s="329"/>
      <c r="AY175" s="329">
        <f>SUM(AY166:AY173)</f>
        <v>0</v>
      </c>
      <c r="AZ175" s="329">
        <f>SUM(AZ166:AZ173)</f>
        <v>0</v>
      </c>
      <c r="BA175" s="329">
        <f>SUM(BA166:BA173)</f>
        <v>109715.6</v>
      </c>
      <c r="BB175" s="329">
        <f>SUM(BB166:BB173)</f>
        <v>202181.9705489022</v>
      </c>
      <c r="BC175" s="329">
        <f>SUM(BC166:BC173)</f>
        <v>584853.76497005986</v>
      </c>
      <c r="BD175" s="286">
        <f>BC175/C175/3</f>
        <v>8476.1415213052151</v>
      </c>
      <c r="BE175" s="323"/>
      <c r="BF175" s="316">
        <f t="shared" ref="BF175:BM175" si="150">SUM(BF166:BF173)</f>
        <v>0</v>
      </c>
      <c r="BG175" s="316">
        <f t="shared" si="150"/>
        <v>0</v>
      </c>
      <c r="BH175" s="316">
        <f t="shared" si="150"/>
        <v>0</v>
      </c>
      <c r="BI175" s="316">
        <f t="shared" si="150"/>
        <v>0</v>
      </c>
      <c r="BJ175" s="316">
        <f t="shared" si="150"/>
        <v>584853.76497005986</v>
      </c>
      <c r="BK175" s="316">
        <f t="shared" si="150"/>
        <v>0</v>
      </c>
      <c r="BL175" s="316">
        <f t="shared" si="150"/>
        <v>0</v>
      </c>
      <c r="BM175" s="316">
        <f t="shared" si="150"/>
        <v>0</v>
      </c>
    </row>
    <row r="176" spans="1:65" s="287" customFormat="1" ht="15" customHeight="1" x14ac:dyDescent="0.25">
      <c r="A176" s="276"/>
      <c r="B176" s="317"/>
      <c r="C176" s="350"/>
      <c r="D176" s="351"/>
      <c r="E176" s="351"/>
      <c r="F176" s="351"/>
      <c r="G176" s="351"/>
      <c r="H176" s="351"/>
      <c r="I176" s="351"/>
      <c r="J176" s="351"/>
      <c r="K176" s="351"/>
      <c r="L176" s="352"/>
      <c r="M176" s="353"/>
      <c r="N176" s="352"/>
      <c r="O176" s="352"/>
      <c r="P176" s="354"/>
      <c r="Q176" s="352"/>
      <c r="R176" s="353"/>
      <c r="S176" s="353"/>
      <c r="T176" s="265"/>
      <c r="U176" s="356"/>
      <c r="V176" s="352"/>
      <c r="W176" s="352"/>
      <c r="X176" s="356"/>
      <c r="Y176" s="356"/>
      <c r="Z176" s="356"/>
      <c r="AA176" s="356"/>
      <c r="AB176" s="356"/>
      <c r="AC176" s="356"/>
      <c r="AD176" s="356"/>
      <c r="AE176" s="356"/>
      <c r="AF176" s="356"/>
      <c r="AG176" s="356"/>
      <c r="AH176" s="356"/>
      <c r="AI176" s="356"/>
      <c r="AJ176" s="356"/>
      <c r="AK176" s="356"/>
      <c r="AL176" s="359"/>
      <c r="AM176" s="359"/>
      <c r="AN176" s="356"/>
      <c r="AO176" s="356"/>
      <c r="AP176" s="356"/>
      <c r="AQ176" s="356"/>
      <c r="AR176" s="352"/>
      <c r="AS176" s="352"/>
      <c r="AT176" s="353"/>
      <c r="AU176" s="352"/>
      <c r="AV176" s="352"/>
      <c r="AW176" s="352"/>
      <c r="AX176" s="352"/>
      <c r="AY176" s="352"/>
      <c r="AZ176" s="353"/>
      <c r="BA176" s="356"/>
      <c r="BB176" s="356"/>
      <c r="BC176" s="437"/>
      <c r="BD176" s="286"/>
      <c r="BE176" s="286"/>
    </row>
    <row r="177" spans="1:66" s="287" customFormat="1" ht="29.25" customHeight="1" x14ac:dyDescent="0.25">
      <c r="A177" s="270"/>
      <c r="B177" s="361" t="s">
        <v>246</v>
      </c>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5"/>
      <c r="AY177" s="335"/>
      <c r="AZ177" s="335"/>
      <c r="BA177" s="335"/>
      <c r="BB177" s="335"/>
      <c r="BC177" s="362"/>
      <c r="BD177" s="286"/>
      <c r="BE177" s="274"/>
      <c r="BF177" s="338" t="e">
        <f>BC184-#REF!</f>
        <v>#REF!</v>
      </c>
    </row>
    <row r="178" spans="1:66" s="275" customFormat="1" ht="18.75" customHeight="1" x14ac:dyDescent="0.25">
      <c r="A178" s="270"/>
      <c r="B178" s="361" t="s">
        <v>247</v>
      </c>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62"/>
      <c r="BD178" s="286"/>
      <c r="BE178" s="274"/>
    </row>
    <row r="179" spans="1:66" s="287" customFormat="1" ht="25.9" customHeight="1" x14ac:dyDescent="0.25">
      <c r="A179" s="276"/>
      <c r="B179" s="277" t="s">
        <v>248</v>
      </c>
      <c r="C179" s="278">
        <f>'[4]ФОТ2014 общ (2)'!$C$61</f>
        <v>4</v>
      </c>
      <c r="D179" s="279"/>
      <c r="E179" s="279"/>
      <c r="F179" s="279"/>
      <c r="G179" s="279"/>
      <c r="H179" s="279">
        <v>1</v>
      </c>
      <c r="I179" s="279"/>
      <c r="J179" s="279"/>
      <c r="K179" s="279"/>
      <c r="L179" s="277">
        <v>3</v>
      </c>
      <c r="M179" s="280">
        <f t="shared" ref="M179:M184" si="151">M$143</f>
        <v>3028</v>
      </c>
      <c r="N179" s="281">
        <f t="shared" ref="N179:N184" si="152">N$136</f>
        <v>2</v>
      </c>
      <c r="O179" s="277">
        <v>1.25</v>
      </c>
      <c r="P179" s="282">
        <f>P$244</f>
        <v>1.58</v>
      </c>
      <c r="Q179" s="277"/>
      <c r="R179" s="283">
        <f t="shared" ref="R179:R184" si="153">$R$244</f>
        <v>477</v>
      </c>
      <c r="S179" s="280">
        <f t="shared" ref="S179:S184" si="154">T179/(R179/1)</f>
        <v>25.075471698113208</v>
      </c>
      <c r="T179" s="425">
        <f t="shared" ref="T179:T184" si="155">ROUND(M179*N179*O179*P179,0)</f>
        <v>11961</v>
      </c>
      <c r="U179" s="284">
        <f t="shared" ref="U179:U184" si="156">T179*C179*1</f>
        <v>47844</v>
      </c>
      <c r="V179" s="277">
        <v>12</v>
      </c>
      <c r="W179" s="285"/>
      <c r="X179" s="285">
        <f t="shared" ref="X179:X184" si="157">U179*V179%</f>
        <v>5741.28</v>
      </c>
      <c r="Y179" s="277"/>
      <c r="Z179" s="277"/>
      <c r="AA179" s="277"/>
      <c r="AB179" s="277">
        <v>20</v>
      </c>
      <c r="AC179" s="277"/>
      <c r="AD179" s="340">
        <f>SUM([3]ночн.празд!D6)</f>
        <v>1718.946107784431</v>
      </c>
      <c r="AE179" s="341">
        <v>35</v>
      </c>
      <c r="AF179" s="340"/>
      <c r="AG179" s="340">
        <f>SUM([3]ночн.празд!E6)</f>
        <v>6016.3113772455081</v>
      </c>
      <c r="AH179" s="341">
        <v>200</v>
      </c>
      <c r="AI179" s="340"/>
      <c r="AJ179" s="340">
        <f>SUM([3]ночн.празд!B6:C6)</f>
        <v>7019.0299401197599</v>
      </c>
      <c r="AK179" s="277">
        <f>(30+25+10+20)/4</f>
        <v>21.25</v>
      </c>
      <c r="AL179" s="277"/>
      <c r="AM179" s="342">
        <f>4*T179*AK179%*1</f>
        <v>10166.85</v>
      </c>
      <c r="AN179" s="277"/>
      <c r="AO179" s="277"/>
      <c r="AP179" s="285"/>
      <c r="AQ179" s="284">
        <f t="shared" ref="AQ179:AQ184" si="158">X179+AA179+AD179+AG179+AJ179+AM179+AP179</f>
        <v>30662.417425149695</v>
      </c>
      <c r="AR179" s="277">
        <f t="shared" ref="AR179:AR184" si="159">AR$29</f>
        <v>20</v>
      </c>
      <c r="AS179" s="285">
        <f t="shared" ref="AS179:AS184" si="160">AT179/C179</f>
        <v>2392.2000000000003</v>
      </c>
      <c r="AT179" s="280">
        <f t="shared" ref="AT179:AT184" si="161">(U179)*AR179%</f>
        <v>9568.8000000000011</v>
      </c>
      <c r="AU179" s="277">
        <v>1</v>
      </c>
      <c r="AV179" s="277">
        <v>100</v>
      </c>
      <c r="AW179" s="277">
        <f t="shared" ref="AW179:AW184" si="162">AU179*T179</f>
        <v>11961</v>
      </c>
      <c r="AX179" s="277"/>
      <c r="AY179" s="285"/>
      <c r="AZ179" s="280"/>
      <c r="BA179" s="284">
        <f t="shared" ref="BA179:BA184" si="163">AT179+AW179+AZ179</f>
        <v>21529.800000000003</v>
      </c>
      <c r="BB179" s="363">
        <f t="shared" ref="BB179:BB184" si="164">BC179/C179</f>
        <v>25009.054356287423</v>
      </c>
      <c r="BC179" s="284">
        <f t="shared" ref="BC179:BC184" si="165">BA179+AQ179+U179</f>
        <v>100036.21742514969</v>
      </c>
      <c r="BD179" s="286">
        <f t="shared" ref="BD179:BD184" si="166">BC179/C179/3</f>
        <v>8336.351452095807</v>
      </c>
      <c r="BE179" s="286"/>
    </row>
    <row r="180" spans="1:66" s="377" customFormat="1" x14ac:dyDescent="0.25">
      <c r="A180" s="375"/>
      <c r="B180" s="290" t="s">
        <v>249</v>
      </c>
      <c r="C180" s="376">
        <v>1</v>
      </c>
      <c r="D180" s="292"/>
      <c r="E180" s="292"/>
      <c r="F180" s="292"/>
      <c r="G180" s="292"/>
      <c r="H180" s="292">
        <v>1</v>
      </c>
      <c r="I180" s="292"/>
      <c r="J180" s="292"/>
      <c r="K180" s="292"/>
      <c r="L180" s="293">
        <v>4</v>
      </c>
      <c r="M180" s="280">
        <f t="shared" si="151"/>
        <v>3028</v>
      </c>
      <c r="N180" s="429">
        <f t="shared" si="152"/>
        <v>2</v>
      </c>
      <c r="O180" s="293">
        <v>1.43</v>
      </c>
      <c r="P180" s="295">
        <f>P$244</f>
        <v>1.58</v>
      </c>
      <c r="Q180" s="293"/>
      <c r="R180" s="296">
        <f t="shared" si="153"/>
        <v>477</v>
      </c>
      <c r="S180" s="294">
        <f t="shared" si="154"/>
        <v>28.685534591194969</v>
      </c>
      <c r="T180" s="291">
        <f t="shared" si="155"/>
        <v>13683</v>
      </c>
      <c r="U180" s="297">
        <f t="shared" si="156"/>
        <v>13683</v>
      </c>
      <c r="V180" s="293">
        <v>16</v>
      </c>
      <c r="W180" s="298"/>
      <c r="X180" s="298">
        <f t="shared" si="157"/>
        <v>2189.2800000000002</v>
      </c>
      <c r="Y180" s="277">
        <v>4</v>
      </c>
      <c r="Z180" s="285"/>
      <c r="AA180" s="285">
        <f>U180*Y180%</f>
        <v>547.32000000000005</v>
      </c>
      <c r="AB180" s="293"/>
      <c r="AC180" s="293"/>
      <c r="AD180" s="298"/>
      <c r="AE180" s="293"/>
      <c r="AF180" s="298"/>
      <c r="AG180" s="298"/>
      <c r="AH180" s="293"/>
      <c r="AI180" s="298"/>
      <c r="AJ180" s="298"/>
      <c r="AK180" s="293"/>
      <c r="AL180" s="293"/>
      <c r="AM180" s="298">
        <f>T180*AK180%*1</f>
        <v>0</v>
      </c>
      <c r="AN180" s="293"/>
      <c r="AO180" s="293"/>
      <c r="AP180" s="298"/>
      <c r="AQ180" s="297">
        <f t="shared" si="158"/>
        <v>2736.6000000000004</v>
      </c>
      <c r="AR180" s="293">
        <f t="shared" si="159"/>
        <v>20</v>
      </c>
      <c r="AS180" s="293">
        <f t="shared" si="160"/>
        <v>2736.6000000000004</v>
      </c>
      <c r="AT180" s="294">
        <f t="shared" si="161"/>
        <v>2736.6000000000004</v>
      </c>
      <c r="AU180" s="339"/>
      <c r="AV180" s="293">
        <v>100</v>
      </c>
      <c r="AW180" s="293">
        <f t="shared" si="162"/>
        <v>0</v>
      </c>
      <c r="AX180" s="293"/>
      <c r="AY180" s="293"/>
      <c r="AZ180" s="294"/>
      <c r="BA180" s="297">
        <f t="shared" si="163"/>
        <v>2736.6000000000004</v>
      </c>
      <c r="BB180" s="297">
        <f t="shared" si="164"/>
        <v>19156.2</v>
      </c>
      <c r="BC180" s="297">
        <f t="shared" si="165"/>
        <v>19156.2</v>
      </c>
      <c r="BD180" s="299">
        <f t="shared" si="166"/>
        <v>6385.4000000000005</v>
      </c>
      <c r="BE180" s="299"/>
    </row>
    <row r="181" spans="1:66" s="287" customFormat="1" ht="28.5" x14ac:dyDescent="0.25">
      <c r="A181" s="276"/>
      <c r="B181" s="277" t="s">
        <v>279</v>
      </c>
      <c r="C181" s="278">
        <v>1</v>
      </c>
      <c r="D181" s="279"/>
      <c r="E181" s="279"/>
      <c r="F181" s="279"/>
      <c r="G181" s="279"/>
      <c r="H181" s="279">
        <v>1</v>
      </c>
      <c r="I181" s="279"/>
      <c r="J181" s="279"/>
      <c r="K181" s="279"/>
      <c r="L181" s="277">
        <v>5</v>
      </c>
      <c r="M181" s="280">
        <f t="shared" si="151"/>
        <v>3028</v>
      </c>
      <c r="N181" s="281">
        <f t="shared" si="152"/>
        <v>2</v>
      </c>
      <c r="O181" s="282">
        <v>1.67</v>
      </c>
      <c r="P181" s="282">
        <f>P$244</f>
        <v>1.58</v>
      </c>
      <c r="Q181" s="277"/>
      <c r="R181" s="283">
        <f t="shared" si="153"/>
        <v>477</v>
      </c>
      <c r="S181" s="280">
        <f t="shared" si="154"/>
        <v>33.498951781970646</v>
      </c>
      <c r="T181" s="425">
        <f t="shared" si="155"/>
        <v>15979</v>
      </c>
      <c r="U181" s="284">
        <f t="shared" si="156"/>
        <v>15979</v>
      </c>
      <c r="V181" s="277">
        <v>20</v>
      </c>
      <c r="W181" s="285"/>
      <c r="X181" s="285">
        <f t="shared" si="157"/>
        <v>3195.8</v>
      </c>
      <c r="Y181" s="277"/>
      <c r="Z181" s="277"/>
      <c r="AA181" s="277"/>
      <c r="AB181" s="277"/>
      <c r="AC181" s="277"/>
      <c r="AD181" s="277"/>
      <c r="AE181" s="277"/>
      <c r="AF181" s="277"/>
      <c r="AG181" s="277"/>
      <c r="AH181" s="277"/>
      <c r="AI181" s="277"/>
      <c r="AJ181" s="277"/>
      <c r="AK181" s="277">
        <v>15</v>
      </c>
      <c r="AL181" s="277"/>
      <c r="AM181" s="285">
        <f>T181*AK181%*1</f>
        <v>2396.85</v>
      </c>
      <c r="AN181" s="277"/>
      <c r="AO181" s="277"/>
      <c r="AP181" s="277"/>
      <c r="AQ181" s="284">
        <f t="shared" si="158"/>
        <v>5592.65</v>
      </c>
      <c r="AR181" s="277">
        <f t="shared" si="159"/>
        <v>20</v>
      </c>
      <c r="AS181" s="285">
        <f t="shared" si="160"/>
        <v>3195.8</v>
      </c>
      <c r="AT181" s="280">
        <f t="shared" si="161"/>
        <v>3195.8</v>
      </c>
      <c r="AU181" s="277"/>
      <c r="AV181" s="277">
        <v>100</v>
      </c>
      <c r="AW181" s="277">
        <f t="shared" si="162"/>
        <v>0</v>
      </c>
      <c r="AX181" s="277"/>
      <c r="AY181" s="285"/>
      <c r="AZ181" s="280"/>
      <c r="BA181" s="284">
        <f t="shared" si="163"/>
        <v>3195.8</v>
      </c>
      <c r="BB181" s="363">
        <f t="shared" si="164"/>
        <v>24767.45</v>
      </c>
      <c r="BC181" s="284">
        <f t="shared" si="165"/>
        <v>24767.45</v>
      </c>
      <c r="BD181" s="286">
        <f t="shared" si="166"/>
        <v>8255.8166666666675</v>
      </c>
      <c r="BE181" s="286"/>
    </row>
    <row r="182" spans="1:66" s="287" customFormat="1" ht="34.5" customHeight="1" x14ac:dyDescent="0.25">
      <c r="A182" s="276"/>
      <c r="B182" s="277" t="s">
        <v>251</v>
      </c>
      <c r="C182" s="278">
        <f>'[4]ФОТ2014 общ (2)'!$C$64</f>
        <v>1</v>
      </c>
      <c r="D182" s="279"/>
      <c r="E182" s="279"/>
      <c r="F182" s="279"/>
      <c r="G182" s="279"/>
      <c r="H182" s="279">
        <v>1</v>
      </c>
      <c r="I182" s="279"/>
      <c r="J182" s="279"/>
      <c r="K182" s="279"/>
      <c r="L182" s="277">
        <v>5</v>
      </c>
      <c r="M182" s="280">
        <f t="shared" si="151"/>
        <v>3028</v>
      </c>
      <c r="N182" s="281">
        <f t="shared" si="152"/>
        <v>2</v>
      </c>
      <c r="O182" s="282">
        <v>1.67</v>
      </c>
      <c r="P182" s="282">
        <f>P$244</f>
        <v>1.58</v>
      </c>
      <c r="Q182" s="277"/>
      <c r="R182" s="283">
        <f t="shared" si="153"/>
        <v>477</v>
      </c>
      <c r="S182" s="280">
        <f t="shared" si="154"/>
        <v>33.498951781970646</v>
      </c>
      <c r="T182" s="425">
        <f t="shared" si="155"/>
        <v>15979</v>
      </c>
      <c r="U182" s="284">
        <f t="shared" si="156"/>
        <v>15979</v>
      </c>
      <c r="V182" s="277">
        <v>20</v>
      </c>
      <c r="W182" s="285"/>
      <c r="X182" s="285">
        <f t="shared" si="157"/>
        <v>3195.8</v>
      </c>
      <c r="Y182" s="277"/>
      <c r="Z182" s="277"/>
      <c r="AA182" s="285"/>
      <c r="AB182" s="277"/>
      <c r="AC182" s="277"/>
      <c r="AD182" s="277"/>
      <c r="AE182" s="277"/>
      <c r="AF182" s="277"/>
      <c r="AG182" s="277"/>
      <c r="AH182" s="277"/>
      <c r="AI182" s="277"/>
      <c r="AJ182" s="277"/>
      <c r="AK182" s="277">
        <v>0</v>
      </c>
      <c r="AL182" s="277"/>
      <c r="AM182" s="285">
        <f>T182*AK182%*1</f>
        <v>0</v>
      </c>
      <c r="AN182" s="277"/>
      <c r="AO182" s="277"/>
      <c r="AP182" s="277"/>
      <c r="AQ182" s="284">
        <f t="shared" si="158"/>
        <v>3195.8</v>
      </c>
      <c r="AR182" s="277">
        <f t="shared" si="159"/>
        <v>20</v>
      </c>
      <c r="AS182" s="285">
        <f t="shared" si="160"/>
        <v>3195.8</v>
      </c>
      <c r="AT182" s="280">
        <f t="shared" si="161"/>
        <v>3195.8</v>
      </c>
      <c r="AU182" s="277"/>
      <c r="AV182" s="277">
        <v>100</v>
      </c>
      <c r="AW182" s="277">
        <f t="shared" si="162"/>
        <v>0</v>
      </c>
      <c r="AX182" s="277"/>
      <c r="AY182" s="285"/>
      <c r="AZ182" s="280"/>
      <c r="BA182" s="284">
        <f t="shared" si="163"/>
        <v>3195.8</v>
      </c>
      <c r="BB182" s="363">
        <f t="shared" si="164"/>
        <v>22370.6</v>
      </c>
      <c r="BC182" s="284">
        <f t="shared" si="165"/>
        <v>22370.6</v>
      </c>
      <c r="BD182" s="286">
        <f t="shared" si="166"/>
        <v>7456.8666666666659</v>
      </c>
      <c r="BE182" s="286"/>
    </row>
    <row r="183" spans="1:66" s="287" customFormat="1" ht="25.5" customHeight="1" x14ac:dyDescent="0.25">
      <c r="A183" s="276"/>
      <c r="B183" s="277" t="s">
        <v>252</v>
      </c>
      <c r="C183" s="278">
        <f>'[4]ФОТ2014 общ (2)'!$C$66</f>
        <v>1</v>
      </c>
      <c r="D183" s="279"/>
      <c r="E183" s="279"/>
      <c r="F183" s="279"/>
      <c r="G183" s="279"/>
      <c r="H183" s="279">
        <v>1</v>
      </c>
      <c r="I183" s="279"/>
      <c r="J183" s="279"/>
      <c r="K183" s="279"/>
      <c r="L183" s="277">
        <v>3</v>
      </c>
      <c r="M183" s="280">
        <f t="shared" si="151"/>
        <v>3028</v>
      </c>
      <c r="N183" s="281">
        <f t="shared" si="152"/>
        <v>2</v>
      </c>
      <c r="O183" s="277">
        <v>1.25</v>
      </c>
      <c r="P183" s="282">
        <f>P$244</f>
        <v>1.58</v>
      </c>
      <c r="Q183" s="277"/>
      <c r="R183" s="283">
        <f t="shared" si="153"/>
        <v>477</v>
      </c>
      <c r="S183" s="280">
        <f t="shared" si="154"/>
        <v>25.075471698113208</v>
      </c>
      <c r="T183" s="425">
        <f t="shared" si="155"/>
        <v>11961</v>
      </c>
      <c r="U183" s="284">
        <f t="shared" si="156"/>
        <v>11961</v>
      </c>
      <c r="V183" s="277">
        <v>12</v>
      </c>
      <c r="W183" s="285"/>
      <c r="X183" s="285">
        <f t="shared" si="157"/>
        <v>1435.32</v>
      </c>
      <c r="Y183" s="277">
        <v>4</v>
      </c>
      <c r="Z183" s="285"/>
      <c r="AA183" s="285">
        <f>U183*Y183%</f>
        <v>478.44</v>
      </c>
      <c r="AB183" s="277"/>
      <c r="AC183" s="277"/>
      <c r="AD183" s="277"/>
      <c r="AE183" s="277"/>
      <c r="AF183" s="277"/>
      <c r="AG183" s="277"/>
      <c r="AH183" s="277"/>
      <c r="AI183" s="277"/>
      <c r="AJ183" s="277"/>
      <c r="AK183" s="277"/>
      <c r="AL183" s="277"/>
      <c r="AM183" s="285">
        <f>T183*AK183%*1</f>
        <v>0</v>
      </c>
      <c r="AN183" s="277"/>
      <c r="AO183" s="277"/>
      <c r="AP183" s="277"/>
      <c r="AQ183" s="284">
        <f t="shared" si="158"/>
        <v>1913.76</v>
      </c>
      <c r="AR183" s="277">
        <f t="shared" si="159"/>
        <v>20</v>
      </c>
      <c r="AS183" s="285">
        <f t="shared" si="160"/>
        <v>2392.2000000000003</v>
      </c>
      <c r="AT183" s="280">
        <f t="shared" si="161"/>
        <v>2392.2000000000003</v>
      </c>
      <c r="AU183" s="277"/>
      <c r="AV183" s="277">
        <v>100</v>
      </c>
      <c r="AW183" s="277">
        <f t="shared" si="162"/>
        <v>0</v>
      </c>
      <c r="AX183" s="277"/>
      <c r="AY183" s="285"/>
      <c r="AZ183" s="280"/>
      <c r="BA183" s="284">
        <f t="shared" si="163"/>
        <v>2392.2000000000003</v>
      </c>
      <c r="BB183" s="363">
        <f t="shared" si="164"/>
        <v>16266.96</v>
      </c>
      <c r="BC183" s="284">
        <f t="shared" si="165"/>
        <v>16266.96</v>
      </c>
      <c r="BD183" s="286">
        <f t="shared" si="166"/>
        <v>5422.32</v>
      </c>
      <c r="BE183" s="286"/>
    </row>
    <row r="184" spans="1:66" s="301" customFormat="1" ht="22.5" customHeight="1" x14ac:dyDescent="0.25">
      <c r="A184" s="289"/>
      <c r="B184" s="293" t="s">
        <v>253</v>
      </c>
      <c r="C184" s="438">
        <v>2</v>
      </c>
      <c r="D184" s="292"/>
      <c r="E184" s="292"/>
      <c r="F184" s="292"/>
      <c r="G184" s="292"/>
      <c r="H184" s="292">
        <v>1</v>
      </c>
      <c r="I184" s="292"/>
      <c r="J184" s="292"/>
      <c r="K184" s="292"/>
      <c r="L184" s="439"/>
      <c r="M184" s="280">
        <f t="shared" si="151"/>
        <v>3028</v>
      </c>
      <c r="N184" s="429">
        <f t="shared" si="152"/>
        <v>2</v>
      </c>
      <c r="O184" s="440">
        <v>1.32</v>
      </c>
      <c r="P184" s="430">
        <v>1</v>
      </c>
      <c r="Q184" s="439"/>
      <c r="R184" s="296">
        <f t="shared" si="153"/>
        <v>477</v>
      </c>
      <c r="S184" s="294">
        <f t="shared" si="154"/>
        <v>16.758909853249477</v>
      </c>
      <c r="T184" s="441">
        <f t="shared" si="155"/>
        <v>7994</v>
      </c>
      <c r="U184" s="297">
        <f t="shared" si="156"/>
        <v>15988</v>
      </c>
      <c r="V184" s="439">
        <v>0</v>
      </c>
      <c r="W184" s="298"/>
      <c r="X184" s="442">
        <f t="shared" si="157"/>
        <v>0</v>
      </c>
      <c r="Y184" s="439"/>
      <c r="Z184" s="439"/>
      <c r="AA184" s="439"/>
      <c r="AB184" s="439"/>
      <c r="AC184" s="439"/>
      <c r="AD184" s="439"/>
      <c r="AE184" s="439"/>
      <c r="AF184" s="439"/>
      <c r="AG184" s="439"/>
      <c r="AH184" s="439"/>
      <c r="AI184" s="439"/>
      <c r="AJ184" s="439"/>
      <c r="AK184" s="366"/>
      <c r="AL184" s="439"/>
      <c r="AM184" s="285">
        <f>T184*AK184%*1</f>
        <v>0</v>
      </c>
      <c r="AN184" s="439"/>
      <c r="AO184" s="439"/>
      <c r="AP184" s="439"/>
      <c r="AQ184" s="297">
        <f t="shared" si="158"/>
        <v>0</v>
      </c>
      <c r="AR184" s="293">
        <f t="shared" si="159"/>
        <v>20</v>
      </c>
      <c r="AS184" s="298">
        <f t="shared" si="160"/>
        <v>1598.8000000000002</v>
      </c>
      <c r="AT184" s="294">
        <f t="shared" si="161"/>
        <v>3197.6000000000004</v>
      </c>
      <c r="AU184" s="293"/>
      <c r="AV184" s="293">
        <v>100</v>
      </c>
      <c r="AW184" s="293">
        <f t="shared" si="162"/>
        <v>0</v>
      </c>
      <c r="AX184" s="293"/>
      <c r="AY184" s="298"/>
      <c r="AZ184" s="431"/>
      <c r="BA184" s="297">
        <f t="shared" si="163"/>
        <v>3197.6000000000004</v>
      </c>
      <c r="BB184" s="443">
        <f t="shared" si="164"/>
        <v>9592.7999999999993</v>
      </c>
      <c r="BC184" s="297">
        <f t="shared" si="165"/>
        <v>19185.599999999999</v>
      </c>
      <c r="BD184" s="299">
        <f t="shared" si="166"/>
        <v>3197.6</v>
      </c>
      <c r="BE184" s="299"/>
    </row>
    <row r="185" spans="1:66" s="287" customFormat="1" ht="15" customHeight="1" x14ac:dyDescent="0.25">
      <c r="A185" s="276"/>
      <c r="B185" s="277"/>
      <c r="C185" s="425"/>
      <c r="D185" s="279"/>
      <c r="E185" s="279"/>
      <c r="F185" s="279"/>
      <c r="G185" s="279"/>
      <c r="H185" s="279"/>
      <c r="I185" s="279"/>
      <c r="J185" s="279"/>
      <c r="K185" s="279"/>
      <c r="L185" s="277"/>
      <c r="M185" s="283"/>
      <c r="N185" s="277"/>
      <c r="O185" s="277"/>
      <c r="P185" s="277"/>
      <c r="Q185" s="277"/>
      <c r="R185" s="283"/>
      <c r="S185" s="283"/>
      <c r="T185" s="425"/>
      <c r="U185" s="307"/>
      <c r="V185" s="277"/>
      <c r="W185" s="277"/>
      <c r="X185" s="277"/>
      <c r="Y185" s="277"/>
      <c r="Z185" s="277"/>
      <c r="AA185" s="277"/>
      <c r="AB185" s="277"/>
      <c r="AC185" s="277"/>
      <c r="AD185" s="277"/>
      <c r="AE185" s="277"/>
      <c r="AF185" s="277"/>
      <c r="AG185" s="277"/>
      <c r="AH185" s="277"/>
      <c r="AI185" s="277"/>
      <c r="AJ185" s="277"/>
      <c r="AK185" s="277"/>
      <c r="AL185" s="277"/>
      <c r="AM185" s="285"/>
      <c r="AN185" s="277"/>
      <c r="AO185" s="277"/>
      <c r="AP185" s="277"/>
      <c r="AQ185" s="307"/>
      <c r="AR185" s="277"/>
      <c r="AS185" s="277"/>
      <c r="AT185" s="283"/>
      <c r="AU185" s="277"/>
      <c r="AV185" s="277"/>
      <c r="AW185" s="277"/>
      <c r="AX185" s="277"/>
      <c r="AY185" s="277"/>
      <c r="AZ185" s="283"/>
      <c r="BA185" s="370"/>
      <c r="BB185" s="307"/>
      <c r="BC185" s="370"/>
      <c r="BD185" s="286"/>
      <c r="BE185" s="371"/>
    </row>
    <row r="186" spans="1:66" s="316" customFormat="1" ht="14.25" x14ac:dyDescent="0.25">
      <c r="A186" s="306"/>
      <c r="B186" s="372" t="s">
        <v>229</v>
      </c>
      <c r="C186" s="308">
        <f>SUM(C179:C185)</f>
        <v>10</v>
      </c>
      <c r="D186" s="309"/>
      <c r="E186" s="309"/>
      <c r="F186" s="309"/>
      <c r="G186" s="309"/>
      <c r="H186" s="309"/>
      <c r="I186" s="309"/>
      <c r="J186" s="309"/>
      <c r="K186" s="309"/>
      <c r="L186" s="309"/>
      <c r="M186" s="310"/>
      <c r="N186" s="309"/>
      <c r="O186" s="309"/>
      <c r="P186" s="309"/>
      <c r="Q186" s="309"/>
      <c r="R186" s="310"/>
      <c r="S186" s="310"/>
      <c r="T186" s="349">
        <f>U186/1</f>
        <v>121434</v>
      </c>
      <c r="U186" s="309">
        <f>SUM(U179:U185)</f>
        <v>121434</v>
      </c>
      <c r="V186" s="309"/>
      <c r="W186" s="309"/>
      <c r="X186" s="329">
        <f>SUM(X179:X185)</f>
        <v>15757.48</v>
      </c>
      <c r="Y186" s="309"/>
      <c r="Z186" s="309">
        <f>SUM(Z179:Z185)</f>
        <v>0</v>
      </c>
      <c r="AA186" s="309">
        <f>SUM(AA179:AA185)</f>
        <v>1025.76</v>
      </c>
      <c r="AB186" s="309"/>
      <c r="AC186" s="309"/>
      <c r="AD186" s="309">
        <f>SUM(AD179:AD185)</f>
        <v>1718.946107784431</v>
      </c>
      <c r="AE186" s="309"/>
      <c r="AF186" s="309">
        <f>SUM(AF179:AF185)</f>
        <v>0</v>
      </c>
      <c r="AG186" s="309">
        <f>SUM(AG179:AG185)</f>
        <v>6016.3113772455081</v>
      </c>
      <c r="AH186" s="309"/>
      <c r="AI186" s="309">
        <f>SUM(AI179:AI185)</f>
        <v>0</v>
      </c>
      <c r="AJ186" s="309">
        <f>SUM(AJ179:AJ185)</f>
        <v>7019.0299401197599</v>
      </c>
      <c r="AK186" s="309"/>
      <c r="AL186" s="309">
        <f>SUM(AL179:AL185)</f>
        <v>0</v>
      </c>
      <c r="AM186" s="329">
        <f>SUM(AM179:AM185)</f>
        <v>12563.7</v>
      </c>
      <c r="AN186" s="309"/>
      <c r="AO186" s="309">
        <f>SUM(AO179:AO185)</f>
        <v>0</v>
      </c>
      <c r="AP186" s="309">
        <f>SUM(AP179:AP185)</f>
        <v>0</v>
      </c>
      <c r="AQ186" s="309">
        <f>SUM(AQ179:AQ185)</f>
        <v>44101.2274251497</v>
      </c>
      <c r="AR186" s="309"/>
      <c r="AS186" s="309">
        <f>SUM(AS179:AS185)</f>
        <v>15511.400000000001</v>
      </c>
      <c r="AT186" s="309">
        <f>SUM(AT179:AT185)</f>
        <v>24286.800000000003</v>
      </c>
      <c r="AU186" s="309">
        <f>SUM(AU179:AU185)</f>
        <v>1</v>
      </c>
      <c r="AV186" s="309"/>
      <c r="AW186" s="309">
        <f>SUM(AW179:AW185)</f>
        <v>11961</v>
      </c>
      <c r="AX186" s="309"/>
      <c r="AY186" s="309">
        <f>SUM(AY179:AY185)</f>
        <v>0</v>
      </c>
      <c r="AZ186" s="309">
        <f>SUM(AZ179:AZ185)</f>
        <v>0</v>
      </c>
      <c r="BA186" s="329">
        <f>SUM(BA179:BA185)</f>
        <v>36247.799999999996</v>
      </c>
      <c r="BB186" s="309">
        <f>BC186/C186</f>
        <v>20178.30274251497</v>
      </c>
      <c r="BC186" s="329">
        <f>SUM(BC179:BC185)</f>
        <v>201783.02742514969</v>
      </c>
      <c r="BD186" s="286">
        <f>BC186/C186/3</f>
        <v>6726.1009141716568</v>
      </c>
      <c r="BE186" s="323"/>
      <c r="BN186" s="316" t="e">
        <f>BC186+BC193+#REF!</f>
        <v>#REF!</v>
      </c>
    </row>
    <row r="187" spans="1:66" s="374" customFormat="1" ht="22.5" customHeight="1" x14ac:dyDescent="0.25">
      <c r="A187" s="373"/>
      <c r="B187" s="361" t="s">
        <v>254</v>
      </c>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62"/>
      <c r="BD187" s="286"/>
      <c r="BE187" s="274"/>
    </row>
    <row r="188" spans="1:66" x14ac:dyDescent="0.25">
      <c r="A188" s="344"/>
      <c r="B188" s="288" t="s">
        <v>255</v>
      </c>
      <c r="C188" s="278">
        <f>'[4]ФОТ2014 общ (2)'!$C$83</f>
        <v>9</v>
      </c>
      <c r="D188" s="279"/>
      <c r="E188" s="279"/>
      <c r="F188" s="279"/>
      <c r="G188" s="279"/>
      <c r="H188" s="279">
        <v>1</v>
      </c>
      <c r="I188" s="279"/>
      <c r="J188" s="279"/>
      <c r="K188" s="279"/>
      <c r="L188" s="277">
        <v>3</v>
      </c>
      <c r="M188" s="280">
        <f>M$143</f>
        <v>3028</v>
      </c>
      <c r="N188" s="281">
        <f>N$136</f>
        <v>2</v>
      </c>
      <c r="O188" s="277">
        <v>1.25</v>
      </c>
      <c r="P188" s="282">
        <f>P$244</f>
        <v>1.58</v>
      </c>
      <c r="Q188" s="277"/>
      <c r="R188" s="283">
        <f>$R$244</f>
        <v>477</v>
      </c>
      <c r="S188" s="280">
        <f>T188/(R188/1)</f>
        <v>25.075471698113208</v>
      </c>
      <c r="T188" s="425">
        <f>ROUND(M188*N188*O188*P188,0)</f>
        <v>11961</v>
      </c>
      <c r="U188" s="284">
        <f>T188*C188*1</f>
        <v>107649</v>
      </c>
      <c r="V188" s="277">
        <v>12</v>
      </c>
      <c r="W188" s="285"/>
      <c r="X188" s="285">
        <f>U188*V188%</f>
        <v>12917.88</v>
      </c>
      <c r="Y188" s="277">
        <v>4</v>
      </c>
      <c r="Z188" s="285"/>
      <c r="AA188" s="285">
        <f>U188*Y188%</f>
        <v>4305.96</v>
      </c>
      <c r="AB188" s="277">
        <v>20</v>
      </c>
      <c r="AC188" s="277"/>
      <c r="AD188" s="340">
        <f>SUM([3]ночн.празд!P6)</f>
        <v>3437.892215568862</v>
      </c>
      <c r="AE188" s="341">
        <v>35</v>
      </c>
      <c r="AF188" s="340"/>
      <c r="AG188" s="340">
        <f>SUM([3]ночн.празд!Q6)</f>
        <v>12032.622754491016</v>
      </c>
      <c r="AH188" s="341">
        <v>200</v>
      </c>
      <c r="AI188" s="340"/>
      <c r="AJ188" s="340">
        <f>SUM([3]ночн.празд!N6:O6)</f>
        <v>14038.05988023952</v>
      </c>
      <c r="AK188" s="277">
        <f>(7+25+15+7+10+20+15+15+10)/9</f>
        <v>13.777777777777779</v>
      </c>
      <c r="AL188" s="277"/>
      <c r="AM188" s="342">
        <f>9*T188*AK188%*1</f>
        <v>14831.64</v>
      </c>
      <c r="AN188" s="277"/>
      <c r="AO188" s="277"/>
      <c r="AP188" s="285"/>
      <c r="AQ188" s="284">
        <f>X188+AA188+AD188+AG188+AJ188+AM188+AP188</f>
        <v>61564.054850299399</v>
      </c>
      <c r="AR188" s="277">
        <f>AR$29</f>
        <v>20</v>
      </c>
      <c r="AS188" s="277">
        <f>AT188/C188</f>
        <v>2392.2000000000003</v>
      </c>
      <c r="AT188" s="280">
        <f>(U188)*AR188%</f>
        <v>21529.800000000003</v>
      </c>
      <c r="AU188" s="277">
        <v>1</v>
      </c>
      <c r="AV188" s="277">
        <v>100</v>
      </c>
      <c r="AW188" s="277">
        <f>AU188*T188</f>
        <v>11961</v>
      </c>
      <c r="AX188" s="277"/>
      <c r="AY188" s="277"/>
      <c r="AZ188" s="280"/>
      <c r="BA188" s="284">
        <f>AT188+AW188+AZ188</f>
        <v>33490.800000000003</v>
      </c>
      <c r="BB188" s="284">
        <f>BC188/C188</f>
        <v>22522.650538922157</v>
      </c>
      <c r="BC188" s="284">
        <f>BA188+AQ188+U188</f>
        <v>202703.85485029939</v>
      </c>
      <c r="BD188" s="286">
        <f>BC188/C188/3</f>
        <v>7507.5501796407189</v>
      </c>
      <c r="BE188" s="286"/>
    </row>
    <row r="189" spans="1:66" s="377" customFormat="1" x14ac:dyDescent="0.25">
      <c r="A189" s="375"/>
      <c r="B189" s="290" t="s">
        <v>249</v>
      </c>
      <c r="C189" s="376">
        <v>1</v>
      </c>
      <c r="D189" s="292"/>
      <c r="E189" s="292"/>
      <c r="F189" s="292"/>
      <c r="G189" s="292"/>
      <c r="H189" s="292">
        <v>1</v>
      </c>
      <c r="I189" s="292"/>
      <c r="J189" s="292"/>
      <c r="K189" s="292"/>
      <c r="L189" s="293">
        <v>4</v>
      </c>
      <c r="M189" s="280">
        <f>M$143</f>
        <v>3028</v>
      </c>
      <c r="N189" s="429">
        <f>N$136</f>
        <v>2</v>
      </c>
      <c r="O189" s="293">
        <v>1.43</v>
      </c>
      <c r="P189" s="295">
        <f>P$244</f>
        <v>1.58</v>
      </c>
      <c r="Q189" s="293"/>
      <c r="R189" s="296">
        <f>$R$244</f>
        <v>477</v>
      </c>
      <c r="S189" s="294">
        <f>T189/(R189/1)</f>
        <v>28.685534591194969</v>
      </c>
      <c r="T189" s="291">
        <f>ROUND(M189*N189*O189*P189,0)</f>
        <v>13683</v>
      </c>
      <c r="U189" s="297">
        <f>T189*C189*1</f>
        <v>13683</v>
      </c>
      <c r="V189" s="293">
        <v>16</v>
      </c>
      <c r="W189" s="298"/>
      <c r="X189" s="298">
        <f>U189*V189%</f>
        <v>2189.2800000000002</v>
      </c>
      <c r="Y189" s="277">
        <v>4</v>
      </c>
      <c r="Z189" s="285"/>
      <c r="AA189" s="285">
        <f>U189*Y189%</f>
        <v>547.32000000000005</v>
      </c>
      <c r="AB189" s="293"/>
      <c r="AC189" s="293"/>
      <c r="AD189" s="298"/>
      <c r="AE189" s="293"/>
      <c r="AF189" s="298"/>
      <c r="AG189" s="298"/>
      <c r="AH189" s="293"/>
      <c r="AI189" s="298"/>
      <c r="AJ189" s="298"/>
      <c r="AK189" s="293"/>
      <c r="AL189" s="293"/>
      <c r="AM189" s="298">
        <f>T189*AK189%*1</f>
        <v>0</v>
      </c>
      <c r="AN189" s="293"/>
      <c r="AO189" s="293"/>
      <c r="AP189" s="298"/>
      <c r="AQ189" s="297">
        <f>X189+AA189+AD189+AG189+AJ189+AM189+AP189</f>
        <v>2736.6000000000004</v>
      </c>
      <c r="AR189" s="293">
        <f>AR$29</f>
        <v>20</v>
      </c>
      <c r="AS189" s="293">
        <f>AT189/C189</f>
        <v>2736.6000000000004</v>
      </c>
      <c r="AT189" s="294">
        <f>(U189)*AR189%</f>
        <v>2736.6000000000004</v>
      </c>
      <c r="AU189" s="339">
        <v>1</v>
      </c>
      <c r="AV189" s="293">
        <v>100</v>
      </c>
      <c r="AW189" s="293">
        <f>AU189*T189</f>
        <v>13683</v>
      </c>
      <c r="AX189" s="293"/>
      <c r="AY189" s="293"/>
      <c r="AZ189" s="294"/>
      <c r="BA189" s="297">
        <f>AT189+AW189+AZ189</f>
        <v>16419.599999999999</v>
      </c>
      <c r="BB189" s="297">
        <f>BC189/C189</f>
        <v>32839.199999999997</v>
      </c>
      <c r="BC189" s="297">
        <f>BA189+AQ189+U189</f>
        <v>32839.199999999997</v>
      </c>
      <c r="BD189" s="299">
        <f>BC189/C189/3</f>
        <v>10946.4</v>
      </c>
      <c r="BE189" s="299"/>
    </row>
    <row r="190" spans="1:66" s="287" customFormat="1" ht="34.5" customHeight="1" x14ac:dyDescent="0.25">
      <c r="A190" s="276"/>
      <c r="B190" s="277" t="s">
        <v>251</v>
      </c>
      <c r="C190" s="278">
        <f>'[4]ФОТ2014 общ (2)'!$C$64</f>
        <v>1</v>
      </c>
      <c r="D190" s="279"/>
      <c r="E190" s="279"/>
      <c r="F190" s="279"/>
      <c r="G190" s="279"/>
      <c r="H190" s="279">
        <v>1</v>
      </c>
      <c r="I190" s="279"/>
      <c r="J190" s="279"/>
      <c r="K190" s="279"/>
      <c r="L190" s="277">
        <v>4</v>
      </c>
      <c r="M190" s="280">
        <f>M$143</f>
        <v>3028</v>
      </c>
      <c r="N190" s="281">
        <f>N$136</f>
        <v>2</v>
      </c>
      <c r="O190" s="282">
        <v>1.43</v>
      </c>
      <c r="P190" s="282">
        <f>P$244</f>
        <v>1.58</v>
      </c>
      <c r="Q190" s="277"/>
      <c r="R190" s="283">
        <f>$R$244</f>
        <v>477</v>
      </c>
      <c r="S190" s="280">
        <f>T190/(R190/1)</f>
        <v>28.685534591194969</v>
      </c>
      <c r="T190" s="425">
        <f>ROUND(M190*N190*O190*P190,0)</f>
        <v>13683</v>
      </c>
      <c r="U190" s="284">
        <f>T190*C190*1</f>
        <v>13683</v>
      </c>
      <c r="V190" s="277">
        <v>16</v>
      </c>
      <c r="W190" s="285"/>
      <c r="X190" s="285">
        <f>U190*V190%</f>
        <v>2189.2800000000002</v>
      </c>
      <c r="Y190" s="277"/>
      <c r="Z190" s="277"/>
      <c r="AA190" s="285"/>
      <c r="AB190" s="277"/>
      <c r="AC190" s="277"/>
      <c r="AD190" s="277"/>
      <c r="AE190" s="277"/>
      <c r="AF190" s="277"/>
      <c r="AG190" s="277"/>
      <c r="AH190" s="277"/>
      <c r="AI190" s="277"/>
      <c r="AJ190" s="277"/>
      <c r="AK190" s="277"/>
      <c r="AL190" s="277"/>
      <c r="AM190" s="285">
        <f>T190*AK190%*1</f>
        <v>0</v>
      </c>
      <c r="AN190" s="277"/>
      <c r="AO190" s="277"/>
      <c r="AP190" s="277"/>
      <c r="AQ190" s="284">
        <f>X190+AA190+AD190+AG190+AJ190+AM190+AP190</f>
        <v>2189.2800000000002</v>
      </c>
      <c r="AR190" s="277">
        <f>AR$29</f>
        <v>20</v>
      </c>
      <c r="AS190" s="285">
        <f>AT190/C190</f>
        <v>2736.6000000000004</v>
      </c>
      <c r="AT190" s="280">
        <f>(U190)*AR190%</f>
        <v>2736.6000000000004</v>
      </c>
      <c r="AU190" s="277"/>
      <c r="AV190" s="277">
        <v>100</v>
      </c>
      <c r="AW190" s="277">
        <f>AU190*T190</f>
        <v>0</v>
      </c>
      <c r="AX190" s="277"/>
      <c r="AY190" s="285"/>
      <c r="AZ190" s="280"/>
      <c r="BA190" s="284">
        <f>AT190+AW190+AZ190</f>
        <v>2736.6000000000004</v>
      </c>
      <c r="BB190" s="363">
        <f>BC190/C190</f>
        <v>18608.88</v>
      </c>
      <c r="BC190" s="284">
        <f>BA190+AQ190+U190</f>
        <v>18608.88</v>
      </c>
      <c r="BD190" s="286">
        <f>BC190/C190/3</f>
        <v>6202.96</v>
      </c>
      <c r="BE190" s="286"/>
    </row>
    <row r="191" spans="1:66" ht="35.25" customHeight="1" x14ac:dyDescent="0.25">
      <c r="A191" s="344"/>
      <c r="B191" s="288" t="s">
        <v>256</v>
      </c>
      <c r="C191" s="278">
        <v>1</v>
      </c>
      <c r="D191" s="279"/>
      <c r="E191" s="279"/>
      <c r="F191" s="279"/>
      <c r="G191" s="279"/>
      <c r="H191" s="279">
        <v>1</v>
      </c>
      <c r="I191" s="279"/>
      <c r="J191" s="279"/>
      <c r="K191" s="279"/>
      <c r="L191" s="277">
        <v>5</v>
      </c>
      <c r="M191" s="280">
        <f>M$143</f>
        <v>3028</v>
      </c>
      <c r="N191" s="281">
        <f>N$136</f>
        <v>2</v>
      </c>
      <c r="O191" s="277">
        <v>1.67</v>
      </c>
      <c r="P191" s="282">
        <f>P$244</f>
        <v>1.58</v>
      </c>
      <c r="Q191" s="277"/>
      <c r="R191" s="283">
        <f>$R$244</f>
        <v>477</v>
      </c>
      <c r="S191" s="280">
        <f>T191/(R191/1)</f>
        <v>33.498951781970646</v>
      </c>
      <c r="T191" s="425">
        <f>ROUND(M191*N191*O191*P191,0)</f>
        <v>15979</v>
      </c>
      <c r="U191" s="284">
        <f>T191*C191*1</f>
        <v>15979</v>
      </c>
      <c r="V191" s="277">
        <v>20</v>
      </c>
      <c r="W191" s="285"/>
      <c r="X191" s="285">
        <f>U191*V191%</f>
        <v>3195.8</v>
      </c>
      <c r="Y191" s="277"/>
      <c r="Z191" s="277"/>
      <c r="AA191" s="277"/>
      <c r="AB191" s="277"/>
      <c r="AC191" s="277"/>
      <c r="AD191" s="285"/>
      <c r="AE191" s="277"/>
      <c r="AF191" s="277"/>
      <c r="AG191" s="285"/>
      <c r="AH191" s="277"/>
      <c r="AI191" s="277"/>
      <c r="AJ191" s="285"/>
      <c r="AK191" s="277">
        <v>7</v>
      </c>
      <c r="AL191" s="277"/>
      <c r="AM191" s="285">
        <f>T191*AK191%*1</f>
        <v>1118.5300000000002</v>
      </c>
      <c r="AN191" s="277"/>
      <c r="AO191" s="277"/>
      <c r="AP191" s="285"/>
      <c r="AQ191" s="284">
        <f>X191+AA191+AD191+AG191+AJ191+AM191+AP191</f>
        <v>4314.33</v>
      </c>
      <c r="AR191" s="277">
        <f>AR$29</f>
        <v>20</v>
      </c>
      <c r="AS191" s="277">
        <f>AT191/C191</f>
        <v>3195.8</v>
      </c>
      <c r="AT191" s="280">
        <f>(U191)*AR191%</f>
        <v>3195.8</v>
      </c>
      <c r="AU191" s="277">
        <v>1</v>
      </c>
      <c r="AV191" s="277">
        <v>100</v>
      </c>
      <c r="AW191" s="277">
        <f>AU191*T191</f>
        <v>15979</v>
      </c>
      <c r="AX191" s="277"/>
      <c r="AY191" s="277"/>
      <c r="AZ191" s="280"/>
      <c r="BA191" s="284">
        <f>AT191+AW191+AZ191</f>
        <v>19174.8</v>
      </c>
      <c r="BB191" s="284">
        <f>BC191/C191</f>
        <v>39468.129999999997</v>
      </c>
      <c r="BC191" s="284">
        <f>BA191+AQ191+U191</f>
        <v>39468.129999999997</v>
      </c>
      <c r="BD191" s="286">
        <f>BC191/C191/3</f>
        <v>13156.043333333333</v>
      </c>
      <c r="BE191" s="286"/>
    </row>
    <row r="192" spans="1:66" s="287" customFormat="1" ht="6" customHeight="1" x14ac:dyDescent="0.25">
      <c r="A192" s="276"/>
      <c r="B192" s="277"/>
      <c r="C192" s="425"/>
      <c r="D192" s="279"/>
      <c r="E192" s="279"/>
      <c r="F192" s="279"/>
      <c r="G192" s="279"/>
      <c r="H192" s="279"/>
      <c r="I192" s="279"/>
      <c r="J192" s="279"/>
      <c r="K192" s="279"/>
      <c r="L192" s="277"/>
      <c r="M192" s="283"/>
      <c r="N192" s="277"/>
      <c r="O192" s="277"/>
      <c r="P192" s="277"/>
      <c r="Q192" s="277"/>
      <c r="R192" s="283"/>
      <c r="S192" s="283"/>
      <c r="T192" s="425"/>
      <c r="U192" s="284"/>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84">
        <f>X192+AA192+AD192+AG192+AJ192+AM192+AP192</f>
        <v>0</v>
      </c>
      <c r="AR192" s="277"/>
      <c r="AS192" s="277"/>
      <c r="AT192" s="280"/>
      <c r="AU192" s="277"/>
      <c r="AV192" s="277"/>
      <c r="AW192" s="277"/>
      <c r="AX192" s="277"/>
      <c r="AY192" s="277"/>
      <c r="AZ192" s="280"/>
      <c r="BA192" s="284"/>
      <c r="BB192" s="284"/>
      <c r="BC192" s="284"/>
      <c r="BD192" s="286"/>
      <c r="BE192" s="286"/>
    </row>
    <row r="193" spans="1:65" s="316" customFormat="1" ht="20.25" customHeight="1" x14ac:dyDescent="0.25">
      <c r="A193" s="306"/>
      <c r="B193" s="372" t="s">
        <v>229</v>
      </c>
      <c r="C193" s="329">
        <f>SUM(C188:C192)</f>
        <v>12</v>
      </c>
      <c r="D193" s="309"/>
      <c r="E193" s="309"/>
      <c r="F193" s="309"/>
      <c r="G193" s="309"/>
      <c r="H193" s="309"/>
      <c r="I193" s="309"/>
      <c r="J193" s="309"/>
      <c r="K193" s="309"/>
      <c r="L193" s="309"/>
      <c r="M193" s="310"/>
      <c r="N193" s="309"/>
      <c r="O193" s="309"/>
      <c r="P193" s="309"/>
      <c r="Q193" s="309"/>
      <c r="R193" s="310"/>
      <c r="S193" s="310"/>
      <c r="T193" s="349">
        <f>U193/1</f>
        <v>150994</v>
      </c>
      <c r="U193" s="309">
        <f>SUM(U188:U192)</f>
        <v>150994</v>
      </c>
      <c r="V193" s="309"/>
      <c r="W193" s="309"/>
      <c r="X193" s="309">
        <f>SUM(X188:X192)</f>
        <v>20492.239999999998</v>
      </c>
      <c r="Y193" s="309"/>
      <c r="Z193" s="309"/>
      <c r="AA193" s="309">
        <f>SUM(AA188:AA192)</f>
        <v>4853.28</v>
      </c>
      <c r="AB193" s="309"/>
      <c r="AC193" s="309"/>
      <c r="AD193" s="309">
        <f>SUM(AD188:AD192)</f>
        <v>3437.892215568862</v>
      </c>
      <c r="AE193" s="309"/>
      <c r="AF193" s="309"/>
      <c r="AG193" s="309">
        <f>SUM(AG188:AG192)</f>
        <v>12032.622754491016</v>
      </c>
      <c r="AH193" s="309"/>
      <c r="AI193" s="309"/>
      <c r="AJ193" s="309">
        <f>SUM(AJ188:AJ192)</f>
        <v>14038.05988023952</v>
      </c>
      <c r="AK193" s="309"/>
      <c r="AL193" s="309"/>
      <c r="AM193" s="309">
        <f>SUM(AM188:AM192)</f>
        <v>15950.17</v>
      </c>
      <c r="AN193" s="309"/>
      <c r="AO193" s="309"/>
      <c r="AP193" s="309">
        <f>SUM(AP188:AP192)</f>
        <v>0</v>
      </c>
      <c r="AQ193" s="309">
        <f>SUM(AQ188:AQ192)</f>
        <v>70804.264850299398</v>
      </c>
      <c r="AR193" s="309"/>
      <c r="AS193" s="309">
        <f>SUM(AS188:AS192)</f>
        <v>11061.2</v>
      </c>
      <c r="AT193" s="309">
        <f>SUM(AT188:AT192)</f>
        <v>30198.799999999999</v>
      </c>
      <c r="AU193" s="309">
        <f>SUM(AU188:AU192)</f>
        <v>3</v>
      </c>
      <c r="AV193" s="309"/>
      <c r="AW193" s="309">
        <f>SUM(AW188:AW192)</f>
        <v>41623</v>
      </c>
      <c r="AX193" s="309"/>
      <c r="AY193" s="309">
        <f>SUM(AY188:AY192)</f>
        <v>0</v>
      </c>
      <c r="AZ193" s="309">
        <f>SUM(AZ188:AZ192)</f>
        <v>0</v>
      </c>
      <c r="BA193" s="309">
        <f>SUM(BA188:BA192)</f>
        <v>71821.8</v>
      </c>
      <c r="BB193" s="309">
        <f>BC193/C193</f>
        <v>24468.338737524948</v>
      </c>
      <c r="BC193" s="309">
        <f>SUM(BC188:BC192)</f>
        <v>293620.06485029939</v>
      </c>
      <c r="BD193" s="286">
        <f>BC193/C193/3</f>
        <v>8156.1129125083162</v>
      </c>
      <c r="BE193" s="287"/>
    </row>
    <row r="194" spans="1:65" s="316" customFormat="1" ht="42.75" x14ac:dyDescent="0.25">
      <c r="A194" s="306"/>
      <c r="B194" s="307" t="s">
        <v>257</v>
      </c>
      <c r="C194" s="329">
        <f>C164+C175+C186+C193</f>
        <v>51</v>
      </c>
      <c r="D194" s="309"/>
      <c r="E194" s="309"/>
      <c r="F194" s="309"/>
      <c r="G194" s="309"/>
      <c r="H194" s="309"/>
      <c r="I194" s="309"/>
      <c r="J194" s="309"/>
      <c r="K194" s="309"/>
      <c r="L194" s="309"/>
      <c r="M194" s="310"/>
      <c r="N194" s="309"/>
      <c r="O194" s="309"/>
      <c r="P194" s="309"/>
      <c r="Q194" s="309"/>
      <c r="R194" s="310"/>
      <c r="S194" s="310"/>
      <c r="T194" s="349">
        <f>U194/1</f>
        <v>717804</v>
      </c>
      <c r="U194" s="329">
        <f>U164+U175+U186+U193</f>
        <v>717804</v>
      </c>
      <c r="V194" s="309"/>
      <c r="W194" s="309"/>
      <c r="X194" s="329">
        <f>X164+X175+X186+X193</f>
        <v>113819</v>
      </c>
      <c r="Y194" s="329"/>
      <c r="Z194" s="329">
        <f>Z164+Z175+Z186+Z193</f>
        <v>0</v>
      </c>
      <c r="AA194" s="329">
        <f>AA164+AA175+AA186+AA193</f>
        <v>18930.32</v>
      </c>
      <c r="AB194" s="329"/>
      <c r="AC194" s="329"/>
      <c r="AD194" s="329">
        <f>AD164+AD175+AD186+AD193</f>
        <v>11386.059880239522</v>
      </c>
      <c r="AE194" s="329"/>
      <c r="AF194" s="329">
        <f>AF164+AF175+AF186+AF193</f>
        <v>0</v>
      </c>
      <c r="AG194" s="329">
        <f>AG164+AG175+AG186+AG193</f>
        <v>39851.209580838316</v>
      </c>
      <c r="AH194" s="329"/>
      <c r="AI194" s="329">
        <f>AI164+AI175+AI186+AI193</f>
        <v>0</v>
      </c>
      <c r="AJ194" s="329">
        <f>AJ164+AJ175+AJ186+AJ193</f>
        <v>42724.107784431137</v>
      </c>
      <c r="AK194" s="329"/>
      <c r="AL194" s="329">
        <f>AL164+AL175+AL186+AL193</f>
        <v>0</v>
      </c>
      <c r="AM194" s="329">
        <f>AM164+AM175+AM186+AM193</f>
        <v>54220.639999999999</v>
      </c>
      <c r="AN194" s="329"/>
      <c r="AO194" s="329">
        <f>AO164+AO175+AO186+AO193</f>
        <v>0</v>
      </c>
      <c r="AP194" s="329">
        <f>AP164+AP175+AP186+AP193</f>
        <v>5541.25</v>
      </c>
      <c r="AQ194" s="329">
        <f>AQ164+AQ175+AQ186+AQ193</f>
        <v>286472.58724550897</v>
      </c>
      <c r="AR194" s="329"/>
      <c r="AS194" s="329">
        <f>AS164+AS175+AS186+AS193</f>
        <v>64763</v>
      </c>
      <c r="AT194" s="329">
        <f>AT164+AT175+AT186+AT193</f>
        <v>143560.80000000002</v>
      </c>
      <c r="AU194" s="329">
        <f>AU164+AU175+AU186+AU193</f>
        <v>8</v>
      </c>
      <c r="AV194" s="329"/>
      <c r="AW194" s="329">
        <f>AW164+AW175+AW186+AW193</f>
        <v>115943</v>
      </c>
      <c r="AX194" s="329"/>
      <c r="AY194" s="329">
        <f>AY164+AY175+AY186+AY193</f>
        <v>0</v>
      </c>
      <c r="AZ194" s="329">
        <f>AZ164+AZ175+AZ186+AZ193</f>
        <v>0</v>
      </c>
      <c r="BA194" s="329">
        <f>BA164+BA175+BA186+BA193</f>
        <v>259503.8</v>
      </c>
      <c r="BB194" s="329">
        <f>BB164+BB175+BB186+BB193</f>
        <v>430352.14202894212</v>
      </c>
      <c r="BC194" s="329">
        <f>BC164+BC175+BC186+BC193</f>
        <v>1263780.3872455088</v>
      </c>
      <c r="BD194" s="286">
        <f>BC194/C194/3</f>
        <v>8260.0025310163965</v>
      </c>
      <c r="BE194" s="378"/>
      <c r="BF194" s="379">
        <f t="shared" ref="BF194:BM194" si="167">BF164+BF186+BF193</f>
        <v>0</v>
      </c>
      <c r="BG194" s="379">
        <f t="shared" si="167"/>
        <v>0</v>
      </c>
      <c r="BH194" s="379">
        <f t="shared" si="167"/>
        <v>0</v>
      </c>
      <c r="BI194" s="379">
        <f t="shared" si="167"/>
        <v>0</v>
      </c>
      <c r="BJ194" s="379">
        <f t="shared" si="167"/>
        <v>60004.56</v>
      </c>
      <c r="BK194" s="379">
        <f t="shared" si="167"/>
        <v>0</v>
      </c>
      <c r="BL194" s="379">
        <f t="shared" si="167"/>
        <v>0</v>
      </c>
      <c r="BM194" s="379">
        <f t="shared" si="167"/>
        <v>0</v>
      </c>
    </row>
    <row r="195" spans="1:65" s="287" customFormat="1" ht="14.25" customHeight="1" x14ac:dyDescent="0.25">
      <c r="A195" s="380"/>
      <c r="B195" s="274"/>
      <c r="C195" s="381"/>
      <c r="M195" s="382"/>
      <c r="R195" s="382"/>
      <c r="S195" s="382"/>
      <c r="T195" s="323"/>
      <c r="U195" s="323"/>
      <c r="X195" s="323"/>
      <c r="Y195" s="323"/>
      <c r="Z195" s="323"/>
      <c r="AA195" s="323"/>
      <c r="AB195" s="323"/>
      <c r="AC195" s="323"/>
      <c r="AD195" s="323"/>
      <c r="AE195" s="323"/>
      <c r="AF195" s="323"/>
      <c r="AG195" s="323"/>
      <c r="AH195" s="323"/>
      <c r="AI195" s="323"/>
      <c r="AJ195" s="323"/>
      <c r="AK195" s="323"/>
      <c r="AL195" s="323"/>
      <c r="AM195" s="323"/>
      <c r="AN195" s="323"/>
      <c r="AO195" s="323"/>
      <c r="AP195" s="323"/>
      <c r="AQ195" s="323"/>
      <c r="AT195" s="382"/>
      <c r="AZ195" s="382"/>
      <c r="BA195" s="323"/>
      <c r="BB195" s="323"/>
      <c r="BC195" s="323"/>
      <c r="BD195" s="286"/>
      <c r="BE195" s="323"/>
    </row>
    <row r="196" spans="1:65" s="275" customFormat="1" ht="26.45" customHeight="1" x14ac:dyDescent="0.25">
      <c r="A196" s="270" t="s">
        <v>258</v>
      </c>
      <c r="B196" s="271" t="s">
        <v>99</v>
      </c>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3"/>
      <c r="BD196" s="286"/>
      <c r="BE196" s="274"/>
    </row>
    <row r="197" spans="1:65" s="388" customFormat="1" ht="22.15" customHeight="1" x14ac:dyDescent="0.25">
      <c r="A197" s="383"/>
      <c r="B197" s="384" t="s">
        <v>259</v>
      </c>
      <c r="C197" s="385"/>
      <c r="D197" s="384"/>
      <c r="E197" s="384"/>
      <c r="F197" s="384"/>
      <c r="G197" s="384"/>
      <c r="H197" s="384"/>
      <c r="I197" s="384"/>
      <c r="J197" s="384"/>
      <c r="K197" s="384"/>
      <c r="L197" s="384"/>
      <c r="M197" s="386"/>
      <c r="N197" s="384"/>
      <c r="O197" s="384"/>
      <c r="P197" s="384"/>
      <c r="Q197" s="384"/>
      <c r="R197" s="386"/>
      <c r="S197" s="386"/>
      <c r="T197" s="385"/>
      <c r="U197" s="384"/>
      <c r="V197" s="384"/>
      <c r="W197" s="384"/>
      <c r="X197" s="384"/>
      <c r="Y197" s="384"/>
      <c r="Z197" s="384"/>
      <c r="AA197" s="384"/>
      <c r="AB197" s="384"/>
      <c r="AC197" s="384"/>
      <c r="AD197" s="384"/>
      <c r="AE197" s="384"/>
      <c r="AF197" s="384"/>
      <c r="AG197" s="384"/>
      <c r="AH197" s="384"/>
      <c r="AI197" s="384"/>
      <c r="AJ197" s="384"/>
      <c r="AK197" s="384"/>
      <c r="AL197" s="384"/>
      <c r="AM197" s="384"/>
      <c r="AN197" s="384"/>
      <c r="AO197" s="384"/>
      <c r="AP197" s="384"/>
      <c r="AQ197" s="387"/>
      <c r="AR197" s="384"/>
      <c r="AS197" s="384"/>
      <c r="AT197" s="386"/>
      <c r="AU197" s="384"/>
      <c r="AV197" s="384"/>
      <c r="AW197" s="384"/>
      <c r="AX197" s="384"/>
      <c r="AY197" s="384"/>
      <c r="AZ197" s="386"/>
      <c r="BA197" s="384"/>
      <c r="BB197" s="384"/>
      <c r="BC197" s="387"/>
      <c r="BD197" s="286"/>
      <c r="BE197" s="371"/>
    </row>
    <row r="198" spans="1:65" s="287" customFormat="1" x14ac:dyDescent="0.25">
      <c r="A198" s="276"/>
      <c r="B198" s="277" t="s">
        <v>260</v>
      </c>
      <c r="C198" s="425">
        <f>1</f>
        <v>1</v>
      </c>
      <c r="D198" s="279"/>
      <c r="E198" s="279"/>
      <c r="F198" s="279"/>
      <c r="G198" s="279"/>
      <c r="H198" s="279"/>
      <c r="I198" s="279"/>
      <c r="J198" s="279">
        <v>1</v>
      </c>
      <c r="K198" s="279"/>
      <c r="L198" s="277"/>
      <c r="M198" s="280">
        <f>M$143</f>
        <v>3028</v>
      </c>
      <c r="N198" s="281">
        <f>N$136</f>
        <v>2</v>
      </c>
      <c r="O198" s="282">
        <v>2.35</v>
      </c>
      <c r="P198" s="282">
        <f>P$244</f>
        <v>1.58</v>
      </c>
      <c r="Q198" s="282"/>
      <c r="R198" s="283">
        <f>$R$244</f>
        <v>477</v>
      </c>
      <c r="S198" s="280">
        <f>T198/(R198/1)</f>
        <v>47.140461215932916</v>
      </c>
      <c r="T198" s="425">
        <f>ROUND(M198*N198*O198*P198,0)</f>
        <v>22486</v>
      </c>
      <c r="U198" s="284">
        <f>T198*C198*1</f>
        <v>22486</v>
      </c>
      <c r="V198" s="277">
        <v>30</v>
      </c>
      <c r="W198" s="285"/>
      <c r="X198" s="285">
        <f>U198*V198%</f>
        <v>6745.8</v>
      </c>
      <c r="Y198" s="277"/>
      <c r="Z198" s="277"/>
      <c r="AA198" s="277"/>
      <c r="AB198" s="277"/>
      <c r="AC198" s="277"/>
      <c r="AD198" s="277"/>
      <c r="AE198" s="277"/>
      <c r="AF198" s="277"/>
      <c r="AG198" s="277"/>
      <c r="AH198" s="277"/>
      <c r="AI198" s="277"/>
      <c r="AJ198" s="277"/>
      <c r="AK198" s="277">
        <v>15</v>
      </c>
      <c r="AL198" s="277"/>
      <c r="AM198" s="285">
        <f>T198*AK198%*1</f>
        <v>3372.9</v>
      </c>
      <c r="AN198" s="277"/>
      <c r="AO198" s="277"/>
      <c r="AP198" s="277"/>
      <c r="AQ198" s="284">
        <f t="shared" ref="AQ198:AQ204" si="168">X198+AA198+AD198+AG198+AJ198+AM198+AP198</f>
        <v>10118.700000000001</v>
      </c>
      <c r="AR198" s="277">
        <f>AR$29</f>
        <v>20</v>
      </c>
      <c r="AS198" s="277">
        <f>AT198/C198</f>
        <v>4497.2</v>
      </c>
      <c r="AT198" s="280">
        <f>(U198)*AR198%</f>
        <v>4497.2</v>
      </c>
      <c r="AU198" s="277">
        <v>1</v>
      </c>
      <c r="AV198" s="277">
        <v>100</v>
      </c>
      <c r="AW198" s="277">
        <f>AU198*T198</f>
        <v>22486</v>
      </c>
      <c r="AX198" s="277"/>
      <c r="AY198" s="277"/>
      <c r="AZ198" s="280"/>
      <c r="BA198" s="284">
        <f>AT198+AW198+AZ198</f>
        <v>26983.200000000001</v>
      </c>
      <c r="BB198" s="284">
        <f>BC198/C198</f>
        <v>59587.9</v>
      </c>
      <c r="BC198" s="284">
        <f>BA198+AQ198+U198</f>
        <v>59587.9</v>
      </c>
      <c r="BD198" s="286">
        <f>BC198/C198/3</f>
        <v>19862.633333333335</v>
      </c>
      <c r="BE198" s="286"/>
      <c r="BF198" s="251">
        <f>IF(D198=1,BC198,0)</f>
        <v>0</v>
      </c>
      <c r="BG198" s="251">
        <f>IF(E198=1,BC198,0)</f>
        <v>0</v>
      </c>
      <c r="BH198" s="251">
        <f>IF(F198=1,BC198,0)</f>
        <v>0</v>
      </c>
      <c r="BI198" s="251">
        <f>IF(G198=1,BC198,0)</f>
        <v>0</v>
      </c>
      <c r="BJ198" s="251">
        <f>IF(H198=1,BC198,0)</f>
        <v>0</v>
      </c>
      <c r="BK198" s="251">
        <f>IF(I198=1,BC198,0)</f>
        <v>0</v>
      </c>
      <c r="BL198" s="251">
        <f>IF(J198=1,BC198,0)</f>
        <v>59587.9</v>
      </c>
      <c r="BM198" s="251">
        <f>IF(K198=1,BC198,0)</f>
        <v>0</v>
      </c>
    </row>
    <row r="199" spans="1:65" s="287" customFormat="1" x14ac:dyDescent="0.25">
      <c r="A199" s="276"/>
      <c r="B199" s="288" t="s">
        <v>238</v>
      </c>
      <c r="C199" s="425">
        <v>2</v>
      </c>
      <c r="D199" s="279"/>
      <c r="E199" s="279"/>
      <c r="F199" s="279"/>
      <c r="G199" s="279"/>
      <c r="H199" s="279"/>
      <c r="I199" s="279"/>
      <c r="J199" s="279">
        <v>1</v>
      </c>
      <c r="K199" s="279"/>
      <c r="L199" s="277"/>
      <c r="M199" s="280">
        <f>M$143</f>
        <v>3028</v>
      </c>
      <c r="N199" s="281">
        <f>N$136</f>
        <v>2</v>
      </c>
      <c r="O199" s="282">
        <v>1.8</v>
      </c>
      <c r="P199" s="282">
        <f>P$244</f>
        <v>1.58</v>
      </c>
      <c r="Q199" s="282"/>
      <c r="R199" s="283">
        <f>$R$244</f>
        <v>477</v>
      </c>
      <c r="S199" s="280">
        <f>T199/(R199/1)</f>
        <v>36.106918238993714</v>
      </c>
      <c r="T199" s="425">
        <f>ROUND(M199*N199*O199*P199,0)</f>
        <v>17223</v>
      </c>
      <c r="U199" s="284">
        <f>T199*C199*1</f>
        <v>34446</v>
      </c>
      <c r="V199" s="277">
        <v>20</v>
      </c>
      <c r="W199" s="285"/>
      <c r="X199" s="285">
        <f>U199*V199%</f>
        <v>6889.2000000000007</v>
      </c>
      <c r="Y199" s="277"/>
      <c r="Z199" s="277"/>
      <c r="AA199" s="277"/>
      <c r="AB199" s="277"/>
      <c r="AC199" s="277"/>
      <c r="AD199" s="277"/>
      <c r="AE199" s="277"/>
      <c r="AF199" s="277"/>
      <c r="AG199" s="277"/>
      <c r="AH199" s="277"/>
      <c r="AI199" s="277"/>
      <c r="AJ199" s="277"/>
      <c r="AK199" s="277">
        <f>(15+15)/2</f>
        <v>15</v>
      </c>
      <c r="AL199" s="277"/>
      <c r="AM199" s="342">
        <f>2*T199*AK199%*1</f>
        <v>5166.8999999999996</v>
      </c>
      <c r="AN199" s="277"/>
      <c r="AO199" s="277"/>
      <c r="AP199" s="277"/>
      <c r="AQ199" s="284">
        <f t="shared" si="168"/>
        <v>12056.1</v>
      </c>
      <c r="AR199" s="277">
        <f>AR$29</f>
        <v>20</v>
      </c>
      <c r="AS199" s="285">
        <f>AT199/C199</f>
        <v>3444.6000000000004</v>
      </c>
      <c r="AT199" s="280">
        <f>(U199)*AR199%</f>
        <v>6889.2000000000007</v>
      </c>
      <c r="AU199" s="277"/>
      <c r="AV199" s="277">
        <v>100</v>
      </c>
      <c r="AW199" s="277">
        <f>AU199*T199</f>
        <v>0</v>
      </c>
      <c r="AX199" s="277"/>
      <c r="AY199" s="285"/>
      <c r="AZ199" s="280"/>
      <c r="BA199" s="284">
        <f>AT199+AW199+AZ199</f>
        <v>6889.2000000000007</v>
      </c>
      <c r="BB199" s="284">
        <f>BC199/C199</f>
        <v>26695.65</v>
      </c>
      <c r="BC199" s="284">
        <f>BA199+AQ199+U199</f>
        <v>53391.3</v>
      </c>
      <c r="BD199" s="286">
        <f>BC199/C199/3</f>
        <v>8898.5500000000011</v>
      </c>
      <c r="BE199" s="286"/>
      <c r="BF199" s="251">
        <f>IF(D199=1,BC199,0)</f>
        <v>0</v>
      </c>
      <c r="BG199" s="251">
        <f>IF(E199=1,BC199,0)</f>
        <v>0</v>
      </c>
      <c r="BH199" s="251">
        <f>IF(F199=1,BC199,0)</f>
        <v>0</v>
      </c>
      <c r="BI199" s="251">
        <f>IF(G199=1,BC199,0)</f>
        <v>0</v>
      </c>
      <c r="BJ199" s="251">
        <f>IF(H199=1,BC199,0)</f>
        <v>0</v>
      </c>
      <c r="BK199" s="251">
        <f>IF(I199=1,BC199,0)</f>
        <v>0</v>
      </c>
      <c r="BL199" s="251">
        <f>IF(J199=1,BC199,0)</f>
        <v>53391.3</v>
      </c>
      <c r="BM199" s="251">
        <f>IF(K199=1,BC199,0)</f>
        <v>0</v>
      </c>
    </row>
    <row r="200" spans="1:65" s="287" customFormat="1" ht="28.5" x14ac:dyDescent="0.25">
      <c r="A200" s="276"/>
      <c r="B200" s="288" t="s">
        <v>261</v>
      </c>
      <c r="C200" s="278">
        <v>1</v>
      </c>
      <c r="D200" s="279"/>
      <c r="E200" s="279"/>
      <c r="F200" s="279"/>
      <c r="G200" s="279"/>
      <c r="H200" s="279">
        <v>1</v>
      </c>
      <c r="I200" s="279"/>
      <c r="J200" s="279"/>
      <c r="K200" s="279"/>
      <c r="L200" s="277"/>
      <c r="M200" s="280">
        <f>M$143</f>
        <v>3028</v>
      </c>
      <c r="N200" s="281">
        <f>N$136</f>
        <v>2</v>
      </c>
      <c r="O200" s="282">
        <v>1.32</v>
      </c>
      <c r="P200" s="282">
        <f>P$244</f>
        <v>1.58</v>
      </c>
      <c r="Q200" s="282"/>
      <c r="R200" s="283">
        <f>$R$244</f>
        <v>477</v>
      </c>
      <c r="S200" s="280">
        <f>T200/(R200/1)</f>
        <v>26.477987421383649</v>
      </c>
      <c r="T200" s="425">
        <f>ROUND(M200*N200*O200*P200,0)</f>
        <v>12630</v>
      </c>
      <c r="U200" s="284">
        <f>T200*C200*1</f>
        <v>12630</v>
      </c>
      <c r="V200" s="277">
        <v>12</v>
      </c>
      <c r="W200" s="285"/>
      <c r="X200" s="285">
        <f>U200*V200%</f>
        <v>1515.6</v>
      </c>
      <c r="Y200" s="277"/>
      <c r="Z200" s="277"/>
      <c r="AA200" s="277"/>
      <c r="AB200" s="277"/>
      <c r="AC200" s="277"/>
      <c r="AD200" s="277"/>
      <c r="AE200" s="277"/>
      <c r="AF200" s="277"/>
      <c r="AG200" s="277"/>
      <c r="AH200" s="277"/>
      <c r="AI200" s="277"/>
      <c r="AJ200" s="277"/>
      <c r="AK200" s="277">
        <v>20</v>
      </c>
      <c r="AL200" s="277"/>
      <c r="AM200" s="342">
        <f>1*T200*AK200%*1</f>
        <v>2526</v>
      </c>
      <c r="AN200" s="277"/>
      <c r="AO200" s="277"/>
      <c r="AP200" s="277"/>
      <c r="AQ200" s="284">
        <f>X200+AA200+AD200+AG200+AJ200+AM200+AP200</f>
        <v>4041.6</v>
      </c>
      <c r="AR200" s="277">
        <f>AR$29</f>
        <v>20</v>
      </c>
      <c r="AS200" s="285">
        <f>AT200/C200</f>
        <v>2526</v>
      </c>
      <c r="AT200" s="280">
        <f>(U200)*AR200%</f>
        <v>2526</v>
      </c>
      <c r="AU200" s="339"/>
      <c r="AV200" s="277">
        <v>100</v>
      </c>
      <c r="AW200" s="277">
        <f>AU200*T200</f>
        <v>0</v>
      </c>
      <c r="AX200" s="277"/>
      <c r="AY200" s="285"/>
      <c r="AZ200" s="280"/>
      <c r="BA200" s="284">
        <f>AT200+AW200+AZ200</f>
        <v>2526</v>
      </c>
      <c r="BB200" s="284">
        <f>BC200/C200</f>
        <v>19197.599999999999</v>
      </c>
      <c r="BC200" s="284">
        <f>BA200+AQ200+U200</f>
        <v>19197.599999999999</v>
      </c>
      <c r="BD200" s="286">
        <f>BC200/C200/3</f>
        <v>6399.2</v>
      </c>
      <c r="BE200" s="286"/>
      <c r="BF200" s="251">
        <f>IF(D200=1,BC200,0)</f>
        <v>0</v>
      </c>
      <c r="BG200" s="251">
        <f>IF(E200=1,BC200,0)</f>
        <v>0</v>
      </c>
      <c r="BH200" s="251">
        <f>IF(F200=1,BC200,0)</f>
        <v>0</v>
      </c>
      <c r="BI200" s="251">
        <f>IF(G200=1,BC200,0)</f>
        <v>0</v>
      </c>
      <c r="BJ200" s="251">
        <f>IF(H200=1,BC200,0)</f>
        <v>19197.599999999999</v>
      </c>
      <c r="BK200" s="251">
        <f>IF(I200=1,BC200,0)</f>
        <v>0</v>
      </c>
      <c r="BL200" s="251">
        <f>IF(J200=1,BC200,0)</f>
        <v>0</v>
      </c>
      <c r="BM200" s="251">
        <f>IF(K200=1,BC200,0)</f>
        <v>0</v>
      </c>
    </row>
    <row r="201" spans="1:65" s="287" customFormat="1" ht="18.75" customHeight="1" x14ac:dyDescent="0.25">
      <c r="A201" s="276"/>
      <c r="B201" s="288" t="s">
        <v>262</v>
      </c>
      <c r="C201" s="278">
        <f>4</f>
        <v>4</v>
      </c>
      <c r="D201" s="279"/>
      <c r="E201" s="279"/>
      <c r="F201" s="279"/>
      <c r="G201" s="279"/>
      <c r="H201" s="279">
        <v>1</v>
      </c>
      <c r="I201" s="279"/>
      <c r="J201" s="279"/>
      <c r="K201" s="279"/>
      <c r="L201" s="277"/>
      <c r="M201" s="280">
        <f>M$143</f>
        <v>3028</v>
      </c>
      <c r="N201" s="281">
        <f>N$136</f>
        <v>2</v>
      </c>
      <c r="O201" s="282">
        <v>1.2</v>
      </c>
      <c r="P201" s="282">
        <f>P$244</f>
        <v>1.58</v>
      </c>
      <c r="Q201" s="282"/>
      <c r="R201" s="283">
        <f>$R$244</f>
        <v>477</v>
      </c>
      <c r="S201" s="280">
        <f>T201/(R201/1)</f>
        <v>24.071278825995808</v>
      </c>
      <c r="T201" s="425">
        <f>ROUND(M201*N201*O201*P201,0)</f>
        <v>11482</v>
      </c>
      <c r="U201" s="284">
        <f>T201*C201*1</f>
        <v>45928</v>
      </c>
      <c r="V201" s="277">
        <v>12</v>
      </c>
      <c r="W201" s="285"/>
      <c r="X201" s="285">
        <f>U201*V201%</f>
        <v>5511.36</v>
      </c>
      <c r="Y201" s="277"/>
      <c r="Z201" s="277"/>
      <c r="AA201" s="277"/>
      <c r="AB201" s="277"/>
      <c r="AC201" s="277"/>
      <c r="AD201" s="277"/>
      <c r="AE201" s="277"/>
      <c r="AF201" s="277"/>
      <c r="AG201" s="277"/>
      <c r="AH201" s="277"/>
      <c r="AI201" s="277"/>
      <c r="AJ201" s="277"/>
      <c r="AK201" s="277">
        <f>(15+20+10+10)/4</f>
        <v>13.75</v>
      </c>
      <c r="AL201" s="277"/>
      <c r="AM201" s="342">
        <f>4*T201*AK201%*1</f>
        <v>6315.1</v>
      </c>
      <c r="AN201" s="277"/>
      <c r="AO201" s="277"/>
      <c r="AP201" s="277"/>
      <c r="AQ201" s="284">
        <f t="shared" si="168"/>
        <v>11826.46</v>
      </c>
      <c r="AR201" s="277">
        <f>AR$29</f>
        <v>20</v>
      </c>
      <c r="AS201" s="285">
        <f>AT201/C201</f>
        <v>2296.4</v>
      </c>
      <c r="AT201" s="280">
        <f>(U201)*AR201%</f>
        <v>9185.6</v>
      </c>
      <c r="AU201" s="339"/>
      <c r="AV201" s="277">
        <v>100</v>
      </c>
      <c r="AW201" s="277">
        <f>AU201*T201</f>
        <v>0</v>
      </c>
      <c r="AX201" s="277"/>
      <c r="AY201" s="285"/>
      <c r="AZ201" s="280"/>
      <c r="BA201" s="284">
        <f>AT201+AW201+AZ201</f>
        <v>9185.6</v>
      </c>
      <c r="BB201" s="284">
        <f>BC201/C201</f>
        <v>16735.014999999999</v>
      </c>
      <c r="BC201" s="284">
        <f>BA201+AQ201+U201</f>
        <v>66940.06</v>
      </c>
      <c r="BD201" s="286">
        <f>BC201/C201/3</f>
        <v>5578.3383333333331</v>
      </c>
      <c r="BE201" s="286"/>
      <c r="BF201" s="251">
        <f>IF(D201=1,BC201,0)</f>
        <v>0</v>
      </c>
      <c r="BG201" s="251">
        <f>IF(E201=1,BC201,0)</f>
        <v>0</v>
      </c>
      <c r="BH201" s="251">
        <f>IF(F201=1,BC201,0)</f>
        <v>0</v>
      </c>
      <c r="BI201" s="251">
        <f>IF(G201=1,BC201,0)</f>
        <v>0</v>
      </c>
      <c r="BJ201" s="251">
        <f>IF(H201=1,BC201,0)</f>
        <v>66940.06</v>
      </c>
      <c r="BK201" s="251">
        <f>IF(I201=1,BC201,0)</f>
        <v>0</v>
      </c>
      <c r="BL201" s="251">
        <f>IF(J201=1,BC201,0)</f>
        <v>0</v>
      </c>
      <c r="BM201" s="251">
        <f>IF(K201=1,BC201,0)</f>
        <v>0</v>
      </c>
    </row>
    <row r="202" spans="1:65" s="301" customFormat="1" ht="18.75" customHeight="1" x14ac:dyDescent="0.25">
      <c r="A202" s="289"/>
      <c r="B202" s="290" t="s">
        <v>262</v>
      </c>
      <c r="C202" s="376">
        <v>6</v>
      </c>
      <c r="D202" s="292"/>
      <c r="E202" s="292"/>
      <c r="F202" s="292"/>
      <c r="G202" s="292"/>
      <c r="H202" s="292"/>
      <c r="I202" s="292">
        <v>1</v>
      </c>
      <c r="J202" s="292"/>
      <c r="K202" s="292"/>
      <c r="L202" s="293"/>
      <c r="M202" s="280">
        <f>M$143</f>
        <v>3028</v>
      </c>
      <c r="N202" s="429">
        <f>N$136</f>
        <v>2</v>
      </c>
      <c r="O202" s="295">
        <v>1.2</v>
      </c>
      <c r="P202" s="295">
        <f>P$244</f>
        <v>1.58</v>
      </c>
      <c r="Q202" s="295"/>
      <c r="R202" s="296">
        <f>$R$244</f>
        <v>477</v>
      </c>
      <c r="S202" s="294">
        <f>T202/(R202/1)</f>
        <v>24.071278825995808</v>
      </c>
      <c r="T202" s="291">
        <f>ROUND(M202*N202*O202*P202,0)</f>
        <v>11482</v>
      </c>
      <c r="U202" s="297">
        <f>T202*C202*1</f>
        <v>68892</v>
      </c>
      <c r="V202" s="293">
        <v>12</v>
      </c>
      <c r="W202" s="298"/>
      <c r="X202" s="298">
        <f>U202*V202%</f>
        <v>8267.0399999999991</v>
      </c>
      <c r="Y202" s="293"/>
      <c r="Z202" s="293"/>
      <c r="AA202" s="293"/>
      <c r="AB202" s="293"/>
      <c r="AC202" s="293"/>
      <c r="AD202" s="293"/>
      <c r="AE202" s="293"/>
      <c r="AF202" s="293"/>
      <c r="AG202" s="293"/>
      <c r="AH202" s="293"/>
      <c r="AI202" s="293"/>
      <c r="AJ202" s="293"/>
      <c r="AK202" s="277">
        <f>(10+10)/2</f>
        <v>10</v>
      </c>
      <c r="AL202" s="293"/>
      <c r="AM202" s="298">
        <f>2*T202*AK202%*1</f>
        <v>2296.4</v>
      </c>
      <c r="AN202" s="293"/>
      <c r="AO202" s="293"/>
      <c r="AP202" s="293"/>
      <c r="AQ202" s="297">
        <f t="shared" si="168"/>
        <v>10563.439999999999</v>
      </c>
      <c r="AR202" s="293">
        <f>AR$29</f>
        <v>20</v>
      </c>
      <c r="AS202" s="298">
        <f>AT202/C202</f>
        <v>2296.4</v>
      </c>
      <c r="AT202" s="294">
        <f>(U202)*AR202%</f>
        <v>13778.400000000001</v>
      </c>
      <c r="AU202" s="293"/>
      <c r="AV202" s="293">
        <v>100</v>
      </c>
      <c r="AW202" s="293">
        <f>AU202*T202</f>
        <v>0</v>
      </c>
      <c r="AX202" s="293"/>
      <c r="AY202" s="298"/>
      <c r="AZ202" s="294"/>
      <c r="BA202" s="297">
        <f>AT202+AW202+AZ202</f>
        <v>13778.400000000001</v>
      </c>
      <c r="BB202" s="297">
        <f>BC202/C202</f>
        <v>15538.973333333333</v>
      </c>
      <c r="BC202" s="297">
        <f>BA202+AQ202+U202</f>
        <v>93233.84</v>
      </c>
      <c r="BD202" s="299">
        <f>BC202/C202/3</f>
        <v>5179.6577777777775</v>
      </c>
      <c r="BE202" s="299"/>
      <c r="BF202" s="300">
        <f>IF(D202=1,BC202,0)</f>
        <v>0</v>
      </c>
      <c r="BG202" s="300">
        <f>IF(E202=1,BC202,0)</f>
        <v>0</v>
      </c>
      <c r="BH202" s="300">
        <f>IF(F202=1,BC202,0)</f>
        <v>0</v>
      </c>
      <c r="BI202" s="300">
        <f>IF(G202=1,BC202,0)</f>
        <v>0</v>
      </c>
      <c r="BJ202" s="300">
        <f>IF(H202=1,BC202,0)</f>
        <v>0</v>
      </c>
      <c r="BK202" s="300">
        <f>IF(I202=1,BC202,0)</f>
        <v>93233.84</v>
      </c>
      <c r="BL202" s="300">
        <f>IF(J202=1,BC202,0)</f>
        <v>0</v>
      </c>
      <c r="BM202" s="300">
        <f>IF(K202=1,BC202,0)</f>
        <v>0</v>
      </c>
    </row>
    <row r="203" spans="1:65" s="301" customFormat="1" ht="25.5" customHeight="1" x14ac:dyDescent="0.25">
      <c r="A203" s="289"/>
      <c r="B203" s="290"/>
      <c r="C203" s="291"/>
      <c r="D203" s="292"/>
      <c r="E203" s="292"/>
      <c r="F203" s="292"/>
      <c r="G203" s="292"/>
      <c r="H203" s="292"/>
      <c r="I203" s="292"/>
      <c r="J203" s="292"/>
      <c r="K203" s="292"/>
      <c r="L203" s="293"/>
      <c r="M203" s="280"/>
      <c r="N203" s="429"/>
      <c r="O203" s="430"/>
      <c r="P203" s="430"/>
      <c r="Q203" s="295"/>
      <c r="R203" s="296"/>
      <c r="S203" s="294"/>
      <c r="T203" s="291"/>
      <c r="U203" s="297"/>
      <c r="V203" s="293"/>
      <c r="W203" s="298"/>
      <c r="X203" s="298"/>
      <c r="Y203" s="293"/>
      <c r="Z203" s="293"/>
      <c r="AA203" s="293"/>
      <c r="AB203" s="293"/>
      <c r="AC203" s="293"/>
      <c r="AD203" s="293"/>
      <c r="AE203" s="293"/>
      <c r="AF203" s="293"/>
      <c r="AG203" s="293"/>
      <c r="AH203" s="293"/>
      <c r="AI203" s="293"/>
      <c r="AJ203" s="293"/>
      <c r="AK203" s="277"/>
      <c r="AL203" s="293"/>
      <c r="AM203" s="298"/>
      <c r="AN203" s="293"/>
      <c r="AO203" s="293"/>
      <c r="AP203" s="293"/>
      <c r="AQ203" s="297"/>
      <c r="AR203" s="293"/>
      <c r="AS203" s="298"/>
      <c r="AT203" s="294"/>
      <c r="AU203" s="293"/>
      <c r="AV203" s="293"/>
      <c r="AW203" s="293"/>
      <c r="AX203" s="293"/>
      <c r="AY203" s="298"/>
      <c r="AZ203" s="431"/>
      <c r="BA203" s="297"/>
      <c r="BB203" s="297"/>
      <c r="BC203" s="297"/>
      <c r="BD203" s="299"/>
      <c r="BE203" s="299"/>
      <c r="BF203" s="300"/>
      <c r="BG203" s="300"/>
      <c r="BH203" s="300"/>
      <c r="BI203" s="300"/>
      <c r="BJ203" s="300"/>
      <c r="BK203" s="300"/>
      <c r="BL203" s="300"/>
      <c r="BM203" s="300"/>
    </row>
    <row r="204" spans="1:65" s="287" customFormat="1" hidden="1" x14ac:dyDescent="0.25">
      <c r="A204" s="276"/>
      <c r="B204" s="288"/>
      <c r="C204" s="425"/>
      <c r="D204" s="279"/>
      <c r="E204" s="279"/>
      <c r="F204" s="279"/>
      <c r="G204" s="279"/>
      <c r="H204" s="279"/>
      <c r="I204" s="279"/>
      <c r="J204" s="279"/>
      <c r="K204" s="279"/>
      <c r="L204" s="277"/>
      <c r="M204" s="280"/>
      <c r="N204" s="281"/>
      <c r="O204" s="282"/>
      <c r="P204" s="282"/>
      <c r="Q204" s="282"/>
      <c r="R204" s="283"/>
      <c r="S204" s="280"/>
      <c r="T204" s="425"/>
      <c r="U204" s="284"/>
      <c r="V204" s="277"/>
      <c r="W204" s="285"/>
      <c r="X204" s="285"/>
      <c r="Y204" s="277"/>
      <c r="Z204" s="277"/>
      <c r="AA204" s="277"/>
      <c r="AB204" s="277"/>
      <c r="AC204" s="277"/>
      <c r="AD204" s="285"/>
      <c r="AE204" s="277"/>
      <c r="AF204" s="285"/>
      <c r="AG204" s="285"/>
      <c r="AH204" s="277"/>
      <c r="AI204" s="285"/>
      <c r="AJ204" s="285"/>
      <c r="AK204" s="277"/>
      <c r="AL204" s="277"/>
      <c r="AM204" s="285"/>
      <c r="AN204" s="277"/>
      <c r="AO204" s="277"/>
      <c r="AP204" s="277"/>
      <c r="AQ204" s="284">
        <f t="shared" si="168"/>
        <v>0</v>
      </c>
      <c r="AR204" s="277"/>
      <c r="AS204" s="285"/>
      <c r="AT204" s="280"/>
      <c r="AU204" s="277"/>
      <c r="AV204" s="277"/>
      <c r="AW204" s="277"/>
      <c r="AX204" s="277"/>
      <c r="AY204" s="285"/>
      <c r="AZ204" s="280"/>
      <c r="BA204" s="284"/>
      <c r="BB204" s="284"/>
      <c r="BC204" s="284"/>
      <c r="BD204" s="286"/>
      <c r="BE204" s="286"/>
      <c r="BF204" s="251"/>
      <c r="BG204" s="251"/>
      <c r="BH204" s="251"/>
      <c r="BI204" s="251"/>
      <c r="BJ204" s="251"/>
      <c r="BK204" s="251"/>
      <c r="BL204" s="251"/>
      <c r="BM204" s="251"/>
    </row>
    <row r="205" spans="1:65" s="316" customFormat="1" ht="14.25" x14ac:dyDescent="0.25">
      <c r="A205" s="306"/>
      <c r="B205" s="307" t="s">
        <v>229</v>
      </c>
      <c r="C205" s="329">
        <f>SUM(C198:C204)</f>
        <v>14</v>
      </c>
      <c r="D205" s="309"/>
      <c r="E205" s="309"/>
      <c r="F205" s="309"/>
      <c r="G205" s="309"/>
      <c r="H205" s="309"/>
      <c r="I205" s="309"/>
      <c r="J205" s="309"/>
      <c r="K205" s="309"/>
      <c r="L205" s="309"/>
      <c r="M205" s="310"/>
      <c r="N205" s="309"/>
      <c r="O205" s="309"/>
      <c r="P205" s="309"/>
      <c r="Q205" s="309"/>
      <c r="R205" s="310"/>
      <c r="S205" s="310"/>
      <c r="T205" s="349">
        <f>U205/1</f>
        <v>184382</v>
      </c>
      <c r="U205" s="312">
        <f>SUM(U198:U204)</f>
        <v>184382</v>
      </c>
      <c r="V205" s="309"/>
      <c r="W205" s="309"/>
      <c r="X205" s="312">
        <f>SUM(X198:X204)</f>
        <v>28929</v>
      </c>
      <c r="Y205" s="312"/>
      <c r="Z205" s="312"/>
      <c r="AA205" s="312">
        <f>SUM(AA198:AA204)</f>
        <v>0</v>
      </c>
      <c r="AB205" s="312"/>
      <c r="AC205" s="312"/>
      <c r="AD205" s="312">
        <f>SUM(AD198:AD204)</f>
        <v>0</v>
      </c>
      <c r="AE205" s="312"/>
      <c r="AF205" s="312"/>
      <c r="AG205" s="312">
        <f>SUM(AG198:AG204)</f>
        <v>0</v>
      </c>
      <c r="AH205" s="312"/>
      <c r="AI205" s="312"/>
      <c r="AJ205" s="312">
        <f>SUM(AJ198:AJ204)</f>
        <v>0</v>
      </c>
      <c r="AK205" s="312"/>
      <c r="AL205" s="312"/>
      <c r="AM205" s="312">
        <f>SUM(AM198:AM204)</f>
        <v>19677.300000000003</v>
      </c>
      <c r="AN205" s="312"/>
      <c r="AO205" s="312"/>
      <c r="AP205" s="312">
        <f>SUM(AP198:AP204)</f>
        <v>0</v>
      </c>
      <c r="AQ205" s="312">
        <f>SUM(AQ198:AQ204)</f>
        <v>48606.3</v>
      </c>
      <c r="AR205" s="312"/>
      <c r="AS205" s="312">
        <f>SUM(AS198:AS204)</f>
        <v>15060.599999999999</v>
      </c>
      <c r="AT205" s="312">
        <f>SUM(AT198:AT204)</f>
        <v>36876.400000000001</v>
      </c>
      <c r="AU205" s="312">
        <f>SUM(AU198:AU204)</f>
        <v>1</v>
      </c>
      <c r="AV205" s="312"/>
      <c r="AW205" s="312">
        <f>SUM(AW198:AW204)</f>
        <v>22486</v>
      </c>
      <c r="AX205" s="312"/>
      <c r="AY205" s="312">
        <f>SUM(AY198:AY204)</f>
        <v>0</v>
      </c>
      <c r="AZ205" s="312">
        <f>SUM(AZ198:AZ204)</f>
        <v>0</v>
      </c>
      <c r="BA205" s="312">
        <f>SUM(BA198:BA204)</f>
        <v>59362.400000000001</v>
      </c>
      <c r="BB205" s="312">
        <f>BC205/C205</f>
        <v>20882.192857142858</v>
      </c>
      <c r="BC205" s="312">
        <f>SUM(BC198:BC204)</f>
        <v>292350.7</v>
      </c>
      <c r="BD205" s="286">
        <f>BC205/C205/3</f>
        <v>6960.7309523809527</v>
      </c>
      <c r="BE205" s="286"/>
    </row>
    <row r="206" spans="1:65" s="287" customFormat="1" ht="86.25" customHeight="1" x14ac:dyDescent="0.25">
      <c r="A206" s="380"/>
      <c r="B206" s="274"/>
      <c r="C206" s="258"/>
      <c r="D206" s="274"/>
      <c r="E206" s="274"/>
      <c r="F206" s="274"/>
      <c r="G206" s="274"/>
      <c r="H206" s="274"/>
      <c r="I206" s="274"/>
      <c r="J206" s="274"/>
      <c r="K206" s="274"/>
      <c r="L206" s="274"/>
      <c r="M206" s="389"/>
      <c r="N206" s="390"/>
      <c r="O206" s="390"/>
      <c r="P206" s="390"/>
      <c r="Q206" s="390"/>
      <c r="R206" s="391"/>
      <c r="S206" s="392"/>
      <c r="T206" s="258"/>
      <c r="U206" s="274"/>
      <c r="V206" s="274"/>
      <c r="W206" s="371"/>
      <c r="X206" s="371"/>
      <c r="Y206" s="274"/>
      <c r="Z206" s="274"/>
      <c r="AA206" s="274"/>
      <c r="AB206" s="274"/>
      <c r="AC206" s="274"/>
      <c r="AD206" s="371"/>
      <c r="AE206" s="274"/>
      <c r="AF206" s="371"/>
      <c r="AG206" s="371"/>
      <c r="AH206" s="274"/>
      <c r="AI206" s="371"/>
      <c r="AJ206" s="371"/>
      <c r="AK206" s="274"/>
      <c r="AL206" s="274"/>
      <c r="AM206" s="274"/>
      <c r="AN206" s="274"/>
      <c r="AO206" s="274"/>
      <c r="AP206" s="274"/>
      <c r="AQ206" s="274"/>
      <c r="AR206" s="274"/>
      <c r="AS206" s="371"/>
      <c r="AT206" s="389"/>
      <c r="AU206" s="274"/>
      <c r="AV206" s="274"/>
      <c r="AW206" s="274"/>
      <c r="AX206" s="274"/>
      <c r="AY206" s="371"/>
      <c r="AZ206" s="389"/>
      <c r="BA206" s="274"/>
      <c r="BB206" s="274"/>
      <c r="BC206" s="274"/>
      <c r="BD206" s="286"/>
      <c r="BE206" s="274"/>
      <c r="BF206" s="251"/>
      <c r="BG206" s="251"/>
      <c r="BH206" s="251"/>
      <c r="BI206" s="251"/>
      <c r="BJ206" s="251"/>
      <c r="BK206" s="251"/>
      <c r="BL206" s="251"/>
      <c r="BM206" s="251"/>
    </row>
    <row r="207" spans="1:65" s="275" customFormat="1" ht="21.75" customHeight="1" x14ac:dyDescent="0.25">
      <c r="A207" s="270" t="s">
        <v>263</v>
      </c>
      <c r="B207" s="444" t="s">
        <v>264</v>
      </c>
      <c r="C207" s="445"/>
      <c r="D207" s="445"/>
      <c r="E207" s="445"/>
      <c r="F207" s="445"/>
      <c r="G207" s="445"/>
      <c r="H207" s="445"/>
      <c r="I207" s="445"/>
      <c r="J207" s="445"/>
      <c r="K207" s="445"/>
      <c r="L207" s="445"/>
      <c r="M207" s="445"/>
      <c r="N207" s="445"/>
      <c r="O207" s="445"/>
      <c r="P207" s="445"/>
      <c r="Q207" s="445"/>
      <c r="R207" s="445"/>
      <c r="S207" s="445"/>
      <c r="T207" s="445"/>
      <c r="U207" s="445"/>
      <c r="V207" s="445"/>
      <c r="W207" s="445"/>
      <c r="X207" s="445"/>
      <c r="Y207" s="445"/>
      <c r="Z207" s="445"/>
      <c r="AA207" s="445"/>
      <c r="AB207" s="445"/>
      <c r="AC207" s="445"/>
      <c r="AD207" s="445"/>
      <c r="AE207" s="445"/>
      <c r="AF207" s="445"/>
      <c r="AG207" s="445"/>
      <c r="AH207" s="445"/>
      <c r="AI207" s="445"/>
      <c r="AJ207" s="445"/>
      <c r="AK207" s="445"/>
      <c r="AL207" s="445"/>
      <c r="AM207" s="445"/>
      <c r="AN207" s="445"/>
      <c r="AO207" s="445"/>
      <c r="AP207" s="445"/>
      <c r="AQ207" s="445"/>
      <c r="AR207" s="445"/>
      <c r="AS207" s="445"/>
      <c r="AT207" s="445"/>
      <c r="AU207" s="445"/>
      <c r="AV207" s="445"/>
      <c r="AW207" s="445"/>
      <c r="AX207" s="445"/>
      <c r="AY207" s="445"/>
      <c r="AZ207" s="445"/>
      <c r="BA207" s="445"/>
      <c r="BB207" s="445"/>
      <c r="BC207" s="445"/>
      <c r="BD207" s="286"/>
      <c r="BE207" s="274"/>
    </row>
    <row r="208" spans="1:65" s="377" customFormat="1" ht="24.75" customHeight="1" x14ac:dyDescent="0.25">
      <c r="A208" s="375"/>
      <c r="B208" s="288" t="s">
        <v>265</v>
      </c>
      <c r="C208" s="376">
        <v>1</v>
      </c>
      <c r="D208" s="292"/>
      <c r="E208" s="292"/>
      <c r="F208" s="292"/>
      <c r="G208" s="292"/>
      <c r="H208" s="292"/>
      <c r="I208" s="292">
        <v>1</v>
      </c>
      <c r="J208" s="292"/>
      <c r="K208" s="292"/>
      <c r="L208" s="293"/>
      <c r="M208" s="294">
        <f>M$35</f>
        <v>3028</v>
      </c>
      <c r="N208" s="281">
        <f>N$29</f>
        <v>2</v>
      </c>
      <c r="O208" s="293">
        <v>1.9</v>
      </c>
      <c r="P208" s="295">
        <f>P$244</f>
        <v>1.58</v>
      </c>
      <c r="Q208" s="293"/>
      <c r="R208" s="296">
        <f>$R$244</f>
        <v>477</v>
      </c>
      <c r="S208" s="294">
        <f>T208/(R208/1)</f>
        <v>38.113207547169814</v>
      </c>
      <c r="T208" s="291">
        <f>ROUND(M208*N208*O208*P208,0)</f>
        <v>18180</v>
      </c>
      <c r="U208" s="297">
        <f>T208*C208*1</f>
        <v>18180</v>
      </c>
      <c r="V208" s="293">
        <v>20</v>
      </c>
      <c r="W208" s="298"/>
      <c r="X208" s="298">
        <f>U208*V208%</f>
        <v>3636</v>
      </c>
      <c r="Y208" s="293"/>
      <c r="Z208" s="293"/>
      <c r="AA208" s="293"/>
      <c r="AB208" s="293"/>
      <c r="AC208" s="293"/>
      <c r="AD208" s="293"/>
      <c r="AE208" s="293"/>
      <c r="AF208" s="293"/>
      <c r="AG208" s="293"/>
      <c r="AH208" s="293"/>
      <c r="AI208" s="293"/>
      <c r="AJ208" s="293"/>
      <c r="AK208" s="293">
        <v>15</v>
      </c>
      <c r="AL208" s="293"/>
      <c r="AM208" s="298">
        <f>T208*AK208%*1</f>
        <v>2727</v>
      </c>
      <c r="AN208" s="293"/>
      <c r="AO208" s="293"/>
      <c r="AP208" s="293"/>
      <c r="AQ208" s="297">
        <f>X208+AA208+AD208+AG208+AJ208+AM208+AP208</f>
        <v>6363</v>
      </c>
      <c r="AR208" s="293">
        <v>20</v>
      </c>
      <c r="AS208" s="298">
        <f>AT208/C208</f>
        <v>3636</v>
      </c>
      <c r="AT208" s="294">
        <f>(U208)*AR208%</f>
        <v>3636</v>
      </c>
      <c r="AU208" s="293"/>
      <c r="AV208" s="293">
        <v>100</v>
      </c>
      <c r="AW208" s="293">
        <f>AU208*T208</f>
        <v>0</v>
      </c>
      <c r="AX208" s="293"/>
      <c r="AY208" s="298"/>
      <c r="AZ208" s="294"/>
      <c r="BA208" s="297">
        <f>AT208+AW208+AZ208</f>
        <v>3636</v>
      </c>
      <c r="BB208" s="297">
        <f t="shared" ref="BB208:BB215" si="169">BC208/C208</f>
        <v>28179</v>
      </c>
      <c r="BC208" s="297">
        <f>BA208+AQ208+U208</f>
        <v>28179</v>
      </c>
      <c r="BD208" s="299">
        <f t="shared" ref="BD208:BD215" si="170">BC208/C208/3</f>
        <v>9393</v>
      </c>
      <c r="BE208" s="299"/>
      <c r="BF208" s="377">
        <f>IF(D208=1,BC208,0)</f>
        <v>0</v>
      </c>
      <c r="BG208" s="377">
        <f>IF(E208=1,BC208,0)</f>
        <v>0</v>
      </c>
      <c r="BH208" s="377">
        <f>IF(F208=1,BC208,0)</f>
        <v>0</v>
      </c>
      <c r="BI208" s="377">
        <f>IF(G208=1,BC208,0)</f>
        <v>0</v>
      </c>
      <c r="BJ208" s="300">
        <f>IF(H208=1,BC208,0)</f>
        <v>0</v>
      </c>
      <c r="BK208" s="300">
        <f>IF(I208=1,BC208,0)</f>
        <v>28179</v>
      </c>
      <c r="BL208" s="300">
        <f>IF(J208=1,BC208,0)</f>
        <v>0</v>
      </c>
      <c r="BM208" s="377">
        <f>IF(K208=1,BC208,0)</f>
        <v>0</v>
      </c>
    </row>
    <row r="209" spans="1:65" ht="42.75" x14ac:dyDescent="0.25">
      <c r="A209" s="344"/>
      <c r="B209" s="288" t="s">
        <v>266</v>
      </c>
      <c r="C209" s="393">
        <v>2.25</v>
      </c>
      <c r="D209" s="279"/>
      <c r="E209" s="279"/>
      <c r="F209" s="279"/>
      <c r="G209" s="279"/>
      <c r="H209" s="279"/>
      <c r="I209" s="279">
        <v>1</v>
      </c>
      <c r="J209" s="279"/>
      <c r="K209" s="279"/>
      <c r="L209" s="277">
        <v>4</v>
      </c>
      <c r="M209" s="280">
        <f>M$35</f>
        <v>3028</v>
      </c>
      <c r="N209" s="281">
        <f>N$136</f>
        <v>2</v>
      </c>
      <c r="O209" s="277">
        <v>1.43</v>
      </c>
      <c r="P209" s="282">
        <v>1.58</v>
      </c>
      <c r="Q209" s="277"/>
      <c r="R209" s="283">
        <f>$R$244</f>
        <v>477</v>
      </c>
      <c r="S209" s="280">
        <f>T209/(R209/1)</f>
        <v>28.685534591194969</v>
      </c>
      <c r="T209" s="425">
        <f>ROUND(M209*N209*O209*P209,0)</f>
        <v>13683</v>
      </c>
      <c r="U209" s="284">
        <f>T209*C209*1</f>
        <v>30786.75</v>
      </c>
      <c r="V209" s="277">
        <v>16</v>
      </c>
      <c r="W209" s="285"/>
      <c r="X209" s="285">
        <f>U209*V209%</f>
        <v>4925.88</v>
      </c>
      <c r="Y209" s="277"/>
      <c r="Z209" s="277"/>
      <c r="AA209" s="277"/>
      <c r="AB209" s="277"/>
      <c r="AC209" s="277"/>
      <c r="AD209" s="277"/>
      <c r="AE209" s="277"/>
      <c r="AF209" s="277"/>
      <c r="AG209" s="277"/>
      <c r="AH209" s="277"/>
      <c r="AI209" s="277"/>
      <c r="AJ209" s="277"/>
      <c r="AK209" s="277">
        <v>7</v>
      </c>
      <c r="AL209" s="277"/>
      <c r="AM209" s="285">
        <f>T209*AK209%*1</f>
        <v>957.81000000000006</v>
      </c>
      <c r="AN209" s="277"/>
      <c r="AO209" s="277"/>
      <c r="AP209" s="277"/>
      <c r="AQ209" s="284">
        <f>X209+AA209+AD209+AG209+AJ209+AM209+AP209</f>
        <v>5883.6900000000005</v>
      </c>
      <c r="AR209" s="277">
        <v>20</v>
      </c>
      <c r="AS209" s="285">
        <f>AT209/C209</f>
        <v>2736.6000000000004</v>
      </c>
      <c r="AT209" s="280">
        <f>(U209)*AR209%</f>
        <v>6157.35</v>
      </c>
      <c r="AU209" s="277"/>
      <c r="AV209" s="277">
        <v>100</v>
      </c>
      <c r="AW209" s="277">
        <f>AU209*T209</f>
        <v>0</v>
      </c>
      <c r="AX209" s="277"/>
      <c r="AY209" s="285"/>
      <c r="AZ209" s="280"/>
      <c r="BA209" s="284">
        <f>AT209+AW209+AZ209</f>
        <v>6157.35</v>
      </c>
      <c r="BB209" s="284">
        <f t="shared" si="169"/>
        <v>19034.573333333334</v>
      </c>
      <c r="BC209" s="284">
        <f>BA209+AQ209+U209</f>
        <v>42827.79</v>
      </c>
      <c r="BD209" s="286">
        <f t="shared" si="170"/>
        <v>6344.8577777777782</v>
      </c>
      <c r="BE209" s="286"/>
      <c r="BF209" s="241">
        <f>IF(D209=1,BC209,0)</f>
        <v>0</v>
      </c>
      <c r="BG209" s="241">
        <f>IF(E209=1,BC209,0)</f>
        <v>0</v>
      </c>
      <c r="BH209" s="251">
        <f>IF(F209=1,BC209,0)</f>
        <v>0</v>
      </c>
      <c r="BI209" s="241">
        <f>IF(G209=1,BC209,0)</f>
        <v>0</v>
      </c>
      <c r="BJ209" s="251">
        <f>IF(H209=1,BC209,0)</f>
        <v>0</v>
      </c>
      <c r="BK209" s="251">
        <f>IF(I209=1,BC209,0)</f>
        <v>42827.79</v>
      </c>
      <c r="BL209" s="251">
        <f>IF(J209=1,BC209,0)</f>
        <v>0</v>
      </c>
      <c r="BM209" s="241">
        <f>IF(K209=1,BC209,0)</f>
        <v>0</v>
      </c>
    </row>
    <row r="210" spans="1:65" x14ac:dyDescent="0.25">
      <c r="A210" s="344"/>
      <c r="B210" s="288" t="s">
        <v>240</v>
      </c>
      <c r="C210" s="393">
        <v>0.25</v>
      </c>
      <c r="D210" s="279"/>
      <c r="E210" s="279"/>
      <c r="F210" s="279"/>
      <c r="G210" s="279"/>
      <c r="H210" s="279"/>
      <c r="I210" s="279">
        <v>1</v>
      </c>
      <c r="J210" s="279"/>
      <c r="K210" s="279"/>
      <c r="L210" s="277">
        <v>4</v>
      </c>
      <c r="M210" s="280">
        <f>M$35</f>
        <v>3028</v>
      </c>
      <c r="N210" s="281">
        <f>N$136</f>
        <v>2</v>
      </c>
      <c r="O210" s="277">
        <v>1.43</v>
      </c>
      <c r="P210" s="282">
        <v>1.58</v>
      </c>
      <c r="Q210" s="277"/>
      <c r="R210" s="283">
        <f>$R$244</f>
        <v>477</v>
      </c>
      <c r="S210" s="280">
        <f>T210/(R210/1)</f>
        <v>28.685534591194969</v>
      </c>
      <c r="T210" s="425">
        <f>ROUND(M210*N210*O210*P210,0)</f>
        <v>13683</v>
      </c>
      <c r="U210" s="284">
        <f>T210*C210*1</f>
        <v>3420.75</v>
      </c>
      <c r="V210" s="277">
        <v>16</v>
      </c>
      <c r="W210" s="285"/>
      <c r="X210" s="285">
        <f>U210*V210%</f>
        <v>547.32000000000005</v>
      </c>
      <c r="Y210" s="277">
        <v>4</v>
      </c>
      <c r="Z210" s="285"/>
      <c r="AA210" s="285">
        <f>U210*Y210%</f>
        <v>136.83000000000001</v>
      </c>
      <c r="AB210" s="277"/>
      <c r="AC210" s="277"/>
      <c r="AD210" s="277"/>
      <c r="AE210" s="277"/>
      <c r="AF210" s="277"/>
      <c r="AG210" s="277"/>
      <c r="AH210" s="277"/>
      <c r="AI210" s="277"/>
      <c r="AJ210" s="277"/>
      <c r="AK210" s="277"/>
      <c r="AL210" s="277"/>
      <c r="AM210" s="285">
        <f>T210*AK210%*1</f>
        <v>0</v>
      </c>
      <c r="AN210" s="277"/>
      <c r="AO210" s="277"/>
      <c r="AP210" s="277"/>
      <c r="AQ210" s="284">
        <f>X210+AA210+AD210+AG210+AJ210+AM210+AP210</f>
        <v>684.15000000000009</v>
      </c>
      <c r="AR210" s="277">
        <v>20</v>
      </c>
      <c r="AS210" s="285">
        <f>AT210/C210</f>
        <v>2736.6000000000004</v>
      </c>
      <c r="AT210" s="280">
        <f>(U210)*AR210%</f>
        <v>684.15000000000009</v>
      </c>
      <c r="AU210" s="277"/>
      <c r="AV210" s="277">
        <v>100</v>
      </c>
      <c r="AW210" s="277">
        <f>AU210*T210</f>
        <v>0</v>
      </c>
      <c r="AX210" s="277"/>
      <c r="AY210" s="285"/>
      <c r="AZ210" s="280"/>
      <c r="BA210" s="284">
        <f>AT210+AW210+AZ210</f>
        <v>684.15000000000009</v>
      </c>
      <c r="BB210" s="284">
        <f t="shared" si="169"/>
        <v>19156.2</v>
      </c>
      <c r="BC210" s="284">
        <f>BA210+AQ210+U210</f>
        <v>4789.05</v>
      </c>
      <c r="BD210" s="286">
        <f t="shared" si="170"/>
        <v>6385.4000000000005</v>
      </c>
      <c r="BE210" s="286"/>
      <c r="BF210" s="241">
        <f>IF(D210=1,BC210,0)</f>
        <v>0</v>
      </c>
      <c r="BG210" s="241">
        <f>IF(E210=1,BC210,0)</f>
        <v>0</v>
      </c>
      <c r="BH210" s="251">
        <f>IF(F210=1,BC210,0)</f>
        <v>0</v>
      </c>
      <c r="BI210" s="241">
        <f>IF(G210=1,BC210,0)</f>
        <v>0</v>
      </c>
      <c r="BJ210" s="251">
        <f>IF(H210=1,BC210,0)</f>
        <v>0</v>
      </c>
      <c r="BK210" s="251">
        <f>IF(I210=1,BC210,0)</f>
        <v>4789.05</v>
      </c>
      <c r="BL210" s="251">
        <f>IF(J210=1,BC210,0)</f>
        <v>0</v>
      </c>
      <c r="BM210" s="241">
        <f>IF(K210=1,BC210,0)</f>
        <v>0</v>
      </c>
    </row>
    <row r="211" spans="1:65" x14ac:dyDescent="0.25">
      <c r="A211" s="344"/>
      <c r="B211" s="288" t="s">
        <v>267</v>
      </c>
      <c r="C211" s="446">
        <v>0.75</v>
      </c>
      <c r="D211" s="279"/>
      <c r="E211" s="279"/>
      <c r="F211" s="279"/>
      <c r="G211" s="279"/>
      <c r="H211" s="279"/>
      <c r="I211" s="279">
        <v>1</v>
      </c>
      <c r="J211" s="279"/>
      <c r="K211" s="279"/>
      <c r="L211" s="277"/>
      <c r="M211" s="280">
        <f>M$35</f>
        <v>3028</v>
      </c>
      <c r="N211" s="281">
        <f>N$136</f>
        <v>2</v>
      </c>
      <c r="O211" s="339">
        <v>1.95</v>
      </c>
      <c r="P211" s="282">
        <v>1</v>
      </c>
      <c r="Q211" s="277"/>
      <c r="R211" s="283">
        <f>$R$244</f>
        <v>477</v>
      </c>
      <c r="S211" s="280">
        <f>T211/(R211/1)</f>
        <v>24.756813417190777</v>
      </c>
      <c r="T211" s="425">
        <f>ROUND(M211*N211*O211*P211,0)</f>
        <v>11809</v>
      </c>
      <c r="U211" s="284">
        <f>T211*C211*1</f>
        <v>8856.75</v>
      </c>
      <c r="V211" s="277"/>
      <c r="W211" s="285"/>
      <c r="X211" s="285">
        <f>U211*V211%</f>
        <v>0</v>
      </c>
      <c r="Y211" s="277"/>
      <c r="Z211" s="277"/>
      <c r="AA211" s="277"/>
      <c r="AB211" s="277"/>
      <c r="AC211" s="277"/>
      <c r="AD211" s="277"/>
      <c r="AE211" s="277"/>
      <c r="AF211" s="277"/>
      <c r="AG211" s="277"/>
      <c r="AH211" s="277"/>
      <c r="AI211" s="277"/>
      <c r="AJ211" s="277"/>
      <c r="AK211" s="277"/>
      <c r="AL211" s="277"/>
      <c r="AM211" s="285">
        <f>T211*AK211%*1</f>
        <v>0</v>
      </c>
      <c r="AN211" s="277">
        <v>25</v>
      </c>
      <c r="AO211" s="285"/>
      <c r="AP211" s="285">
        <f>U211*AN211%</f>
        <v>2214.1875</v>
      </c>
      <c r="AQ211" s="284">
        <f>X211+AA211+AD211+AG211+AJ211+AM211+AP211</f>
        <v>2214.1875</v>
      </c>
      <c r="AR211" s="277">
        <v>20</v>
      </c>
      <c r="AS211" s="285">
        <f>AT211/C211</f>
        <v>2361.8000000000002</v>
      </c>
      <c r="AT211" s="280">
        <f>(U211)*AR211%</f>
        <v>1771.3500000000001</v>
      </c>
      <c r="AU211" s="277"/>
      <c r="AV211" s="277">
        <v>100</v>
      </c>
      <c r="AW211" s="277">
        <f>AU211*T211</f>
        <v>0</v>
      </c>
      <c r="AX211" s="277"/>
      <c r="AY211" s="285"/>
      <c r="AZ211" s="280"/>
      <c r="BA211" s="284">
        <f>AT211+AW211+AZ211</f>
        <v>1771.3500000000001</v>
      </c>
      <c r="BB211" s="284">
        <f t="shared" si="169"/>
        <v>17123.05</v>
      </c>
      <c r="BC211" s="284">
        <f>BA211+AQ211+U211</f>
        <v>12842.2875</v>
      </c>
      <c r="BD211" s="286">
        <f t="shared" si="170"/>
        <v>5707.6833333333334</v>
      </c>
      <c r="BE211" s="286"/>
      <c r="BF211" s="241">
        <f>IF(D211=1,BC211,0)</f>
        <v>0</v>
      </c>
      <c r="BG211" s="241">
        <f>IF(E211=1,BC211,0)</f>
        <v>0</v>
      </c>
      <c r="BH211" s="251">
        <f>IF(F211=1,BC211,0)</f>
        <v>0</v>
      </c>
      <c r="BI211" s="241">
        <f>IF(G211=1,BC211,0)</f>
        <v>0</v>
      </c>
      <c r="BJ211" s="251">
        <f>IF(H211=1,BC211,0)</f>
        <v>0</v>
      </c>
      <c r="BK211" s="251">
        <f>IF(I211=1,BC211,0)</f>
        <v>12842.2875</v>
      </c>
      <c r="BL211" s="251">
        <f>IF(J211=1,BC211,0)</f>
        <v>0</v>
      </c>
      <c r="BM211" s="241">
        <f>IF(K211=1,BC211,0)</f>
        <v>0</v>
      </c>
    </row>
    <row r="212" spans="1:65" hidden="1" x14ac:dyDescent="0.25">
      <c r="A212" s="344"/>
      <c r="B212" s="288"/>
      <c r="C212" s="393"/>
      <c r="D212" s="279"/>
      <c r="E212" s="279"/>
      <c r="F212" s="279"/>
      <c r="G212" s="279"/>
      <c r="H212" s="279"/>
      <c r="I212" s="279"/>
      <c r="J212" s="279"/>
      <c r="K212" s="279"/>
      <c r="L212" s="277"/>
      <c r="M212" s="280"/>
      <c r="N212" s="281"/>
      <c r="O212" s="277"/>
      <c r="P212" s="282"/>
      <c r="Q212" s="277"/>
      <c r="R212" s="283"/>
      <c r="S212" s="280"/>
      <c r="T212" s="425"/>
      <c r="U212" s="284"/>
      <c r="V212" s="277"/>
      <c r="W212" s="285"/>
      <c r="X212" s="285"/>
      <c r="Y212" s="277"/>
      <c r="Z212" s="277"/>
      <c r="AA212" s="277"/>
      <c r="AB212" s="277"/>
      <c r="AC212" s="277"/>
      <c r="AD212" s="277"/>
      <c r="AE212" s="277"/>
      <c r="AF212" s="277"/>
      <c r="AG212" s="277"/>
      <c r="AH212" s="277"/>
      <c r="AI212" s="277"/>
      <c r="AJ212" s="277"/>
      <c r="AK212" s="277"/>
      <c r="AL212" s="277"/>
      <c r="AM212" s="285"/>
      <c r="AN212" s="277"/>
      <c r="AO212" s="277"/>
      <c r="AP212" s="285"/>
      <c r="AQ212" s="284"/>
      <c r="AR212" s="277"/>
      <c r="AS212" s="285"/>
      <c r="AT212" s="280"/>
      <c r="AU212" s="277"/>
      <c r="AV212" s="277"/>
      <c r="AW212" s="277"/>
      <c r="AX212" s="277"/>
      <c r="AY212" s="285"/>
      <c r="AZ212" s="280"/>
      <c r="BA212" s="284"/>
      <c r="BB212" s="284"/>
      <c r="BC212" s="284"/>
      <c r="BD212" s="286"/>
      <c r="BE212" s="286"/>
      <c r="BH212" s="251"/>
      <c r="BJ212" s="251"/>
      <c r="BK212" s="251"/>
      <c r="BL212" s="251"/>
    </row>
    <row r="213" spans="1:65" s="316" customFormat="1" ht="14.25" x14ac:dyDescent="0.25">
      <c r="A213" s="306"/>
      <c r="B213" s="372" t="s">
        <v>229</v>
      </c>
      <c r="C213" s="329">
        <f>SUM(C208:C211)</f>
        <v>4.25</v>
      </c>
      <c r="D213" s="309"/>
      <c r="E213" s="309"/>
      <c r="F213" s="309"/>
      <c r="G213" s="309"/>
      <c r="H213" s="309"/>
      <c r="I213" s="309"/>
      <c r="J213" s="309"/>
      <c r="K213" s="309"/>
      <c r="L213" s="309"/>
      <c r="M213" s="310"/>
      <c r="N213" s="309"/>
      <c r="O213" s="309"/>
      <c r="P213" s="309"/>
      <c r="Q213" s="309"/>
      <c r="R213" s="310"/>
      <c r="S213" s="310"/>
      <c r="T213" s="349">
        <f>U213/1</f>
        <v>61244.25</v>
      </c>
      <c r="U213" s="329">
        <f>SUM(U208:U211)</f>
        <v>61244.25</v>
      </c>
      <c r="V213" s="309"/>
      <c r="W213" s="309"/>
      <c r="X213" s="329">
        <f>SUM(X208:X211)</f>
        <v>9109.2000000000007</v>
      </c>
      <c r="Y213" s="329"/>
      <c r="Z213" s="329"/>
      <c r="AA213" s="329">
        <f>SUM(AA208:AA211)</f>
        <v>136.83000000000001</v>
      </c>
      <c r="AB213" s="329"/>
      <c r="AC213" s="329"/>
      <c r="AD213" s="329">
        <f>SUM(AD208:AD211)</f>
        <v>0</v>
      </c>
      <c r="AE213" s="329"/>
      <c r="AF213" s="329"/>
      <c r="AG213" s="329">
        <f>SUM(AG208:AG211)</f>
        <v>0</v>
      </c>
      <c r="AH213" s="329"/>
      <c r="AI213" s="329"/>
      <c r="AJ213" s="329">
        <f>SUM(AJ208:AJ211)</f>
        <v>0</v>
      </c>
      <c r="AK213" s="329"/>
      <c r="AL213" s="329"/>
      <c r="AM213" s="329">
        <f>SUM(AM208:AM211)</f>
        <v>3684.81</v>
      </c>
      <c r="AN213" s="329"/>
      <c r="AO213" s="329"/>
      <c r="AP213" s="329">
        <f>SUM(AP208:AP211)</f>
        <v>2214.1875</v>
      </c>
      <c r="AQ213" s="329">
        <f>SUM(AQ208:AQ211)</f>
        <v>15145.0275</v>
      </c>
      <c r="AR213" s="329"/>
      <c r="AS213" s="329">
        <f>SUM(AS208:AS211)</f>
        <v>11471</v>
      </c>
      <c r="AT213" s="329">
        <f>SUM(AT208:AT211)</f>
        <v>12248.85</v>
      </c>
      <c r="AU213" s="329">
        <f>SUM(AU208:AU211)</f>
        <v>0</v>
      </c>
      <c r="AV213" s="329"/>
      <c r="AW213" s="329">
        <f>SUM(AW208:AW211)</f>
        <v>0</v>
      </c>
      <c r="AX213" s="329"/>
      <c r="AY213" s="329">
        <f>SUM(AY208:AY211)</f>
        <v>0</v>
      </c>
      <c r="AZ213" s="329">
        <f>SUM(AZ208:AZ211)</f>
        <v>0</v>
      </c>
      <c r="BA213" s="329">
        <f>SUM(BA208:BA211)</f>
        <v>12248.85</v>
      </c>
      <c r="BB213" s="329">
        <f t="shared" si="169"/>
        <v>20856.030000000002</v>
      </c>
      <c r="BC213" s="329">
        <f>SUM(BC208:BC211)</f>
        <v>88638.127500000017</v>
      </c>
      <c r="BD213" s="286">
        <f t="shared" si="170"/>
        <v>6952.0100000000011</v>
      </c>
      <c r="BE213" s="323">
        <f>BC213/3</f>
        <v>29546.042500000007</v>
      </c>
    </row>
    <row r="214" spans="1:65" s="316" customFormat="1" ht="14.25" hidden="1" x14ac:dyDescent="0.25">
      <c r="A214" s="306"/>
      <c r="B214" s="372"/>
      <c r="C214" s="329"/>
      <c r="D214" s="309"/>
      <c r="E214" s="309"/>
      <c r="F214" s="309"/>
      <c r="G214" s="309"/>
      <c r="H214" s="309"/>
      <c r="I214" s="309"/>
      <c r="J214" s="309"/>
      <c r="K214" s="309"/>
      <c r="L214" s="309"/>
      <c r="M214" s="310"/>
      <c r="N214" s="309"/>
      <c r="O214" s="309"/>
      <c r="P214" s="309"/>
      <c r="Q214" s="309"/>
      <c r="R214" s="310"/>
      <c r="S214" s="310"/>
      <c r="T214" s="349"/>
      <c r="U214" s="329"/>
      <c r="V214" s="309"/>
      <c r="W214" s="30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c r="AZ214" s="329"/>
      <c r="BA214" s="329"/>
      <c r="BB214" s="329"/>
      <c r="BC214" s="329"/>
      <c r="BD214" s="286"/>
      <c r="BE214" s="323"/>
    </row>
    <row r="215" spans="1:65" s="316" customFormat="1" ht="14.25" hidden="1" x14ac:dyDescent="0.25">
      <c r="A215" s="306"/>
      <c r="B215" s="307" t="s">
        <v>229</v>
      </c>
      <c r="C215" s="329">
        <f>+C205+C213</f>
        <v>18.25</v>
      </c>
      <c r="D215" s="309"/>
      <c r="E215" s="309"/>
      <c r="F215" s="309"/>
      <c r="G215" s="309"/>
      <c r="H215" s="309"/>
      <c r="I215" s="309"/>
      <c r="J215" s="309"/>
      <c r="K215" s="309"/>
      <c r="L215" s="309"/>
      <c r="M215" s="310"/>
      <c r="N215" s="309"/>
      <c r="O215" s="309"/>
      <c r="P215" s="309"/>
      <c r="Q215" s="309"/>
      <c r="R215" s="310"/>
      <c r="S215" s="310"/>
      <c r="T215" s="349">
        <f>U215/1</f>
        <v>245626.25</v>
      </c>
      <c r="U215" s="329">
        <f>+U205+U213</f>
        <v>245626.25</v>
      </c>
      <c r="V215" s="309"/>
      <c r="W215" s="309"/>
      <c r="X215" s="329">
        <f>+X205+X213</f>
        <v>38038.199999999997</v>
      </c>
      <c r="Y215" s="329"/>
      <c r="Z215" s="329"/>
      <c r="AA215" s="329">
        <f>+AA205+AA213</f>
        <v>136.83000000000001</v>
      </c>
      <c r="AB215" s="329"/>
      <c r="AC215" s="329"/>
      <c r="AD215" s="329">
        <f>+AD205+AD213</f>
        <v>0</v>
      </c>
      <c r="AE215" s="329"/>
      <c r="AF215" s="329"/>
      <c r="AG215" s="329">
        <f>+AG205+AG213</f>
        <v>0</v>
      </c>
      <c r="AH215" s="329"/>
      <c r="AI215" s="329"/>
      <c r="AJ215" s="329">
        <f>+AJ205+AJ213</f>
        <v>0</v>
      </c>
      <c r="AK215" s="329"/>
      <c r="AL215" s="329"/>
      <c r="AM215" s="329">
        <f>+AM205+AM213</f>
        <v>23362.110000000004</v>
      </c>
      <c r="AN215" s="329"/>
      <c r="AO215" s="329"/>
      <c r="AP215" s="329">
        <f>+AP205+AP213</f>
        <v>2214.1875</v>
      </c>
      <c r="AQ215" s="329">
        <f>+AQ205+AQ213</f>
        <v>63751.327499999999</v>
      </c>
      <c r="AR215" s="329"/>
      <c r="AS215" s="329">
        <f>+AS205+AS213</f>
        <v>26531.599999999999</v>
      </c>
      <c r="AT215" s="329">
        <f>+AT205+AT213</f>
        <v>49125.25</v>
      </c>
      <c r="AU215" s="329">
        <f>+AU205+AU213</f>
        <v>1</v>
      </c>
      <c r="AV215" s="329"/>
      <c r="AW215" s="329">
        <f>+AW205+AW213</f>
        <v>22486</v>
      </c>
      <c r="AX215" s="329"/>
      <c r="AY215" s="329">
        <f>+AY205+AY213</f>
        <v>0</v>
      </c>
      <c r="AZ215" s="329">
        <f>+AZ205+AZ213</f>
        <v>0</v>
      </c>
      <c r="BA215" s="329">
        <f>+BA205+BA213</f>
        <v>71611.25</v>
      </c>
      <c r="BB215" s="329">
        <f t="shared" si="169"/>
        <v>20876.100136986301</v>
      </c>
      <c r="BC215" s="329">
        <f>+BC205+BC213</f>
        <v>380988.82750000001</v>
      </c>
      <c r="BD215" s="286">
        <f t="shared" si="170"/>
        <v>6958.7000456620999</v>
      </c>
      <c r="BE215" s="323"/>
      <c r="BF215" s="315">
        <f t="shared" ref="BF215:BM215" si="171">SUM(BF198:BF213)</f>
        <v>0</v>
      </c>
      <c r="BG215" s="315">
        <f t="shared" si="171"/>
        <v>0</v>
      </c>
      <c r="BH215" s="315">
        <f t="shared" si="171"/>
        <v>0</v>
      </c>
      <c r="BI215" s="315">
        <f t="shared" si="171"/>
        <v>0</v>
      </c>
      <c r="BJ215" s="315">
        <f t="shared" si="171"/>
        <v>86137.66</v>
      </c>
      <c r="BK215" s="315">
        <f t="shared" si="171"/>
        <v>181871.9675</v>
      </c>
      <c r="BL215" s="315">
        <f t="shared" si="171"/>
        <v>112979.20000000001</v>
      </c>
      <c r="BM215" s="315">
        <f t="shared" si="171"/>
        <v>0</v>
      </c>
    </row>
    <row r="216" spans="1:65" s="287" customFormat="1" ht="14.25" x14ac:dyDescent="0.25">
      <c r="A216" s="276"/>
      <c r="B216" s="277"/>
      <c r="C216" s="394"/>
      <c r="D216" s="395"/>
      <c r="E216" s="395"/>
      <c r="F216" s="395"/>
      <c r="G216" s="395"/>
      <c r="H216" s="395"/>
      <c r="I216" s="395"/>
      <c r="J216" s="395"/>
      <c r="K216" s="395"/>
      <c r="L216" s="395"/>
      <c r="M216" s="396"/>
      <c r="N216" s="395"/>
      <c r="O216" s="395"/>
      <c r="P216" s="395"/>
      <c r="Q216" s="395"/>
      <c r="R216" s="396"/>
      <c r="S216" s="396"/>
      <c r="T216" s="447"/>
      <c r="U216" s="394"/>
      <c r="V216" s="395"/>
      <c r="W216" s="395"/>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4"/>
      <c r="AY216" s="394"/>
      <c r="AZ216" s="394"/>
      <c r="BA216" s="394"/>
      <c r="BB216" s="394"/>
      <c r="BC216" s="394"/>
      <c r="BD216" s="286"/>
      <c r="BE216" s="323"/>
      <c r="BF216" s="323"/>
      <c r="BG216" s="323"/>
      <c r="BH216" s="323"/>
      <c r="BI216" s="323"/>
      <c r="BJ216" s="323"/>
      <c r="BK216" s="323"/>
      <c r="BL216" s="323"/>
      <c r="BM216" s="323"/>
    </row>
    <row r="217" spans="1:65" s="275" customFormat="1" ht="26.45" customHeight="1" x14ac:dyDescent="0.25">
      <c r="A217" s="270" t="s">
        <v>280</v>
      </c>
      <c r="B217" s="324" t="s">
        <v>281</v>
      </c>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2"/>
      <c r="AJ217" s="272"/>
      <c r="AK217" s="272"/>
      <c r="AL217" s="272"/>
      <c r="AM217" s="272"/>
      <c r="AN217" s="272"/>
      <c r="AO217" s="272"/>
      <c r="AP217" s="272"/>
      <c r="AQ217" s="272"/>
      <c r="AR217" s="272"/>
      <c r="AS217" s="272"/>
      <c r="AT217" s="272"/>
      <c r="AU217" s="272"/>
      <c r="AV217" s="272"/>
      <c r="AW217" s="272"/>
      <c r="AX217" s="272"/>
      <c r="AY217" s="272"/>
      <c r="AZ217" s="272"/>
      <c r="BA217" s="272"/>
      <c r="BB217" s="272"/>
      <c r="BC217" s="273"/>
      <c r="BD217" s="286"/>
      <c r="BE217" s="274"/>
    </row>
    <row r="218" spans="1:65" s="377" customFormat="1" ht="28.5" customHeight="1" x14ac:dyDescent="0.25">
      <c r="A218" s="375"/>
      <c r="B218" s="293" t="s">
        <v>265</v>
      </c>
      <c r="C218" s="376">
        <v>1</v>
      </c>
      <c r="D218" s="292"/>
      <c r="E218" s="292"/>
      <c r="F218" s="292"/>
      <c r="G218" s="292"/>
      <c r="H218" s="292"/>
      <c r="I218" s="292">
        <v>1</v>
      </c>
      <c r="J218" s="292"/>
      <c r="K218" s="292"/>
      <c r="L218" s="293"/>
      <c r="M218" s="280">
        <f>M$143</f>
        <v>3028</v>
      </c>
      <c r="N218" s="429">
        <f>N$136</f>
        <v>2</v>
      </c>
      <c r="O218" s="293">
        <v>1.9</v>
      </c>
      <c r="P218" s="295">
        <f>P$244</f>
        <v>1.58</v>
      </c>
      <c r="Q218" s="293"/>
      <c r="R218" s="296">
        <f>$R$352</f>
        <v>686</v>
      </c>
      <c r="S218" s="294">
        <f>T218/(R218/4)</f>
        <v>106.00583090379008</v>
      </c>
      <c r="T218" s="291">
        <f>ROUND(M218*N218*O218*P218,0)</f>
        <v>18180</v>
      </c>
      <c r="U218" s="297">
        <f>T218*C218*1</f>
        <v>18180</v>
      </c>
      <c r="V218" s="293">
        <v>0</v>
      </c>
      <c r="W218" s="298"/>
      <c r="X218" s="298">
        <f>U218*V218%</f>
        <v>0</v>
      </c>
      <c r="Y218" s="293"/>
      <c r="Z218" s="293"/>
      <c r="AA218" s="293"/>
      <c r="AB218" s="293"/>
      <c r="AC218" s="293"/>
      <c r="AD218" s="293"/>
      <c r="AE218" s="293"/>
      <c r="AF218" s="293"/>
      <c r="AG218" s="293"/>
      <c r="AH218" s="293"/>
      <c r="AI218" s="293"/>
      <c r="AJ218" s="293"/>
      <c r="AK218" s="277"/>
      <c r="AL218" s="293"/>
      <c r="AM218" s="293"/>
      <c r="AN218" s="293"/>
      <c r="AO218" s="293"/>
      <c r="AP218" s="293"/>
      <c r="AQ218" s="297">
        <f>X218+AA218+AD218+AG218+AJ218+AM218+AP218</f>
        <v>0</v>
      </c>
      <c r="AR218" s="293"/>
      <c r="AS218" s="298">
        <f>AT218/C218</f>
        <v>0</v>
      </c>
      <c r="AT218" s="294">
        <f>(U218)*AR218%</f>
        <v>0</v>
      </c>
      <c r="AU218" s="293"/>
      <c r="AV218" s="293">
        <v>100</v>
      </c>
      <c r="AW218" s="293">
        <f>AU218*T218</f>
        <v>0</v>
      </c>
      <c r="AX218" s="293"/>
      <c r="AY218" s="298"/>
      <c r="AZ218" s="294"/>
      <c r="BA218" s="297">
        <f>AT218+AW218+AZ218</f>
        <v>0</v>
      </c>
      <c r="BB218" s="297">
        <f>BC218/C218</f>
        <v>18180</v>
      </c>
      <c r="BC218" s="297">
        <f>BA218+AQ218+U218</f>
        <v>18180</v>
      </c>
      <c r="BD218" s="299">
        <f>BC218/C218/3</f>
        <v>6060</v>
      </c>
      <c r="BE218" s="299"/>
      <c r="BF218" s="377">
        <f>IF(D218=1,BC218,0)</f>
        <v>0</v>
      </c>
      <c r="BG218" s="377">
        <f>IF(E218=1,BC218,0)</f>
        <v>0</v>
      </c>
      <c r="BH218" s="377">
        <f>IF(F218=1,BC218,0)</f>
        <v>0</v>
      </c>
      <c r="BI218" s="377">
        <f>IF(G218=1,BC218,0)</f>
        <v>0</v>
      </c>
      <c r="BJ218" s="300">
        <f>IF(H218=1,BC218,0)</f>
        <v>0</v>
      </c>
      <c r="BK218" s="300">
        <f>IF(I218=1,BC218,0)</f>
        <v>18180</v>
      </c>
      <c r="BL218" s="300">
        <f>IF(J218=1,BC218,0)</f>
        <v>0</v>
      </c>
      <c r="BM218" s="377">
        <f>IF(K218=1,BC218,0)</f>
        <v>0</v>
      </c>
    </row>
    <row r="219" spans="1:65" s="287" customFormat="1" x14ac:dyDescent="0.25">
      <c r="A219" s="276"/>
      <c r="B219" s="288" t="s">
        <v>240</v>
      </c>
      <c r="C219" s="278">
        <v>5</v>
      </c>
      <c r="D219" s="279"/>
      <c r="E219" s="279"/>
      <c r="F219" s="328"/>
      <c r="G219" s="328"/>
      <c r="H219" s="279">
        <v>1</v>
      </c>
      <c r="I219" s="328"/>
      <c r="J219" s="328"/>
      <c r="K219" s="279"/>
      <c r="L219" s="277">
        <v>4</v>
      </c>
      <c r="M219" s="280">
        <f>M$143</f>
        <v>3028</v>
      </c>
      <c r="N219" s="281">
        <f>N$136</f>
        <v>2</v>
      </c>
      <c r="O219" s="277">
        <v>1.43</v>
      </c>
      <c r="P219" s="282">
        <f>P$244</f>
        <v>1.58</v>
      </c>
      <c r="Q219" s="277"/>
      <c r="R219" s="283">
        <f>$R$352</f>
        <v>686</v>
      </c>
      <c r="S219" s="280">
        <f>T219/(R219/4)</f>
        <v>79.78425655976676</v>
      </c>
      <c r="T219" s="425">
        <f>ROUND(M219*N219*O219*P219,0)</f>
        <v>13683</v>
      </c>
      <c r="U219" s="284">
        <f>T219*C219*1</f>
        <v>68415</v>
      </c>
      <c r="V219" s="277">
        <v>16</v>
      </c>
      <c r="W219" s="285"/>
      <c r="X219" s="285">
        <f>U219*V219%</f>
        <v>10946.4</v>
      </c>
      <c r="Y219" s="277">
        <v>4</v>
      </c>
      <c r="Z219" s="285"/>
      <c r="AA219" s="285">
        <f>U219*Y219%</f>
        <v>2736.6</v>
      </c>
      <c r="AB219" s="277"/>
      <c r="AC219" s="277"/>
      <c r="AD219" s="277"/>
      <c r="AE219" s="277"/>
      <c r="AF219" s="277"/>
      <c r="AG219" s="277"/>
      <c r="AH219" s="277"/>
      <c r="AI219" s="277"/>
      <c r="AJ219" s="277"/>
      <c r="AK219" s="277"/>
      <c r="AL219" s="277"/>
      <c r="AM219" s="285"/>
      <c r="AN219" s="277"/>
      <c r="AO219" s="277"/>
      <c r="AP219" s="285">
        <f>U219*AN219%</f>
        <v>0</v>
      </c>
      <c r="AQ219" s="284">
        <f>X219+AA219+AD219+AG219+AJ219+AM219+AP219</f>
        <v>13683</v>
      </c>
      <c r="AR219" s="277">
        <v>10</v>
      </c>
      <c r="AS219" s="277">
        <f>AT219/C219</f>
        <v>1368.3</v>
      </c>
      <c r="AT219" s="280">
        <f>(U219)*AR219%</f>
        <v>6841.5</v>
      </c>
      <c r="AU219" s="277"/>
      <c r="AV219" s="277">
        <v>100</v>
      </c>
      <c r="AW219" s="277">
        <f>AU219*T219</f>
        <v>0</v>
      </c>
      <c r="AX219" s="277"/>
      <c r="AY219" s="277"/>
      <c r="AZ219" s="283"/>
      <c r="BA219" s="284">
        <f>AT219+AW219+AZ219</f>
        <v>6841.5</v>
      </c>
      <c r="BB219" s="284">
        <f>BC219/C219</f>
        <v>17787.900000000001</v>
      </c>
      <c r="BC219" s="284">
        <f>BA219+AQ219+U219</f>
        <v>88939.5</v>
      </c>
      <c r="BD219" s="286">
        <f>BC219/C219/3</f>
        <v>5929.3</v>
      </c>
      <c r="BE219" s="286"/>
      <c r="BF219" s="241">
        <f>IF(D219=1,BC219,0)</f>
        <v>0</v>
      </c>
      <c r="BG219" s="241">
        <f>IF(E219=1,BC219,0)</f>
        <v>0</v>
      </c>
      <c r="BH219" s="241">
        <f>IF(F219=1,BC219,0)</f>
        <v>0</v>
      </c>
      <c r="BI219" s="241">
        <f>IF(G219=1,BC219,0)</f>
        <v>0</v>
      </c>
      <c r="BJ219" s="251">
        <f>IF(H219=1,BC219,0)</f>
        <v>88939.5</v>
      </c>
      <c r="BK219" s="241">
        <f>IF(I219=1,BC219,0)</f>
        <v>0</v>
      </c>
      <c r="BL219" s="241">
        <f>IF(J219=1,BC219,0)</f>
        <v>0</v>
      </c>
      <c r="BM219" s="241">
        <f>IF(K219=1,BC219,0)</f>
        <v>0</v>
      </c>
    </row>
    <row r="220" spans="1:65" s="301" customFormat="1" x14ac:dyDescent="0.25">
      <c r="A220" s="289"/>
      <c r="B220" s="290" t="s">
        <v>217</v>
      </c>
      <c r="C220" s="448">
        <v>0.25</v>
      </c>
      <c r="D220" s="292"/>
      <c r="E220" s="292"/>
      <c r="F220" s="292"/>
      <c r="G220" s="292"/>
      <c r="H220" s="292"/>
      <c r="I220" s="292"/>
      <c r="J220" s="292">
        <v>1</v>
      </c>
      <c r="K220" s="292"/>
      <c r="L220" s="293"/>
      <c r="M220" s="280">
        <f>M$143</f>
        <v>3028</v>
      </c>
      <c r="N220" s="429">
        <f>N$136</f>
        <v>2</v>
      </c>
      <c r="O220" s="295">
        <v>2</v>
      </c>
      <c r="P220" s="295">
        <f>P$244</f>
        <v>1.58</v>
      </c>
      <c r="Q220" s="295"/>
      <c r="R220" s="296">
        <f>$R$352</f>
        <v>686</v>
      </c>
      <c r="S220" s="294">
        <f>T220/(R220/4)</f>
        <v>111.58600583090379</v>
      </c>
      <c r="T220" s="291">
        <f>ROUND(M220*N220*O220*P220,0)</f>
        <v>19137</v>
      </c>
      <c r="U220" s="297">
        <f>T220*C220*1</f>
        <v>4784.25</v>
      </c>
      <c r="V220" s="293"/>
      <c r="W220" s="298"/>
      <c r="X220" s="298">
        <f>U220*V220%</f>
        <v>0</v>
      </c>
      <c r="Y220" s="293"/>
      <c r="Z220" s="293"/>
      <c r="AA220" s="293"/>
      <c r="AB220" s="293"/>
      <c r="AC220" s="293"/>
      <c r="AD220" s="293"/>
      <c r="AE220" s="293"/>
      <c r="AF220" s="293"/>
      <c r="AG220" s="293"/>
      <c r="AH220" s="293"/>
      <c r="AI220" s="293"/>
      <c r="AJ220" s="293"/>
      <c r="AK220" s="277"/>
      <c r="AL220" s="293"/>
      <c r="AM220" s="293"/>
      <c r="AN220" s="293"/>
      <c r="AO220" s="293"/>
      <c r="AP220" s="293"/>
      <c r="AQ220" s="297">
        <f>X220+AA220+AD220+AG220+AJ220+AM220+AP220</f>
        <v>0</v>
      </c>
      <c r="AR220" s="293"/>
      <c r="AS220" s="293">
        <f>AT220/C220</f>
        <v>0</v>
      </c>
      <c r="AT220" s="294">
        <f>(U220)*AR220%</f>
        <v>0</v>
      </c>
      <c r="AU220" s="293"/>
      <c r="AV220" s="293">
        <v>100</v>
      </c>
      <c r="AW220" s="293">
        <f>AU220*T220</f>
        <v>0</v>
      </c>
      <c r="AX220" s="293"/>
      <c r="AY220" s="293"/>
      <c r="AZ220" s="296"/>
      <c r="BA220" s="297">
        <f>AT220+AW220+AZ220</f>
        <v>0</v>
      </c>
      <c r="BB220" s="297">
        <f>BC220/C220</f>
        <v>19137</v>
      </c>
      <c r="BC220" s="297">
        <f>BA220+AQ220+U220</f>
        <v>4784.25</v>
      </c>
      <c r="BD220" s="299">
        <f>BC220/C220/3</f>
        <v>6379</v>
      </c>
      <c r="BE220" s="299"/>
      <c r="BF220" s="300">
        <f>IF(D220=1,BC220,0)</f>
        <v>0</v>
      </c>
      <c r="BG220" s="300">
        <f>IF(E220=1,BC220,0)</f>
        <v>0</v>
      </c>
      <c r="BH220" s="300">
        <f>IF(F220=1,BC220,0)</f>
        <v>0</v>
      </c>
      <c r="BI220" s="300">
        <f>IF(G220=1,BC220,0)</f>
        <v>0</v>
      </c>
      <c r="BJ220" s="300">
        <f>IF(H220=1,BC220,0)</f>
        <v>0</v>
      </c>
      <c r="BK220" s="300">
        <f>IF(I220=1,BC220,0)</f>
        <v>0</v>
      </c>
      <c r="BL220" s="300">
        <f>IF(J220=1,BC220,0)</f>
        <v>4784.25</v>
      </c>
      <c r="BM220" s="300">
        <f>IF(K220=1,BC220,0)</f>
        <v>0</v>
      </c>
    </row>
    <row r="221" spans="1:65" ht="21" customHeight="1" x14ac:dyDescent="0.25">
      <c r="A221" s="344"/>
      <c r="B221" s="288" t="s">
        <v>243</v>
      </c>
      <c r="C221" s="393">
        <v>0.25</v>
      </c>
      <c r="D221" s="279"/>
      <c r="E221" s="279"/>
      <c r="F221" s="328"/>
      <c r="G221" s="328"/>
      <c r="H221" s="279">
        <v>1</v>
      </c>
      <c r="I221" s="328"/>
      <c r="J221" s="328"/>
      <c r="K221" s="279"/>
      <c r="L221" s="277"/>
      <c r="M221" s="280">
        <f>M$143</f>
        <v>3028</v>
      </c>
      <c r="N221" s="281">
        <f>N$136</f>
        <v>2</v>
      </c>
      <c r="O221" s="339">
        <v>1.95</v>
      </c>
      <c r="P221" s="282">
        <v>1</v>
      </c>
      <c r="Q221" s="277"/>
      <c r="R221" s="283">
        <f>$R$352</f>
        <v>686</v>
      </c>
      <c r="S221" s="280">
        <f>T221/(R221/4)</f>
        <v>68.857142857142861</v>
      </c>
      <c r="T221" s="425">
        <f>ROUND(M221*N221*O221*P221,0)</f>
        <v>11809</v>
      </c>
      <c r="U221" s="284">
        <f>T221*C221*1</f>
        <v>2952.25</v>
      </c>
      <c r="V221" s="277"/>
      <c r="W221" s="285"/>
      <c r="X221" s="285">
        <f>U221*V221%</f>
        <v>0</v>
      </c>
      <c r="Y221" s="277"/>
      <c r="Z221" s="277"/>
      <c r="AA221" s="277"/>
      <c r="AB221" s="345"/>
      <c r="AC221" s="345"/>
      <c r="AD221" s="345"/>
      <c r="AE221" s="345"/>
      <c r="AF221" s="345"/>
      <c r="AG221" s="345"/>
      <c r="AH221" s="345"/>
      <c r="AI221" s="345"/>
      <c r="AJ221" s="345"/>
      <c r="AK221" s="277"/>
      <c r="AL221" s="285"/>
      <c r="AM221" s="285"/>
      <c r="AN221" s="277">
        <f>25+12</f>
        <v>37</v>
      </c>
      <c r="AO221" s="285"/>
      <c r="AP221" s="285">
        <f>U221*AN221%</f>
        <v>1092.3325</v>
      </c>
      <c r="AQ221" s="284">
        <f>X221+AA221+AD221+AG221+AJ221+AM221+AP221</f>
        <v>1092.3325</v>
      </c>
      <c r="AR221" s="277">
        <v>10</v>
      </c>
      <c r="AS221" s="277">
        <f>AT221/C221</f>
        <v>1180.9000000000001</v>
      </c>
      <c r="AT221" s="280">
        <f>(U221)*AR221%</f>
        <v>295.22500000000002</v>
      </c>
      <c r="AU221" s="277"/>
      <c r="AV221" s="277">
        <v>100</v>
      </c>
      <c r="AW221" s="277">
        <f>AU221*T221</f>
        <v>0</v>
      </c>
      <c r="AX221" s="277"/>
      <c r="AY221" s="277"/>
      <c r="AZ221" s="304"/>
      <c r="BA221" s="284">
        <f>AT221+AW221+AZ221</f>
        <v>295.22500000000002</v>
      </c>
      <c r="BB221" s="284">
        <f>BC221/C221</f>
        <v>17359.23</v>
      </c>
      <c r="BC221" s="284">
        <f>BA221+AQ221+U221</f>
        <v>4339.8074999999999</v>
      </c>
      <c r="BD221" s="286">
        <f>BC221/C221/3</f>
        <v>5786.41</v>
      </c>
      <c r="BE221" s="286"/>
      <c r="BF221" s="251">
        <f>IF(D221=1,BC221,0)</f>
        <v>0</v>
      </c>
      <c r="BG221" s="251">
        <f>IF(E221=1,BC221,0)</f>
        <v>0</v>
      </c>
      <c r="BH221" s="251">
        <f>IF(F221=1,BC221,0)</f>
        <v>0</v>
      </c>
      <c r="BI221" s="251">
        <f>IF(G221=1,BC221,0)</f>
        <v>0</v>
      </c>
      <c r="BJ221" s="251">
        <f>IF(H221=1,BC221,0)</f>
        <v>4339.8074999999999</v>
      </c>
      <c r="BK221" s="251">
        <f>IF(I221=1,BC221,0)</f>
        <v>0</v>
      </c>
      <c r="BL221" s="251">
        <f>IF(J221=1,BC221,0)</f>
        <v>0</v>
      </c>
      <c r="BM221" s="251">
        <f>IF(K221=1,BC221,0)</f>
        <v>0</v>
      </c>
    </row>
    <row r="222" spans="1:65" s="316" customFormat="1" ht="18.75" customHeight="1" x14ac:dyDescent="0.25">
      <c r="A222" s="306"/>
      <c r="B222" s="307" t="s">
        <v>229</v>
      </c>
      <c r="C222" s="436">
        <f>SUM(C218:C221)</f>
        <v>6.5</v>
      </c>
      <c r="D222" s="309"/>
      <c r="E222" s="309"/>
      <c r="F222" s="309"/>
      <c r="G222" s="309"/>
      <c r="H222" s="309"/>
      <c r="I222" s="309"/>
      <c r="J222" s="309"/>
      <c r="K222" s="309"/>
      <c r="L222" s="309"/>
      <c r="M222" s="310"/>
      <c r="N222" s="309"/>
      <c r="O222" s="309"/>
      <c r="P222" s="309"/>
      <c r="Q222" s="309"/>
      <c r="R222" s="310"/>
      <c r="S222" s="310"/>
      <c r="T222" s="349">
        <f>U222/1</f>
        <v>94331.5</v>
      </c>
      <c r="U222" s="329">
        <f>SUM(U218:U221)</f>
        <v>94331.5</v>
      </c>
      <c r="V222" s="309"/>
      <c r="W222" s="309"/>
      <c r="X222" s="329">
        <f>SUM(X218:X221)</f>
        <v>10946.4</v>
      </c>
      <c r="Y222" s="329"/>
      <c r="Z222" s="329"/>
      <c r="AA222" s="329">
        <f>SUM(AA218:AA221)</f>
        <v>2736.6</v>
      </c>
      <c r="AB222" s="329"/>
      <c r="AC222" s="329"/>
      <c r="AD222" s="329">
        <f>SUM(AD218:AD221)</f>
        <v>0</v>
      </c>
      <c r="AE222" s="329"/>
      <c r="AF222" s="329"/>
      <c r="AG222" s="329">
        <f>SUM(AG218:AG221)</f>
        <v>0</v>
      </c>
      <c r="AH222" s="329"/>
      <c r="AI222" s="329"/>
      <c r="AJ222" s="329">
        <f>SUM(AJ218:AJ221)</f>
        <v>0</v>
      </c>
      <c r="AK222" s="329"/>
      <c r="AL222" s="329"/>
      <c r="AM222" s="329">
        <f>SUM(AM218:AM221)</f>
        <v>0</v>
      </c>
      <c r="AN222" s="329"/>
      <c r="AO222" s="329"/>
      <c r="AP222" s="329">
        <f>SUM(AP218:AP221)</f>
        <v>1092.3325</v>
      </c>
      <c r="AQ222" s="329">
        <f>SUM(AQ218:AQ221)</f>
        <v>14775.3325</v>
      </c>
      <c r="AR222" s="329"/>
      <c r="AS222" s="329">
        <f>SUM(AS218:AS221)</f>
        <v>2549.1999999999998</v>
      </c>
      <c r="AT222" s="329">
        <f>SUM(AT218:AT221)</f>
        <v>7136.7250000000004</v>
      </c>
      <c r="AU222" s="329">
        <f>SUM(AU218:AU221)</f>
        <v>0</v>
      </c>
      <c r="AV222" s="329"/>
      <c r="AW222" s="329">
        <f>SUM(AW218:AW221)</f>
        <v>0</v>
      </c>
      <c r="AX222" s="329"/>
      <c r="AY222" s="329">
        <f>SUM(AY218:AY221)</f>
        <v>0</v>
      </c>
      <c r="AZ222" s="329">
        <f>SUM(AZ218:AZ221)</f>
        <v>0</v>
      </c>
      <c r="BA222" s="329">
        <f>SUM(BA218:BA221)</f>
        <v>7136.7250000000004</v>
      </c>
      <c r="BB222" s="329">
        <f>BC222/C222</f>
        <v>17883.62423076923</v>
      </c>
      <c r="BC222" s="329">
        <f>SUM(BC218:BC221)</f>
        <v>116243.5575</v>
      </c>
      <c r="BD222" s="286">
        <f>BC222/C222/3</f>
        <v>5961.208076923077</v>
      </c>
      <c r="BE222" s="323"/>
    </row>
    <row r="223" spans="1:65" s="316" customFormat="1" ht="14.25" hidden="1" x14ac:dyDescent="0.25">
      <c r="A223" s="306"/>
      <c r="B223" s="307"/>
      <c r="C223" s="329"/>
      <c r="D223" s="309"/>
      <c r="E223" s="309"/>
      <c r="F223" s="309"/>
      <c r="G223" s="309"/>
      <c r="H223" s="309"/>
      <c r="I223" s="309"/>
      <c r="J223" s="309"/>
      <c r="K223" s="309"/>
      <c r="L223" s="309"/>
      <c r="M223" s="310"/>
      <c r="N223" s="309"/>
      <c r="O223" s="309"/>
      <c r="P223" s="309"/>
      <c r="Q223" s="309"/>
      <c r="R223" s="310"/>
      <c r="S223" s="310"/>
      <c r="T223" s="449"/>
      <c r="U223" s="329"/>
      <c r="V223" s="309"/>
      <c r="W223" s="309"/>
      <c r="X223" s="329"/>
      <c r="Y223" s="329"/>
      <c r="Z223" s="329"/>
      <c r="AA223" s="379"/>
      <c r="AB223" s="379"/>
      <c r="AC223" s="379"/>
      <c r="AD223" s="379"/>
      <c r="AE223" s="379"/>
      <c r="AF223" s="37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286"/>
      <c r="BE223" s="323"/>
      <c r="BF223" s="315"/>
      <c r="BG223" s="315"/>
      <c r="BH223" s="315"/>
      <c r="BI223" s="315"/>
      <c r="BJ223" s="315"/>
      <c r="BK223" s="315"/>
      <c r="BL223" s="315"/>
      <c r="BM223" s="315"/>
    </row>
    <row r="224" spans="1:65" s="316" customFormat="1" ht="14.25" hidden="1" x14ac:dyDescent="0.25">
      <c r="A224" s="306"/>
      <c r="B224" s="307"/>
      <c r="C224" s="329"/>
      <c r="D224" s="309"/>
      <c r="E224" s="309"/>
      <c r="F224" s="309"/>
      <c r="G224" s="309"/>
      <c r="H224" s="309"/>
      <c r="I224" s="309"/>
      <c r="J224" s="309"/>
      <c r="K224" s="309"/>
      <c r="L224" s="309"/>
      <c r="M224" s="310"/>
      <c r="N224" s="309"/>
      <c r="O224" s="309"/>
      <c r="P224" s="309"/>
      <c r="Q224" s="309"/>
      <c r="R224" s="310"/>
      <c r="S224" s="310"/>
      <c r="T224" s="309"/>
      <c r="U224" s="329"/>
      <c r="V224" s="309"/>
      <c r="W224" s="309"/>
      <c r="X224" s="329"/>
      <c r="Y224" s="329"/>
      <c r="Z224" s="329"/>
      <c r="AA224" s="379"/>
      <c r="AB224" s="379"/>
      <c r="AC224" s="379"/>
      <c r="AD224" s="379"/>
      <c r="AE224" s="379"/>
      <c r="AF224" s="379"/>
      <c r="AG224" s="329"/>
      <c r="AH224" s="329"/>
      <c r="AI224" s="329"/>
      <c r="AJ224" s="329"/>
      <c r="AK224" s="329"/>
      <c r="AL224" s="329"/>
      <c r="AM224" s="329"/>
      <c r="AN224" s="329"/>
      <c r="AO224" s="329"/>
      <c r="AP224" s="329"/>
      <c r="AQ224" s="329"/>
      <c r="AR224" s="329"/>
      <c r="AS224" s="329"/>
      <c r="AT224" s="329"/>
      <c r="AU224" s="329"/>
      <c r="AV224" s="329"/>
      <c r="AW224" s="329"/>
      <c r="AX224" s="329"/>
      <c r="AY224" s="329"/>
      <c r="AZ224" s="329"/>
      <c r="BA224" s="329"/>
      <c r="BB224" s="329"/>
      <c r="BC224" s="329"/>
      <c r="BD224" s="286"/>
      <c r="BE224" s="323"/>
      <c r="BF224" s="315"/>
      <c r="BG224" s="315"/>
      <c r="BH224" s="315"/>
      <c r="BI224" s="315"/>
      <c r="BJ224" s="315"/>
      <c r="BK224" s="315"/>
      <c r="BL224" s="315"/>
      <c r="BM224" s="315"/>
    </row>
    <row r="225" spans="1:60" s="316" customFormat="1" ht="35.25" customHeight="1" thickBot="1" x14ac:dyDescent="0.3">
      <c r="A225" s="398"/>
      <c r="B225" s="399" t="s">
        <v>268</v>
      </c>
      <c r="C225" s="450">
        <f>C153+C194+C215+C222</f>
        <v>94.75</v>
      </c>
      <c r="D225" s="401"/>
      <c r="E225" s="401"/>
      <c r="F225" s="401"/>
      <c r="G225" s="401"/>
      <c r="H225" s="401"/>
      <c r="I225" s="401"/>
      <c r="J225" s="401"/>
      <c r="K225" s="401"/>
      <c r="L225" s="401"/>
      <c r="M225" s="402"/>
      <c r="N225" s="401"/>
      <c r="O225" s="401"/>
      <c r="P225" s="401"/>
      <c r="Q225" s="401"/>
      <c r="R225" s="402"/>
      <c r="S225" s="402"/>
      <c r="T225" s="451">
        <f>U225/1</f>
        <v>1487064.75</v>
      </c>
      <c r="U225" s="452">
        <f>U153+U194+U215+U222</f>
        <v>1487064.75</v>
      </c>
      <c r="V225" s="452"/>
      <c r="W225" s="452">
        <f>W153+W194+W215+W222</f>
        <v>0</v>
      </c>
      <c r="X225" s="452">
        <f>X153+X194+X215+X222</f>
        <v>251647.19999999998</v>
      </c>
      <c r="Y225" s="452"/>
      <c r="Z225" s="452">
        <f>Z153+Z194+Z215+Z222</f>
        <v>0</v>
      </c>
      <c r="AA225" s="452">
        <f>AA153+AA194+AA215+AA222</f>
        <v>21803.75</v>
      </c>
      <c r="AB225" s="452"/>
      <c r="AC225" s="452"/>
      <c r="AD225" s="452">
        <f>AD153+AD194+AD215+AD222</f>
        <v>11386.059880239522</v>
      </c>
      <c r="AE225" s="452"/>
      <c r="AF225" s="452">
        <f>AF153+AF194+AF215+AF222</f>
        <v>0</v>
      </c>
      <c r="AG225" s="452">
        <f>AG153+AG194+AG215+AG222</f>
        <v>39851.209580838316</v>
      </c>
      <c r="AH225" s="403"/>
      <c r="AI225" s="403">
        <f>AI153+AI194+AI215+AI222</f>
        <v>0</v>
      </c>
      <c r="AJ225" s="403">
        <f>AJ153+AJ194+AJ215+AJ222</f>
        <v>42724.107784431137</v>
      </c>
      <c r="AK225" s="403"/>
      <c r="AL225" s="403">
        <f>AL153+AL194+AL215+AL222</f>
        <v>0</v>
      </c>
      <c r="AM225" s="403">
        <f>AM153+AM194+AM215+AM222</f>
        <v>105564.28</v>
      </c>
      <c r="AN225" s="403"/>
      <c r="AO225" s="403">
        <f>AO153+AO194+AO215+AO222</f>
        <v>0</v>
      </c>
      <c r="AP225" s="403">
        <f>AP153+AP194+AP215+AP222</f>
        <v>8847.77</v>
      </c>
      <c r="AQ225" s="403">
        <f>AQ153+AQ194+AQ215+AQ222</f>
        <v>481824.37724550901</v>
      </c>
      <c r="AR225" s="403"/>
      <c r="AS225" s="403">
        <f>AS153+AS194+AS215+AS222</f>
        <v>159610.6</v>
      </c>
      <c r="AT225" s="403">
        <f>AT153+AT194+AT215+AT222</f>
        <v>277071.77499999997</v>
      </c>
      <c r="AU225" s="403">
        <f>AU153+AU194+AU215+AU222</f>
        <v>9</v>
      </c>
      <c r="AV225" s="403"/>
      <c r="AW225" s="403">
        <f>AW153+AW194+AW215+AW222</f>
        <v>138429</v>
      </c>
      <c r="AX225" s="403"/>
      <c r="AY225" s="403">
        <f>AY153+AY194+AY215+AY222</f>
        <v>0</v>
      </c>
      <c r="AZ225" s="403">
        <f>AZ153+AZ194+AZ215+AZ222</f>
        <v>0</v>
      </c>
      <c r="BA225" s="403">
        <f>BA153+BA194+BA215+BA222</f>
        <v>415500.77499999997</v>
      </c>
      <c r="BB225" s="403">
        <f>BB153+BB194+BB215+BB222</f>
        <v>501921.1890282766</v>
      </c>
      <c r="BC225" s="403">
        <f>BC153+BC194+BC215+BC222</f>
        <v>2384389.902245509</v>
      </c>
      <c r="BD225" s="286">
        <f>BC225/C225/3</f>
        <v>8388.3549771170055</v>
      </c>
      <c r="BE225" s="323"/>
    </row>
    <row r="226" spans="1:60" x14ac:dyDescent="0.25">
      <c r="D226" s="241"/>
      <c r="E226" s="241"/>
      <c r="F226" s="241"/>
      <c r="G226" s="241"/>
      <c r="H226" s="241"/>
      <c r="I226" s="241"/>
      <c r="J226" s="241"/>
      <c r="K226" s="241"/>
      <c r="AQ226" s="251"/>
      <c r="BA226" s="251">
        <f>AT225+AW225+AZ225</f>
        <v>415500.77499999997</v>
      </c>
    </row>
    <row r="227" spans="1:60" x14ac:dyDescent="0.25">
      <c r="D227" s="241"/>
      <c r="E227" s="241"/>
      <c r="F227" s="241"/>
      <c r="G227" s="241"/>
      <c r="H227" s="241"/>
      <c r="I227" s="241"/>
      <c r="J227" s="241"/>
      <c r="K227" s="241"/>
      <c r="AQ227" s="269">
        <f>SUM(X224:AP224)</f>
        <v>0</v>
      </c>
    </row>
    <row r="228" spans="1:60" ht="16.5" x14ac:dyDescent="0.25">
      <c r="D228" s="241"/>
      <c r="E228" s="241"/>
      <c r="F228" s="241"/>
      <c r="G228" s="241"/>
      <c r="H228" s="241"/>
      <c r="I228" s="241"/>
      <c r="J228" s="241"/>
      <c r="K228" s="241"/>
      <c r="S228" s="120"/>
      <c r="T228" s="404"/>
      <c r="U228" s="120" t="s">
        <v>282</v>
      </c>
      <c r="V228" s="405"/>
      <c r="W228" s="405"/>
      <c r="AQ228" s="269">
        <f>SUM(X225:AP225)</f>
        <v>481824.37724550895</v>
      </c>
      <c r="AT228" s="406">
        <f>C225</f>
        <v>94.75</v>
      </c>
      <c r="AZ228" s="407"/>
      <c r="BA228" s="251">
        <f>BC228/AT228/1</f>
        <v>25165.064931351018</v>
      </c>
      <c r="BC228" s="251">
        <f>BC225</f>
        <v>2384389.902245509</v>
      </c>
      <c r="BD228" s="251"/>
      <c r="BE228" s="251"/>
      <c r="BF228" s="241">
        <f>BC228/12</f>
        <v>198699.15852045908</v>
      </c>
      <c r="BH228" s="252">
        <f>BA225/2</f>
        <v>207750.38749999998</v>
      </c>
    </row>
    <row r="229" spans="1:60" ht="17.25" x14ac:dyDescent="0.3">
      <c r="D229" s="241"/>
      <c r="E229" s="241"/>
      <c r="F229" s="241"/>
      <c r="G229" s="241"/>
      <c r="H229" s="241"/>
      <c r="I229" s="241"/>
      <c r="J229" s="241"/>
      <c r="K229" s="241"/>
      <c r="S229" s="148"/>
      <c r="T229" s="408"/>
      <c r="U229" s="148"/>
      <c r="V229" s="409" t="s">
        <v>270</v>
      </c>
      <c r="W229" s="410"/>
      <c r="AT229" s="406"/>
    </row>
    <row r="230" spans="1:60" ht="17.25" x14ac:dyDescent="0.3">
      <c r="D230" s="241"/>
      <c r="E230" s="241"/>
      <c r="F230" s="241"/>
      <c r="G230" s="241"/>
      <c r="H230" s="241"/>
      <c r="I230" s="241"/>
      <c r="J230" s="241"/>
      <c r="K230" s="241"/>
      <c r="S230" s="411"/>
      <c r="T230" s="412"/>
      <c r="U230" s="411" t="s">
        <v>271</v>
      </c>
      <c r="V230" s="413"/>
      <c r="W230" s="414"/>
      <c r="X230" s="415"/>
      <c r="Y230" s="415"/>
      <c r="Z230" s="415"/>
      <c r="AA230" s="415"/>
      <c r="AB230" s="415"/>
      <c r="AC230" s="415"/>
      <c r="AE230" s="415"/>
      <c r="AT230" s="406">
        <f>C153-C151+C164+C198+C199+C208+C218+C220</f>
        <v>29.25</v>
      </c>
      <c r="AZ230" s="407"/>
      <c r="BA230" s="251">
        <f>BC230/AT230/1</f>
        <v>32908.115213675221</v>
      </c>
      <c r="BC230" s="251">
        <f>BC153-BC151-BC152+BC164+BC198+BC199+BC208+BC218+BC220</f>
        <v>962562.37000000011</v>
      </c>
      <c r="BD230" s="251"/>
      <c r="BE230" s="251"/>
      <c r="BF230" s="241">
        <f>BC230/12</f>
        <v>80213.530833333338</v>
      </c>
    </row>
    <row r="231" spans="1:60" ht="16.5" x14ac:dyDescent="0.25">
      <c r="D231" s="241"/>
      <c r="E231" s="241"/>
      <c r="F231" s="241"/>
      <c r="G231" s="241"/>
      <c r="H231" s="241"/>
      <c r="I231" s="241"/>
      <c r="J231" s="241"/>
      <c r="K231" s="241"/>
      <c r="S231" s="148"/>
      <c r="T231" s="408"/>
      <c r="U231" s="148"/>
      <c r="V231" s="410"/>
      <c r="W231" s="410"/>
      <c r="AT231" s="406"/>
    </row>
    <row r="232" spans="1:60" ht="17.25" x14ac:dyDescent="0.3">
      <c r="D232" s="241"/>
      <c r="E232" s="241"/>
      <c r="F232" s="241"/>
      <c r="G232" s="241"/>
      <c r="H232" s="241"/>
      <c r="I232" s="241"/>
      <c r="J232" s="241"/>
      <c r="K232" s="241"/>
      <c r="S232" s="416"/>
      <c r="T232" s="412"/>
      <c r="U232" s="416" t="s">
        <v>272</v>
      </c>
      <c r="V232" s="409"/>
      <c r="W232" s="409"/>
      <c r="AT232" s="406">
        <f>C151+C175+C186+C193+C200+C201+C202+C203+C209+C210+C211+C219+C221</f>
        <v>65.5</v>
      </c>
      <c r="AZ232" s="407"/>
      <c r="BA232" s="251">
        <f>BC232/AT232/1</f>
        <v>21707.290568633729</v>
      </c>
      <c r="BC232" s="251">
        <f>BC151+BC175+BC186+BC193+BC200+BC201+BC202+BC203+BC209+BC210+BC211+BC219+BC221</f>
        <v>1421827.5322455093</v>
      </c>
      <c r="BD232" s="251"/>
      <c r="BE232" s="251"/>
      <c r="BF232" s="241">
        <f>BC232/12</f>
        <v>118485.62768712577</v>
      </c>
    </row>
    <row r="233" spans="1:60" x14ac:dyDescent="0.25">
      <c r="D233" s="241"/>
      <c r="E233" s="241"/>
      <c r="F233" s="241"/>
      <c r="G233" s="241"/>
      <c r="H233" s="241"/>
      <c r="I233" s="241"/>
      <c r="J233" s="241"/>
      <c r="K233" s="241"/>
      <c r="AT233" s="406">
        <f>SUM(AT230:AT232)</f>
        <v>94.75</v>
      </c>
      <c r="BC233" s="417">
        <f>SUM(BC230:BC232)</f>
        <v>2384389.9022455094</v>
      </c>
    </row>
    <row r="234" spans="1:60" hidden="1" x14ac:dyDescent="0.25">
      <c r="D234" s="241"/>
      <c r="E234" s="241"/>
      <c r="F234" s="241"/>
      <c r="G234" s="241"/>
      <c r="H234" s="241"/>
      <c r="I234" s="241"/>
      <c r="J234" s="241"/>
      <c r="K234" s="241"/>
      <c r="AT234" s="418">
        <f>SUM(AT230:AT232)</f>
        <v>94.75</v>
      </c>
      <c r="AU234" s="418"/>
      <c r="AV234" s="418"/>
      <c r="AW234" s="418"/>
      <c r="AX234" s="419"/>
      <c r="AY234" s="419"/>
      <c r="AZ234" s="418"/>
      <c r="BA234" s="418"/>
      <c r="BB234" s="418">
        <f>SUM(BB230:BB232)</f>
        <v>0</v>
      </c>
      <c r="BC234" s="418">
        <f>BC225-BC233</f>
        <v>0</v>
      </c>
    </row>
    <row r="235" spans="1:60" ht="19.5" hidden="1" customHeight="1" x14ac:dyDescent="0.25">
      <c r="B235" s="420"/>
      <c r="C235" s="420"/>
      <c r="D235" s="241"/>
      <c r="E235" s="241"/>
      <c r="F235" s="241"/>
      <c r="G235" s="241"/>
      <c r="H235" s="241"/>
      <c r="I235" s="241"/>
      <c r="J235" s="241"/>
      <c r="K235" s="241"/>
      <c r="X235" s="420"/>
      <c r="Y235" s="416"/>
      <c r="Z235" s="416"/>
      <c r="AT235" s="453"/>
      <c r="AU235" s="419"/>
      <c r="AV235" s="419"/>
      <c r="AW235" s="419"/>
      <c r="AX235" s="419"/>
      <c r="AY235" s="419"/>
      <c r="AZ235" s="453"/>
      <c r="BA235" s="419"/>
      <c r="BB235" s="419"/>
      <c r="BC235" s="419"/>
    </row>
    <row r="236" spans="1:60" ht="16.5" hidden="1" customHeight="1" x14ac:dyDescent="0.25">
      <c r="B236" s="421"/>
      <c r="C236" s="422"/>
      <c r="D236" s="241"/>
      <c r="E236" s="241"/>
      <c r="F236" s="241"/>
      <c r="G236" s="241"/>
      <c r="H236" s="241"/>
      <c r="I236" s="241"/>
      <c r="J236" s="241"/>
      <c r="K236" s="241"/>
      <c r="X236" s="420"/>
      <c r="Y236" s="420"/>
      <c r="Z236" s="420"/>
    </row>
    <row r="237" spans="1:60" ht="58.5" hidden="1" customHeight="1" x14ac:dyDescent="0.25">
      <c r="B237" s="421"/>
      <c r="C237" s="422"/>
      <c r="D237" s="241"/>
      <c r="E237" s="241"/>
      <c r="F237" s="241"/>
      <c r="G237" s="241"/>
      <c r="H237" s="241"/>
      <c r="I237" s="241"/>
      <c r="J237" s="241"/>
      <c r="K237" s="241"/>
      <c r="X237" s="420"/>
      <c r="Y237" s="420"/>
      <c r="Z237" s="420"/>
    </row>
    <row r="238" spans="1:60" ht="15.75" customHeight="1" thickBot="1" x14ac:dyDescent="0.3">
      <c r="B238" s="257" t="s">
        <v>283</v>
      </c>
      <c r="C238" s="257">
        <f>C130</f>
        <v>3028</v>
      </c>
      <c r="D238" s="241"/>
      <c r="E238" s="241"/>
      <c r="F238" s="241"/>
      <c r="G238" s="241"/>
      <c r="H238" s="241"/>
      <c r="I238" s="241"/>
      <c r="J238" s="241"/>
      <c r="K238" s="241"/>
      <c r="L238" s="257" t="s">
        <v>173</v>
      </c>
    </row>
    <row r="239" spans="1:60" ht="79.5" customHeight="1" x14ac:dyDescent="0.25">
      <c r="A239" s="2019" t="s">
        <v>174</v>
      </c>
      <c r="B239" s="2021" t="s">
        <v>175</v>
      </c>
      <c r="C239" s="2024"/>
      <c r="D239" s="2027" t="s">
        <v>177</v>
      </c>
      <c r="E239" s="2028"/>
      <c r="F239" s="2028"/>
      <c r="G239" s="2028"/>
      <c r="H239" s="2028"/>
      <c r="I239" s="2028"/>
      <c r="J239" s="2028"/>
      <c r="K239" s="2029"/>
      <c r="L239" s="2030" t="s">
        <v>178</v>
      </c>
      <c r="M239" s="2033" t="s">
        <v>179</v>
      </c>
      <c r="N239" s="2013" t="s">
        <v>180</v>
      </c>
      <c r="O239" s="2013" t="s">
        <v>181</v>
      </c>
      <c r="P239" s="2013" t="s">
        <v>182</v>
      </c>
      <c r="Q239" s="2013" t="s">
        <v>183</v>
      </c>
      <c r="R239" s="2013" t="s">
        <v>184</v>
      </c>
      <c r="S239" s="2015" t="s">
        <v>274</v>
      </c>
      <c r="T239" s="2016"/>
      <c r="U239" s="2010" t="s">
        <v>186</v>
      </c>
      <c r="V239" s="1991" t="s">
        <v>275</v>
      </c>
      <c r="W239" s="1992"/>
      <c r="X239" s="1993"/>
      <c r="Y239" s="1994" t="s">
        <v>188</v>
      </c>
      <c r="Z239" s="1992"/>
      <c r="AA239" s="1993"/>
      <c r="AB239" s="2036" t="s">
        <v>189</v>
      </c>
      <c r="AC239" s="2037"/>
      <c r="AD239" s="2038"/>
      <c r="AE239" s="1994" t="s">
        <v>190</v>
      </c>
      <c r="AF239" s="1992"/>
      <c r="AG239" s="1993"/>
      <c r="AH239" s="1994" t="s">
        <v>191</v>
      </c>
      <c r="AI239" s="1992"/>
      <c r="AJ239" s="1993"/>
      <c r="AK239" s="2036" t="s">
        <v>192</v>
      </c>
      <c r="AL239" s="2037"/>
      <c r="AM239" s="2038"/>
      <c r="AN239" s="1994" t="s">
        <v>193</v>
      </c>
      <c r="AO239" s="1992"/>
      <c r="AP239" s="1993"/>
      <c r="AQ239" s="2010" t="s">
        <v>194</v>
      </c>
      <c r="AR239" s="1991" t="s">
        <v>195</v>
      </c>
      <c r="AS239" s="1992"/>
      <c r="AT239" s="1993"/>
      <c r="AU239" s="1994" t="s">
        <v>196</v>
      </c>
      <c r="AV239" s="1992"/>
      <c r="AW239" s="1992"/>
      <c r="AX239" s="1992"/>
      <c r="AY239" s="1992"/>
      <c r="AZ239" s="1993"/>
      <c r="BA239" s="1995" t="s">
        <v>197</v>
      </c>
      <c r="BB239" s="1998" t="s">
        <v>198</v>
      </c>
      <c r="BC239" s="1999"/>
      <c r="BD239" s="258"/>
      <c r="BE239" s="258"/>
      <c r="BF239" s="251">
        <f>BC261-BA244</f>
        <v>1322345.2599999998</v>
      </c>
    </row>
    <row r="240" spans="1:60" ht="10.9" customHeight="1" x14ac:dyDescent="0.25">
      <c r="A240" s="2020"/>
      <c r="B240" s="2022"/>
      <c r="C240" s="2025"/>
      <c r="D240" s="2004" t="s">
        <v>199</v>
      </c>
      <c r="E240" s="2005"/>
      <c r="F240" s="2005"/>
      <c r="G240" s="2005"/>
      <c r="H240" s="2005"/>
      <c r="I240" s="2005"/>
      <c r="J240" s="2005"/>
      <c r="K240" s="2006"/>
      <c r="L240" s="2031"/>
      <c r="M240" s="2034"/>
      <c r="N240" s="2014"/>
      <c r="O240" s="2014"/>
      <c r="P240" s="2014"/>
      <c r="Q240" s="2014"/>
      <c r="R240" s="2014"/>
      <c r="S240" s="2017"/>
      <c r="T240" s="2018"/>
      <c r="U240" s="2011"/>
      <c r="V240" s="1989" t="s">
        <v>200</v>
      </c>
      <c r="W240" s="1979" t="s">
        <v>201</v>
      </c>
      <c r="X240" s="1980"/>
      <c r="Y240" s="1983" t="s">
        <v>200</v>
      </c>
      <c r="Z240" s="1979" t="s">
        <v>201</v>
      </c>
      <c r="AA240" s="1980"/>
      <c r="AB240" s="1983" t="s">
        <v>200</v>
      </c>
      <c r="AC240" s="259"/>
      <c r="AD240" s="1985" t="s">
        <v>201</v>
      </c>
      <c r="AE240" s="1983" t="s">
        <v>200</v>
      </c>
      <c r="AF240" s="1979" t="s">
        <v>201</v>
      </c>
      <c r="AG240" s="1980"/>
      <c r="AH240" s="1983" t="s">
        <v>200</v>
      </c>
      <c r="AI240" s="1979" t="s">
        <v>201</v>
      </c>
      <c r="AJ240" s="1980"/>
      <c r="AK240" s="1983" t="s">
        <v>200</v>
      </c>
      <c r="AL240" s="1979" t="s">
        <v>201</v>
      </c>
      <c r="AM240" s="1980"/>
      <c r="AN240" s="1983" t="s">
        <v>200</v>
      </c>
      <c r="AO240" s="1979" t="s">
        <v>201</v>
      </c>
      <c r="AP240" s="1980"/>
      <c r="AQ240" s="2011"/>
      <c r="AR240" s="1989" t="s">
        <v>200</v>
      </c>
      <c r="AS240" s="1979" t="s">
        <v>201</v>
      </c>
      <c r="AT240" s="1980"/>
      <c r="AU240" s="1983" t="s">
        <v>277</v>
      </c>
      <c r="AV240" s="1985" t="s">
        <v>200</v>
      </c>
      <c r="AW240" s="1987" t="s">
        <v>201</v>
      </c>
      <c r="AX240" s="454" t="s">
        <v>200</v>
      </c>
      <c r="AY240" s="1979" t="s">
        <v>201</v>
      </c>
      <c r="AZ240" s="1980"/>
      <c r="BA240" s="1996"/>
      <c r="BB240" s="2000"/>
      <c r="BC240" s="2001"/>
      <c r="BD240" s="258"/>
      <c r="BE240" s="258"/>
    </row>
    <row r="241" spans="1:65" ht="50.25" customHeight="1" x14ac:dyDescent="0.25">
      <c r="A241" s="1990"/>
      <c r="B241" s="2023"/>
      <c r="C241" s="2026"/>
      <c r="D241" s="260" t="s">
        <v>203</v>
      </c>
      <c r="E241" s="261" t="s">
        <v>204</v>
      </c>
      <c r="F241" s="261" t="s">
        <v>205</v>
      </c>
      <c r="G241" s="261" t="s">
        <v>206</v>
      </c>
      <c r="H241" s="261" t="s">
        <v>207</v>
      </c>
      <c r="I241" s="261" t="s">
        <v>208</v>
      </c>
      <c r="J241" s="261" t="s">
        <v>209</v>
      </c>
      <c r="K241" s="262" t="s">
        <v>210</v>
      </c>
      <c r="L241" s="2032"/>
      <c r="M241" s="2035"/>
      <c r="N241" s="1986"/>
      <c r="O241" s="1986"/>
      <c r="P241" s="1986"/>
      <c r="Q241" s="1986"/>
      <c r="R241" s="1986"/>
      <c r="S241" s="263" t="s">
        <v>211</v>
      </c>
      <c r="T241" s="424" t="s">
        <v>212</v>
      </c>
      <c r="U241" s="2012"/>
      <c r="V241" s="1990"/>
      <c r="W241" s="1981"/>
      <c r="X241" s="1982"/>
      <c r="Y241" s="1984"/>
      <c r="Z241" s="1981"/>
      <c r="AA241" s="1982"/>
      <c r="AB241" s="1984"/>
      <c r="AC241" s="264"/>
      <c r="AD241" s="1986"/>
      <c r="AE241" s="1984"/>
      <c r="AF241" s="1981"/>
      <c r="AG241" s="1982"/>
      <c r="AH241" s="1984"/>
      <c r="AI241" s="1981"/>
      <c r="AJ241" s="1982"/>
      <c r="AK241" s="1984"/>
      <c r="AL241" s="1981"/>
      <c r="AM241" s="1982"/>
      <c r="AN241" s="1984"/>
      <c r="AO241" s="1981"/>
      <c r="AP241" s="1982"/>
      <c r="AQ241" s="2012"/>
      <c r="AR241" s="1990"/>
      <c r="AS241" s="1981"/>
      <c r="AT241" s="1982"/>
      <c r="AU241" s="1984"/>
      <c r="AV241" s="1986"/>
      <c r="AW241" s="1988"/>
      <c r="AX241" s="455" t="s">
        <v>200</v>
      </c>
      <c r="AY241" s="1981"/>
      <c r="AZ241" s="1982"/>
      <c r="BA241" s="1997"/>
      <c r="BB241" s="2002"/>
      <c r="BC241" s="2003"/>
      <c r="BD241" s="265"/>
      <c r="BE241" s="265"/>
      <c r="BF241" s="260" t="s">
        <v>203</v>
      </c>
      <c r="BG241" s="261" t="s">
        <v>204</v>
      </c>
      <c r="BH241" s="261" t="s">
        <v>205</v>
      </c>
      <c r="BI241" s="261" t="s">
        <v>206</v>
      </c>
      <c r="BJ241" s="261" t="s">
        <v>207</v>
      </c>
      <c r="BK241" s="261" t="s">
        <v>208</v>
      </c>
      <c r="BL241" s="261" t="s">
        <v>209</v>
      </c>
      <c r="BM241" s="262" t="s">
        <v>210</v>
      </c>
    </row>
    <row r="242" spans="1:65" s="251" customFormat="1" x14ac:dyDescent="0.25">
      <c r="A242" s="427">
        <v>1</v>
      </c>
      <c r="B242" s="428">
        <v>2</v>
      </c>
      <c r="C242" s="345">
        <v>3</v>
      </c>
      <c r="D242" s="428">
        <v>5</v>
      </c>
      <c r="E242" s="345">
        <v>6</v>
      </c>
      <c r="F242" s="345">
        <v>7</v>
      </c>
      <c r="G242" s="428">
        <v>8</v>
      </c>
      <c r="H242" s="345">
        <v>9</v>
      </c>
      <c r="I242" s="345">
        <v>10</v>
      </c>
      <c r="J242" s="428">
        <v>11</v>
      </c>
      <c r="K242" s="345">
        <v>12</v>
      </c>
      <c r="L242" s="345">
        <v>4</v>
      </c>
      <c r="M242" s="428">
        <v>5</v>
      </c>
      <c r="N242" s="345">
        <v>6</v>
      </c>
      <c r="O242" s="345">
        <v>7</v>
      </c>
      <c r="P242" s="428">
        <v>8</v>
      </c>
      <c r="Q242" s="345">
        <v>9</v>
      </c>
      <c r="R242" s="345">
        <v>10</v>
      </c>
      <c r="S242" s="428">
        <v>11</v>
      </c>
      <c r="T242" s="345">
        <v>12</v>
      </c>
      <c r="U242" s="345">
        <v>13</v>
      </c>
      <c r="V242" s="428">
        <v>14</v>
      </c>
      <c r="W242" s="345">
        <v>24</v>
      </c>
      <c r="X242" s="345">
        <v>15</v>
      </c>
      <c r="Y242" s="428">
        <v>16</v>
      </c>
      <c r="Z242" s="345">
        <v>30</v>
      </c>
      <c r="AA242" s="345">
        <v>17</v>
      </c>
      <c r="AB242" s="428">
        <v>18</v>
      </c>
      <c r="AC242" s="428"/>
      <c r="AD242" s="345">
        <v>19</v>
      </c>
      <c r="AE242" s="428">
        <v>18</v>
      </c>
      <c r="AF242" s="345">
        <v>33</v>
      </c>
      <c r="AG242" s="345">
        <v>19</v>
      </c>
      <c r="AH242" s="428">
        <v>20</v>
      </c>
      <c r="AI242" s="345">
        <v>36</v>
      </c>
      <c r="AJ242" s="345">
        <v>21</v>
      </c>
      <c r="AK242" s="428">
        <v>22</v>
      </c>
      <c r="AL242" s="345">
        <v>39</v>
      </c>
      <c r="AM242" s="345">
        <v>23</v>
      </c>
      <c r="AN242" s="428">
        <v>22</v>
      </c>
      <c r="AO242" s="345">
        <v>39</v>
      </c>
      <c r="AP242" s="345">
        <v>23</v>
      </c>
      <c r="AQ242" s="428">
        <v>24</v>
      </c>
      <c r="AR242" s="345">
        <v>25</v>
      </c>
      <c r="AS242" s="345">
        <v>43</v>
      </c>
      <c r="AT242" s="428">
        <v>26</v>
      </c>
      <c r="AU242" s="345">
        <v>27</v>
      </c>
      <c r="AV242" s="345">
        <v>28</v>
      </c>
      <c r="AW242" s="428">
        <v>29</v>
      </c>
      <c r="AX242" s="345">
        <v>30</v>
      </c>
      <c r="AY242" s="345">
        <v>43</v>
      </c>
      <c r="AZ242" s="428">
        <v>31</v>
      </c>
      <c r="BA242" s="345">
        <v>32</v>
      </c>
      <c r="BB242" s="345">
        <v>49</v>
      </c>
      <c r="BC242" s="428">
        <v>33</v>
      </c>
    </row>
    <row r="243" spans="1:65" s="275" customFormat="1" ht="21" customHeight="1" x14ac:dyDescent="0.25">
      <c r="A243" s="270" t="s">
        <v>213</v>
      </c>
      <c r="B243" s="271" t="s">
        <v>97</v>
      </c>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2"/>
      <c r="BB243" s="272"/>
      <c r="BC243" s="273"/>
      <c r="BD243" s="274"/>
      <c r="BE243" s="274"/>
    </row>
    <row r="244" spans="1:65" s="287" customFormat="1" ht="18.75" customHeight="1" x14ac:dyDescent="0.25">
      <c r="A244" s="276"/>
      <c r="B244" s="277" t="s">
        <v>146</v>
      </c>
      <c r="C244" s="278">
        <v>1</v>
      </c>
      <c r="D244" s="279"/>
      <c r="E244" s="279"/>
      <c r="F244" s="279"/>
      <c r="G244" s="279"/>
      <c r="H244" s="279"/>
      <c r="I244" s="279"/>
      <c r="J244" s="279">
        <v>1</v>
      </c>
      <c r="K244" s="279"/>
      <c r="L244" s="277"/>
      <c r="M244" s="280">
        <f>M136</f>
        <v>3028</v>
      </c>
      <c r="N244" s="281">
        <v>2</v>
      </c>
      <c r="O244" s="282">
        <v>4.5</v>
      </c>
      <c r="P244" s="282">
        <v>1.58</v>
      </c>
      <c r="Q244" s="282"/>
      <c r="R244" s="283">
        <f>[3]тар!K8</f>
        <v>477</v>
      </c>
      <c r="S244" s="280">
        <f>T244/(R244/1)</f>
        <v>90.268343815513632</v>
      </c>
      <c r="T244" s="425">
        <f t="shared" ref="T244:T259" si="172">ROUND(M244*N244*O244*P244,0)</f>
        <v>43058</v>
      </c>
      <c r="U244" s="284">
        <f>T244*C244*2</f>
        <v>86116</v>
      </c>
      <c r="V244" s="277"/>
      <c r="W244" s="285"/>
      <c r="X244" s="285">
        <f>U244*V244%</f>
        <v>0</v>
      </c>
      <c r="Y244" s="277"/>
      <c r="Z244" s="277"/>
      <c r="AA244" s="277"/>
      <c r="AB244" s="277"/>
      <c r="AC244" s="277"/>
      <c r="AD244" s="277"/>
      <c r="AE244" s="277"/>
      <c r="AF244" s="277"/>
      <c r="AG244" s="277"/>
      <c r="AH244" s="277"/>
      <c r="AI244" s="277"/>
      <c r="AJ244" s="277"/>
      <c r="AK244" s="277"/>
      <c r="AL244" s="277"/>
      <c r="AM244" s="285">
        <f t="shared" ref="AM244:AM251" si="173">T244*AK244%*2</f>
        <v>0</v>
      </c>
      <c r="AN244" s="277"/>
      <c r="AO244" s="277"/>
      <c r="AP244" s="285"/>
      <c r="AQ244" s="284">
        <f t="shared" ref="AQ244:AQ260" si="174">X244+AA244+AD244+AG244+AJ244+AM244+AP244</f>
        <v>0</v>
      </c>
      <c r="AR244" s="285"/>
      <c r="AS244" s="285">
        <f t="shared" ref="AS244:AS258" si="175">AT244/C244</f>
        <v>0</v>
      </c>
      <c r="AT244" s="280"/>
      <c r="AU244" s="277">
        <v>1</v>
      </c>
      <c r="AV244" s="277">
        <v>100</v>
      </c>
      <c r="AW244" s="277">
        <f t="shared" ref="AW244:AW258" si="176">AU244*T244</f>
        <v>43058</v>
      </c>
      <c r="AX244" s="285"/>
      <c r="AY244" s="285"/>
      <c r="AZ244" s="280"/>
      <c r="BA244" s="284">
        <f t="shared" ref="BA244:BA259" si="177">AT244+AW244+AZ244</f>
        <v>43058</v>
      </c>
      <c r="BB244" s="284">
        <f t="shared" ref="BB244:BB258" si="178">BC244/C244</f>
        <v>129174</v>
      </c>
      <c r="BC244" s="284">
        <f t="shared" ref="BC244:BC258" si="179">BA244+AQ244+U244</f>
        <v>129174</v>
      </c>
      <c r="BD244" s="286">
        <f t="shared" ref="BD244:BD310" si="180">BC244/C244/3</f>
        <v>43058</v>
      </c>
      <c r="BE244" s="286"/>
      <c r="BF244" s="251">
        <f>IF(D244=1,BC244,0)</f>
        <v>0</v>
      </c>
      <c r="BG244" s="251">
        <f>IF(E244=1,BC244,0)</f>
        <v>0</v>
      </c>
      <c r="BH244" s="251">
        <f>IF(F244=1,BC244,0)</f>
        <v>0</v>
      </c>
      <c r="BI244" s="251">
        <f>IF(G244=1,BC244,0)</f>
        <v>0</v>
      </c>
      <c r="BJ244" s="251">
        <f>IF(H244=1,BC244,0)</f>
        <v>0</v>
      </c>
      <c r="BK244" s="251">
        <f>IF(I244=1,BC244,0)</f>
        <v>0</v>
      </c>
      <c r="BL244" s="251">
        <f>IF(J244=1,BC244,0)</f>
        <v>129174</v>
      </c>
      <c r="BM244" s="251">
        <f>IF(K244=1,BC244,0)</f>
        <v>0</v>
      </c>
    </row>
    <row r="245" spans="1:65" s="287" customFormat="1" x14ac:dyDescent="0.25">
      <c r="A245" s="276"/>
      <c r="B245" s="288" t="s">
        <v>214</v>
      </c>
      <c r="C245" s="278">
        <v>1</v>
      </c>
      <c r="D245" s="279"/>
      <c r="E245" s="279"/>
      <c r="F245" s="279"/>
      <c r="G245" s="279"/>
      <c r="H245" s="279"/>
      <c r="I245" s="279"/>
      <c r="J245" s="279">
        <v>1</v>
      </c>
      <c r="K245" s="279"/>
      <c r="L245" s="277"/>
      <c r="M245" s="280">
        <f>M$251</f>
        <v>3028</v>
      </c>
      <c r="N245" s="281">
        <f>N$244</f>
        <v>2</v>
      </c>
      <c r="O245" s="282">
        <f>O244*80%</f>
        <v>3.6</v>
      </c>
      <c r="P245" s="282">
        <f>P$244</f>
        <v>1.58</v>
      </c>
      <c r="Q245" s="282"/>
      <c r="R245" s="283">
        <f>$R$244</f>
        <v>477</v>
      </c>
      <c r="S245" s="280">
        <f t="shared" ref="S245:S259" si="181">T245/(R245/1)</f>
        <v>72.215932914046121</v>
      </c>
      <c r="T245" s="425">
        <f t="shared" si="172"/>
        <v>34447</v>
      </c>
      <c r="U245" s="284">
        <f t="shared" ref="U245:U259" si="182">T245*C245*2</f>
        <v>68894</v>
      </c>
      <c r="V245" s="277">
        <v>30</v>
      </c>
      <c r="W245" s="285"/>
      <c r="X245" s="285">
        <f>U245*V245%</f>
        <v>20668.2</v>
      </c>
      <c r="Y245" s="277"/>
      <c r="Z245" s="277"/>
      <c r="AA245" s="277"/>
      <c r="AB245" s="277"/>
      <c r="AC245" s="277"/>
      <c r="AD245" s="277"/>
      <c r="AE245" s="277"/>
      <c r="AF245" s="277"/>
      <c r="AG245" s="277"/>
      <c r="AH245" s="277"/>
      <c r="AI245" s="277"/>
      <c r="AJ245" s="277"/>
      <c r="AK245" s="277">
        <v>7</v>
      </c>
      <c r="AL245" s="277"/>
      <c r="AM245" s="285">
        <f t="shared" si="173"/>
        <v>4822.5800000000008</v>
      </c>
      <c r="AN245" s="277"/>
      <c r="AO245" s="277"/>
      <c r="AP245" s="277"/>
      <c r="AQ245" s="284">
        <f t="shared" si="174"/>
        <v>25490.780000000002</v>
      </c>
      <c r="AR245" s="277">
        <f t="shared" ref="AR245:AR259" si="183">AR$29</f>
        <v>20</v>
      </c>
      <c r="AS245" s="277">
        <f t="shared" si="175"/>
        <v>13778.800000000001</v>
      </c>
      <c r="AT245" s="283">
        <f t="shared" ref="AT245:AT258" si="184">(U245)*AR245%</f>
        <v>13778.800000000001</v>
      </c>
      <c r="AU245" s="277"/>
      <c r="AV245" s="277">
        <v>100</v>
      </c>
      <c r="AW245" s="277">
        <f t="shared" si="176"/>
        <v>0</v>
      </c>
      <c r="AX245" s="277"/>
      <c r="AY245" s="277"/>
      <c r="AZ245" s="283"/>
      <c r="BA245" s="284">
        <f t="shared" si="177"/>
        <v>13778.800000000001</v>
      </c>
      <c r="BB245" s="284">
        <f t="shared" si="178"/>
        <v>108163.58</v>
      </c>
      <c r="BC245" s="284">
        <f t="shared" si="179"/>
        <v>108163.58</v>
      </c>
      <c r="BD245" s="286">
        <f t="shared" si="180"/>
        <v>36054.526666666665</v>
      </c>
      <c r="BE245" s="286"/>
      <c r="BF245" s="251">
        <f>IF(D245=1,BC245,0)</f>
        <v>0</v>
      </c>
      <c r="BG245" s="251">
        <f>IF(E245=1,BC245,0)</f>
        <v>0</v>
      </c>
      <c r="BH245" s="251">
        <f>IF(F245=1,BC245,0)</f>
        <v>0</v>
      </c>
      <c r="BI245" s="251">
        <f>IF(G245=1,BC245,0)</f>
        <v>0</v>
      </c>
      <c r="BJ245" s="251">
        <f>IF(H245=1,BC245,0)</f>
        <v>0</v>
      </c>
      <c r="BK245" s="251">
        <f>IF(I245=1,BC245,0)</f>
        <v>0</v>
      </c>
      <c r="BL245" s="251">
        <f>IF(J245=1,BC245,0)</f>
        <v>108163.58</v>
      </c>
      <c r="BM245" s="251">
        <f>IF(K245=1,BC245,0)</f>
        <v>0</v>
      </c>
    </row>
    <row r="246" spans="1:65" s="301" customFormat="1" x14ac:dyDescent="0.25">
      <c r="A246" s="289"/>
      <c r="B246" s="290" t="s">
        <v>215</v>
      </c>
      <c r="C246" s="376">
        <v>1</v>
      </c>
      <c r="D246" s="292"/>
      <c r="E246" s="292"/>
      <c r="F246" s="292"/>
      <c r="G246" s="292"/>
      <c r="H246" s="292"/>
      <c r="I246" s="292"/>
      <c r="J246" s="292">
        <v>1</v>
      </c>
      <c r="K246" s="292"/>
      <c r="L246" s="293"/>
      <c r="M246" s="280">
        <f>M$251</f>
        <v>3028</v>
      </c>
      <c r="N246" s="429">
        <f>N$244</f>
        <v>2</v>
      </c>
      <c r="O246" s="295">
        <v>3.38</v>
      </c>
      <c r="P246" s="295">
        <f>P$244</f>
        <v>1.58</v>
      </c>
      <c r="Q246" s="295"/>
      <c r="R246" s="296">
        <f>$R$244</f>
        <v>477</v>
      </c>
      <c r="S246" s="294">
        <f>T246/(R246/1)</f>
        <v>67.80083857442348</v>
      </c>
      <c r="T246" s="291">
        <f t="shared" si="172"/>
        <v>32341</v>
      </c>
      <c r="U246" s="297">
        <f>T246*C246*2</f>
        <v>64682</v>
      </c>
      <c r="V246" s="293">
        <v>30</v>
      </c>
      <c r="W246" s="298"/>
      <c r="X246" s="298">
        <f>U246*V246%</f>
        <v>19404.599999999999</v>
      </c>
      <c r="Y246" s="293"/>
      <c r="Z246" s="293"/>
      <c r="AA246" s="293"/>
      <c r="AB246" s="293"/>
      <c r="AC246" s="293"/>
      <c r="AD246" s="293"/>
      <c r="AE246" s="293"/>
      <c r="AF246" s="293"/>
      <c r="AG246" s="293"/>
      <c r="AH246" s="293"/>
      <c r="AI246" s="293"/>
      <c r="AJ246" s="293"/>
      <c r="AK246" s="293">
        <v>7</v>
      </c>
      <c r="AL246" s="293"/>
      <c r="AM246" s="285">
        <f t="shared" si="173"/>
        <v>4527.7400000000007</v>
      </c>
      <c r="AN246" s="293"/>
      <c r="AO246" s="293"/>
      <c r="AP246" s="293"/>
      <c r="AQ246" s="297">
        <f>X246+AA246+AD246+AG246+AJ246+AM246+AP246</f>
        <v>23932.34</v>
      </c>
      <c r="AR246" s="293">
        <f t="shared" si="183"/>
        <v>20</v>
      </c>
      <c r="AS246" s="293">
        <f>AT246/C246</f>
        <v>12936.400000000001</v>
      </c>
      <c r="AT246" s="296">
        <f>(U246)*AR246%</f>
        <v>12936.400000000001</v>
      </c>
      <c r="AU246" s="293"/>
      <c r="AV246" s="293">
        <v>100</v>
      </c>
      <c r="AW246" s="293">
        <f>AU246*T246</f>
        <v>0</v>
      </c>
      <c r="AX246" s="293"/>
      <c r="AY246" s="293"/>
      <c r="AZ246" s="296"/>
      <c r="BA246" s="297">
        <f>AT246+AW246+AZ246</f>
        <v>12936.400000000001</v>
      </c>
      <c r="BB246" s="297">
        <f>BC246/C246</f>
        <v>101550.74</v>
      </c>
      <c r="BC246" s="297">
        <f>BA246+AQ246+U246</f>
        <v>101550.74</v>
      </c>
      <c r="BD246" s="299">
        <f>BC246/C246/3</f>
        <v>33850.246666666666</v>
      </c>
      <c r="BE246" s="299"/>
      <c r="BF246" s="300">
        <f>IF(D246=1,BC246,0)</f>
        <v>0</v>
      </c>
      <c r="BG246" s="300">
        <f>IF(E246=1,BC246,0)</f>
        <v>0</v>
      </c>
      <c r="BH246" s="300">
        <f>IF(F246=1,BC246,0)</f>
        <v>0</v>
      </c>
      <c r="BI246" s="300">
        <f>IF(G246=1,BC246,0)</f>
        <v>0</v>
      </c>
      <c r="BJ246" s="300">
        <f>IF(H246=1,BC246,0)</f>
        <v>0</v>
      </c>
      <c r="BK246" s="300">
        <f>IF(I246=1,BC246,0)</f>
        <v>0</v>
      </c>
      <c r="BL246" s="300">
        <f>IF(J246=1,BC246,0)</f>
        <v>101550.74</v>
      </c>
      <c r="BM246" s="300">
        <f>IF(K246=1,BC246,0)</f>
        <v>0</v>
      </c>
    </row>
    <row r="247" spans="1:65" s="287" customFormat="1" x14ac:dyDescent="0.25">
      <c r="A247" s="276"/>
      <c r="B247" s="288" t="s">
        <v>216</v>
      </c>
      <c r="C247" s="278">
        <v>1</v>
      </c>
      <c r="D247" s="279"/>
      <c r="E247" s="279"/>
      <c r="F247" s="279"/>
      <c r="G247" s="279"/>
      <c r="H247" s="279"/>
      <c r="I247" s="279"/>
      <c r="J247" s="279">
        <v>1</v>
      </c>
      <c r="K247" s="279"/>
      <c r="L247" s="277"/>
      <c r="M247" s="280">
        <f>M$251</f>
        <v>3028</v>
      </c>
      <c r="N247" s="281">
        <f t="shared" ref="N247:N258" si="185">N$244</f>
        <v>2</v>
      </c>
      <c r="O247" s="282">
        <v>3.38</v>
      </c>
      <c r="P247" s="282">
        <f t="shared" ref="P247:P258" si="186">P$244</f>
        <v>1.58</v>
      </c>
      <c r="Q247" s="282"/>
      <c r="R247" s="283">
        <f t="shared" ref="R247:R258" si="187">$R$244</f>
        <v>477</v>
      </c>
      <c r="S247" s="280">
        <f t="shared" si="181"/>
        <v>67.80083857442348</v>
      </c>
      <c r="T247" s="425">
        <f t="shared" si="172"/>
        <v>32341</v>
      </c>
      <c r="U247" s="284">
        <f t="shared" si="182"/>
        <v>64682</v>
      </c>
      <c r="V247" s="277">
        <v>30</v>
      </c>
      <c r="W247" s="285"/>
      <c r="X247" s="285">
        <f t="shared" ref="X247:X259" si="188">U247*V247%</f>
        <v>19404.599999999999</v>
      </c>
      <c r="Y247" s="277"/>
      <c r="Z247" s="277"/>
      <c r="AA247" s="277"/>
      <c r="AB247" s="277"/>
      <c r="AC247" s="277"/>
      <c r="AD247" s="277"/>
      <c r="AE247" s="277"/>
      <c r="AF247" s="277"/>
      <c r="AG247" s="277"/>
      <c r="AH247" s="277"/>
      <c r="AI247" s="277"/>
      <c r="AJ247" s="277"/>
      <c r="AK247" s="277">
        <v>15</v>
      </c>
      <c r="AL247" s="277"/>
      <c r="AM247" s="285">
        <f t="shared" si="173"/>
        <v>9702.2999999999993</v>
      </c>
      <c r="AN247" s="277"/>
      <c r="AO247" s="277"/>
      <c r="AP247" s="277"/>
      <c r="AQ247" s="284">
        <f t="shared" si="174"/>
        <v>29106.899999999998</v>
      </c>
      <c r="AR247" s="277">
        <f t="shared" si="183"/>
        <v>20</v>
      </c>
      <c r="AS247" s="277">
        <f t="shared" si="175"/>
        <v>12936.400000000001</v>
      </c>
      <c r="AT247" s="283">
        <f t="shared" si="184"/>
        <v>12936.400000000001</v>
      </c>
      <c r="AU247" s="277"/>
      <c r="AV247" s="277">
        <v>100</v>
      </c>
      <c r="AW247" s="277">
        <f t="shared" si="176"/>
        <v>0</v>
      </c>
      <c r="AX247" s="277"/>
      <c r="AY247" s="277"/>
      <c r="AZ247" s="283"/>
      <c r="BA247" s="284">
        <f t="shared" si="177"/>
        <v>12936.400000000001</v>
      </c>
      <c r="BB247" s="284">
        <f t="shared" si="178"/>
        <v>106725.3</v>
      </c>
      <c r="BC247" s="284">
        <f t="shared" si="179"/>
        <v>106725.3</v>
      </c>
      <c r="BD247" s="286">
        <f t="shared" si="180"/>
        <v>35575.1</v>
      </c>
      <c r="BE247" s="286"/>
      <c r="BF247" s="251">
        <f t="shared" ref="BF247:BF258" si="189">IF(D247=1,BC247,0)</f>
        <v>0</v>
      </c>
      <c r="BG247" s="251">
        <f t="shared" ref="BG247:BG258" si="190">IF(E247=1,BC247,0)</f>
        <v>0</v>
      </c>
      <c r="BH247" s="251">
        <f t="shared" ref="BH247:BH258" si="191">IF(F247=1,BC247,0)</f>
        <v>0</v>
      </c>
      <c r="BI247" s="251">
        <f t="shared" ref="BI247:BI258" si="192">IF(G247=1,BC247,0)</f>
        <v>0</v>
      </c>
      <c r="BJ247" s="251">
        <f t="shared" ref="BJ247:BJ258" si="193">IF(H247=1,BC247,0)</f>
        <v>0</v>
      </c>
      <c r="BK247" s="251">
        <f t="shared" ref="BK247:BK258" si="194">IF(I247=1,BC247,0)</f>
        <v>0</v>
      </c>
      <c r="BL247" s="251">
        <f t="shared" ref="BL247:BL258" si="195">IF(J247=1,BC247,0)</f>
        <v>106725.3</v>
      </c>
      <c r="BM247" s="251">
        <f t="shared" ref="BM247:BM258" si="196">IF(K247=1,BC247,0)</f>
        <v>0</v>
      </c>
    </row>
    <row r="248" spans="1:65" s="287" customFormat="1" x14ac:dyDescent="0.25">
      <c r="A248" s="276"/>
      <c r="B248" s="288" t="s">
        <v>217</v>
      </c>
      <c r="C248" s="278">
        <v>4</v>
      </c>
      <c r="D248" s="279"/>
      <c r="E248" s="279"/>
      <c r="F248" s="279"/>
      <c r="G248" s="279"/>
      <c r="H248" s="279"/>
      <c r="I248" s="279"/>
      <c r="J248" s="279">
        <v>1</v>
      </c>
      <c r="K248" s="279"/>
      <c r="L248" s="277"/>
      <c r="M248" s="280">
        <f>C238</f>
        <v>3028</v>
      </c>
      <c r="N248" s="281">
        <f t="shared" si="185"/>
        <v>2</v>
      </c>
      <c r="O248" s="282">
        <v>2</v>
      </c>
      <c r="P248" s="282">
        <f t="shared" si="186"/>
        <v>1.58</v>
      </c>
      <c r="Q248" s="282"/>
      <c r="R248" s="283">
        <f t="shared" si="187"/>
        <v>477</v>
      </c>
      <c r="S248" s="280">
        <f>T248/(R248/1)</f>
        <v>40.119496855345915</v>
      </c>
      <c r="T248" s="425">
        <f>ROUND(M248*N248*O248*P248,0)</f>
        <v>19137</v>
      </c>
      <c r="U248" s="284">
        <f>T248*C248*2</f>
        <v>153096</v>
      </c>
      <c r="V248" s="277">
        <v>20</v>
      </c>
      <c r="W248" s="285"/>
      <c r="X248" s="285">
        <f>U248*V248%</f>
        <v>30619.200000000001</v>
      </c>
      <c r="Y248" s="277"/>
      <c r="Z248" s="277"/>
      <c r="AA248" s="277"/>
      <c r="AB248" s="277"/>
      <c r="AC248" s="277"/>
      <c r="AD248" s="277"/>
      <c r="AE248" s="277"/>
      <c r="AF248" s="277"/>
      <c r="AG248" s="277"/>
      <c r="AH248" s="277"/>
      <c r="AI248" s="277"/>
      <c r="AJ248" s="277"/>
      <c r="AK248" s="277">
        <f>(7)/1</f>
        <v>7</v>
      </c>
      <c r="AL248" s="277"/>
      <c r="AM248" s="342">
        <f>1*T248*AK248%*2</f>
        <v>2679.1800000000003</v>
      </c>
      <c r="AN248" s="277"/>
      <c r="AO248" s="277"/>
      <c r="AP248" s="277"/>
      <c r="AQ248" s="284">
        <f>X248+AA248+AD248+AG248+AJ248+AM248+AP248</f>
        <v>33298.380000000005</v>
      </c>
      <c r="AR248" s="277">
        <f t="shared" si="183"/>
        <v>20</v>
      </c>
      <c r="AS248" s="277">
        <f>AT248/C248</f>
        <v>7654.8</v>
      </c>
      <c r="AT248" s="283">
        <f>(U248)*AR248%</f>
        <v>30619.200000000001</v>
      </c>
      <c r="AU248" s="277">
        <v>2</v>
      </c>
      <c r="AV248" s="277">
        <v>100</v>
      </c>
      <c r="AW248" s="277">
        <f>AU248*T248</f>
        <v>38274</v>
      </c>
      <c r="AX248" s="277"/>
      <c r="AY248" s="277"/>
      <c r="AZ248" s="283"/>
      <c r="BA248" s="284">
        <f>AT248+AW248+AZ248</f>
        <v>68893.2</v>
      </c>
      <c r="BB248" s="284">
        <f>BC248/C248</f>
        <v>63821.895000000004</v>
      </c>
      <c r="BC248" s="284">
        <f>BA248+AQ248+U248</f>
        <v>255287.58000000002</v>
      </c>
      <c r="BD248" s="286">
        <f>BC248/C248/3</f>
        <v>21273.965</v>
      </c>
      <c r="BE248" s="286"/>
      <c r="BF248" s="251">
        <f>IF(D248=1,BC248,0)</f>
        <v>0</v>
      </c>
      <c r="BG248" s="251">
        <f>IF(E248=1,BC248,0)</f>
        <v>0</v>
      </c>
      <c r="BH248" s="251">
        <f>IF(F248=1,BC248,0)</f>
        <v>0</v>
      </c>
      <c r="BI248" s="251">
        <f>IF(G248=1,BC248,0)</f>
        <v>0</v>
      </c>
      <c r="BJ248" s="251">
        <f>IF(H248=1,BC248,0)</f>
        <v>0</v>
      </c>
      <c r="BK248" s="251">
        <f>IF(I248=1,BC248,0)</f>
        <v>0</v>
      </c>
      <c r="BL248" s="251">
        <f>IF(J248=1,BC248,0)</f>
        <v>255287.58000000002</v>
      </c>
      <c r="BM248" s="251">
        <f>IF(K248=1,BC248,0)</f>
        <v>0</v>
      </c>
    </row>
    <row r="249" spans="1:65" s="287" customFormat="1" x14ac:dyDescent="0.25">
      <c r="A249" s="276"/>
      <c r="B249" s="288" t="s">
        <v>218</v>
      </c>
      <c r="C249" s="278">
        <v>1</v>
      </c>
      <c r="D249" s="279"/>
      <c r="E249" s="279"/>
      <c r="F249" s="279"/>
      <c r="G249" s="279"/>
      <c r="H249" s="279"/>
      <c r="I249" s="279"/>
      <c r="J249" s="279">
        <v>1</v>
      </c>
      <c r="K249" s="279"/>
      <c r="L249" s="277"/>
      <c r="M249" s="280">
        <f>M$251</f>
        <v>3028</v>
      </c>
      <c r="N249" s="281">
        <f t="shared" si="185"/>
        <v>2</v>
      </c>
      <c r="O249" s="282">
        <v>3.15</v>
      </c>
      <c r="P249" s="282">
        <f t="shared" si="186"/>
        <v>1.58</v>
      </c>
      <c r="Q249" s="282"/>
      <c r="R249" s="283">
        <f t="shared" si="187"/>
        <v>477</v>
      </c>
      <c r="S249" s="280">
        <f t="shared" si="181"/>
        <v>63.188679245283019</v>
      </c>
      <c r="T249" s="425">
        <f t="shared" si="172"/>
        <v>30141</v>
      </c>
      <c r="U249" s="284">
        <f t="shared" si="182"/>
        <v>60282</v>
      </c>
      <c r="V249" s="277">
        <v>30</v>
      </c>
      <c r="W249" s="285"/>
      <c r="X249" s="285">
        <f t="shared" si="188"/>
        <v>18084.599999999999</v>
      </c>
      <c r="Y249" s="277"/>
      <c r="Z249" s="277"/>
      <c r="AA249" s="277"/>
      <c r="AB249" s="277"/>
      <c r="AC249" s="277"/>
      <c r="AD249" s="277"/>
      <c r="AE249" s="277"/>
      <c r="AF249" s="277"/>
      <c r="AG249" s="277"/>
      <c r="AH249" s="277"/>
      <c r="AI249" s="277"/>
      <c r="AJ249" s="277"/>
      <c r="AK249" s="277">
        <v>20</v>
      </c>
      <c r="AL249" s="277"/>
      <c r="AM249" s="285">
        <f t="shared" si="173"/>
        <v>12056.400000000001</v>
      </c>
      <c r="AN249" s="277"/>
      <c r="AO249" s="277"/>
      <c r="AP249" s="277"/>
      <c r="AQ249" s="284">
        <f t="shared" si="174"/>
        <v>30141</v>
      </c>
      <c r="AR249" s="277">
        <f t="shared" si="183"/>
        <v>20</v>
      </c>
      <c r="AS249" s="277">
        <f t="shared" si="175"/>
        <v>12056.400000000001</v>
      </c>
      <c r="AT249" s="283">
        <f t="shared" si="184"/>
        <v>12056.400000000001</v>
      </c>
      <c r="AU249" s="277"/>
      <c r="AV249" s="277">
        <v>100</v>
      </c>
      <c r="AW249" s="277">
        <f t="shared" si="176"/>
        <v>0</v>
      </c>
      <c r="AX249" s="277"/>
      <c r="AY249" s="277"/>
      <c r="AZ249" s="283"/>
      <c r="BA249" s="284">
        <f t="shared" si="177"/>
        <v>12056.400000000001</v>
      </c>
      <c r="BB249" s="284">
        <f t="shared" si="178"/>
        <v>102479.4</v>
      </c>
      <c r="BC249" s="284">
        <f t="shared" si="179"/>
        <v>102479.4</v>
      </c>
      <c r="BD249" s="286">
        <f t="shared" si="180"/>
        <v>34159.799999999996</v>
      </c>
      <c r="BE249" s="286"/>
      <c r="BF249" s="251">
        <f t="shared" si="189"/>
        <v>0</v>
      </c>
      <c r="BG249" s="251">
        <f t="shared" si="190"/>
        <v>0</v>
      </c>
      <c r="BH249" s="251">
        <f t="shared" si="191"/>
        <v>0</v>
      </c>
      <c r="BI249" s="251">
        <f t="shared" si="192"/>
        <v>0</v>
      </c>
      <c r="BJ249" s="251">
        <f t="shared" si="193"/>
        <v>0</v>
      </c>
      <c r="BK249" s="251">
        <f t="shared" si="194"/>
        <v>0</v>
      </c>
      <c r="BL249" s="251">
        <f t="shared" si="195"/>
        <v>102479.4</v>
      </c>
      <c r="BM249" s="251">
        <f t="shared" si="196"/>
        <v>0</v>
      </c>
    </row>
    <row r="250" spans="1:65" s="301" customFormat="1" ht="17.25" customHeight="1" x14ac:dyDescent="0.25">
      <c r="A250" s="289"/>
      <c r="B250" s="290" t="s">
        <v>278</v>
      </c>
      <c r="C250" s="291">
        <v>1</v>
      </c>
      <c r="D250" s="292"/>
      <c r="E250" s="292"/>
      <c r="F250" s="292"/>
      <c r="G250" s="292"/>
      <c r="H250" s="292"/>
      <c r="I250" s="292"/>
      <c r="J250" s="292">
        <v>1</v>
      </c>
      <c r="K250" s="292"/>
      <c r="L250" s="293"/>
      <c r="M250" s="294">
        <f>M$248</f>
        <v>3028</v>
      </c>
      <c r="N250" s="429">
        <f t="shared" si="185"/>
        <v>2</v>
      </c>
      <c r="O250" s="295">
        <v>2.2000000000000002</v>
      </c>
      <c r="P250" s="295">
        <f t="shared" si="186"/>
        <v>1.58</v>
      </c>
      <c r="Q250" s="295"/>
      <c r="R250" s="296">
        <f t="shared" si="187"/>
        <v>477</v>
      </c>
      <c r="S250" s="294">
        <f t="shared" si="181"/>
        <v>44.132075471698116</v>
      </c>
      <c r="T250" s="291">
        <f t="shared" si="172"/>
        <v>21051</v>
      </c>
      <c r="U250" s="297">
        <f t="shared" si="182"/>
        <v>42102</v>
      </c>
      <c r="V250" s="293">
        <v>20</v>
      </c>
      <c r="W250" s="298"/>
      <c r="X250" s="298">
        <f t="shared" si="188"/>
        <v>8420.4</v>
      </c>
      <c r="Y250" s="293"/>
      <c r="Z250" s="293"/>
      <c r="AA250" s="293"/>
      <c r="AB250" s="293"/>
      <c r="AC250" s="293"/>
      <c r="AD250" s="293"/>
      <c r="AE250" s="293"/>
      <c r="AF250" s="293"/>
      <c r="AG250" s="293"/>
      <c r="AH250" s="293"/>
      <c r="AI250" s="293"/>
      <c r="AJ250" s="293"/>
      <c r="AK250" s="277">
        <v>7</v>
      </c>
      <c r="AL250" s="293"/>
      <c r="AM250" s="298">
        <f>T250*AK250%*2</f>
        <v>2947.1400000000003</v>
      </c>
      <c r="AN250" s="293"/>
      <c r="AO250" s="293"/>
      <c r="AP250" s="293"/>
      <c r="AQ250" s="297">
        <f t="shared" si="174"/>
        <v>11367.54</v>
      </c>
      <c r="AR250" s="293">
        <f t="shared" si="183"/>
        <v>20</v>
      </c>
      <c r="AS250" s="298">
        <f t="shared" si="175"/>
        <v>8420.4</v>
      </c>
      <c r="AT250" s="294">
        <f t="shared" si="184"/>
        <v>8420.4</v>
      </c>
      <c r="AU250" s="293">
        <v>1</v>
      </c>
      <c r="AV250" s="293">
        <v>100</v>
      </c>
      <c r="AW250" s="293">
        <f t="shared" si="176"/>
        <v>21051</v>
      </c>
      <c r="AX250" s="293"/>
      <c r="AY250" s="298"/>
      <c r="AZ250" s="294"/>
      <c r="BA250" s="297">
        <f t="shared" si="177"/>
        <v>29471.4</v>
      </c>
      <c r="BB250" s="297">
        <f t="shared" si="178"/>
        <v>82940.94</v>
      </c>
      <c r="BC250" s="297">
        <f t="shared" si="179"/>
        <v>82940.94</v>
      </c>
      <c r="BD250" s="299">
        <f>BC250/C250/3</f>
        <v>27646.98</v>
      </c>
      <c r="BE250" s="299"/>
      <c r="BF250" s="300">
        <f t="shared" si="189"/>
        <v>0</v>
      </c>
      <c r="BG250" s="300">
        <f t="shared" si="190"/>
        <v>0</v>
      </c>
      <c r="BH250" s="300">
        <f t="shared" si="191"/>
        <v>0</v>
      </c>
      <c r="BI250" s="300">
        <f t="shared" si="192"/>
        <v>0</v>
      </c>
      <c r="BJ250" s="300">
        <f t="shared" si="193"/>
        <v>0</v>
      </c>
      <c r="BK250" s="300">
        <f t="shared" si="194"/>
        <v>0</v>
      </c>
      <c r="BL250" s="300">
        <f t="shared" si="195"/>
        <v>82940.94</v>
      </c>
      <c r="BM250" s="300">
        <f t="shared" si="196"/>
        <v>0</v>
      </c>
    </row>
    <row r="251" spans="1:65" s="287" customFormat="1" x14ac:dyDescent="0.25">
      <c r="A251" s="276"/>
      <c r="B251" s="288" t="s">
        <v>220</v>
      </c>
      <c r="C251" s="278">
        <v>1</v>
      </c>
      <c r="D251" s="279"/>
      <c r="E251" s="279"/>
      <c r="F251" s="279"/>
      <c r="G251" s="279"/>
      <c r="H251" s="279"/>
      <c r="I251" s="279"/>
      <c r="J251" s="279">
        <v>1</v>
      </c>
      <c r="K251" s="279"/>
      <c r="L251" s="277"/>
      <c r="M251" s="304">
        <f>C238</f>
        <v>3028</v>
      </c>
      <c r="N251" s="281">
        <f t="shared" si="185"/>
        <v>2</v>
      </c>
      <c r="O251" s="282">
        <v>2.8</v>
      </c>
      <c r="P251" s="282">
        <f t="shared" si="186"/>
        <v>1.58</v>
      </c>
      <c r="Q251" s="282"/>
      <c r="R251" s="283">
        <f t="shared" si="187"/>
        <v>477</v>
      </c>
      <c r="S251" s="280">
        <f>T251/(R251/1)</f>
        <v>56.167714884696018</v>
      </c>
      <c r="T251" s="425">
        <f t="shared" si="172"/>
        <v>26792</v>
      </c>
      <c r="U251" s="284">
        <f t="shared" si="182"/>
        <v>53584</v>
      </c>
      <c r="V251" s="277">
        <v>20</v>
      </c>
      <c r="W251" s="285"/>
      <c r="X251" s="285">
        <f>U251*V251%</f>
        <v>10716.800000000001</v>
      </c>
      <c r="Y251" s="277"/>
      <c r="Z251" s="277"/>
      <c r="AA251" s="277"/>
      <c r="AB251" s="277"/>
      <c r="AC251" s="277"/>
      <c r="AD251" s="277"/>
      <c r="AE251" s="277"/>
      <c r="AF251" s="277"/>
      <c r="AG251" s="277"/>
      <c r="AH251" s="277"/>
      <c r="AI251" s="277"/>
      <c r="AJ251" s="277"/>
      <c r="AK251" s="277"/>
      <c r="AL251" s="277"/>
      <c r="AM251" s="285">
        <f t="shared" si="173"/>
        <v>0</v>
      </c>
      <c r="AN251" s="277"/>
      <c r="AO251" s="277"/>
      <c r="AP251" s="277"/>
      <c r="AQ251" s="284">
        <f>X251+AA251+AD251+AG251+AJ251+AM251+AP251</f>
        <v>10716.800000000001</v>
      </c>
      <c r="AR251" s="277">
        <f t="shared" si="183"/>
        <v>20</v>
      </c>
      <c r="AS251" s="277">
        <f>AT251/C251</f>
        <v>10716.800000000001</v>
      </c>
      <c r="AT251" s="283">
        <f>(U251)*AR251%</f>
        <v>10716.800000000001</v>
      </c>
      <c r="AU251" s="277"/>
      <c r="AV251" s="277">
        <v>100</v>
      </c>
      <c r="AW251" s="277">
        <f>AU251*T251</f>
        <v>0</v>
      </c>
      <c r="AX251" s="277"/>
      <c r="AY251" s="277"/>
      <c r="AZ251" s="283"/>
      <c r="BA251" s="284">
        <f>AT251+AW251+AZ251</f>
        <v>10716.800000000001</v>
      </c>
      <c r="BB251" s="284">
        <f>BC251/C251</f>
        <v>75017.600000000006</v>
      </c>
      <c r="BC251" s="284">
        <f>BA251+AQ251+U251</f>
        <v>75017.600000000006</v>
      </c>
      <c r="BD251" s="286">
        <f t="shared" si="180"/>
        <v>25005.866666666669</v>
      </c>
      <c r="BE251" s="286"/>
      <c r="BF251" s="251">
        <f>IF(D251=1,BC251,0)</f>
        <v>0</v>
      </c>
      <c r="BG251" s="251">
        <f>IF(E251=1,BC251,0)</f>
        <v>0</v>
      </c>
      <c r="BH251" s="251">
        <f>IF(F251=1,BC251,0)</f>
        <v>0</v>
      </c>
      <c r="BI251" s="251">
        <f>IF(G251=1,BC251,0)</f>
        <v>0</v>
      </c>
      <c r="BJ251" s="251">
        <f>IF(H251=1,BC251,0)</f>
        <v>0</v>
      </c>
      <c r="BK251" s="251">
        <f>IF(I251=1,BC251,0)</f>
        <v>0</v>
      </c>
      <c r="BL251" s="251">
        <f>IF(J251=1,BC251,0)</f>
        <v>75017.600000000006</v>
      </c>
      <c r="BM251" s="251">
        <f>IF(K251=1,BC251,0)</f>
        <v>0</v>
      </c>
    </row>
    <row r="252" spans="1:65" s="287" customFormat="1" x14ac:dyDescent="0.25">
      <c r="A252" s="276"/>
      <c r="B252" s="288" t="s">
        <v>221</v>
      </c>
      <c r="C252" s="425">
        <f>1</f>
        <v>1</v>
      </c>
      <c r="D252" s="279"/>
      <c r="E252" s="279"/>
      <c r="F252" s="279"/>
      <c r="G252" s="279"/>
      <c r="H252" s="279"/>
      <c r="I252" s="279"/>
      <c r="J252" s="279">
        <v>1</v>
      </c>
      <c r="K252" s="279"/>
      <c r="L252" s="277"/>
      <c r="M252" s="280">
        <f t="shared" ref="M252:M259" si="197">M$248</f>
        <v>3028</v>
      </c>
      <c r="N252" s="281">
        <f t="shared" si="185"/>
        <v>2</v>
      </c>
      <c r="O252" s="282">
        <v>2.2000000000000002</v>
      </c>
      <c r="P252" s="282">
        <f t="shared" si="186"/>
        <v>1.58</v>
      </c>
      <c r="Q252" s="282"/>
      <c r="R252" s="283">
        <f t="shared" si="187"/>
        <v>477</v>
      </c>
      <c r="S252" s="280">
        <f t="shared" si="181"/>
        <v>44.132075471698116</v>
      </c>
      <c r="T252" s="425">
        <f t="shared" si="172"/>
        <v>21051</v>
      </c>
      <c r="U252" s="284">
        <f t="shared" si="182"/>
        <v>42102</v>
      </c>
      <c r="V252" s="277">
        <v>20</v>
      </c>
      <c r="W252" s="285"/>
      <c r="X252" s="285">
        <f t="shared" si="188"/>
        <v>8420.4</v>
      </c>
      <c r="Y252" s="277"/>
      <c r="Z252" s="277"/>
      <c r="AA252" s="277"/>
      <c r="AB252" s="277"/>
      <c r="AC252" s="277"/>
      <c r="AD252" s="277"/>
      <c r="AE252" s="277"/>
      <c r="AF252" s="277"/>
      <c r="AG252" s="277"/>
      <c r="AH252" s="277"/>
      <c r="AI252" s="277"/>
      <c r="AJ252" s="277"/>
      <c r="AK252" s="277"/>
      <c r="AL252" s="277"/>
      <c r="AM252" s="285">
        <f>T252*AK252%*2</f>
        <v>0</v>
      </c>
      <c r="AN252" s="277"/>
      <c r="AO252" s="277"/>
      <c r="AP252" s="277"/>
      <c r="AQ252" s="284">
        <f t="shared" si="174"/>
        <v>8420.4</v>
      </c>
      <c r="AR252" s="277">
        <f t="shared" si="183"/>
        <v>20</v>
      </c>
      <c r="AS252" s="285">
        <f t="shared" si="175"/>
        <v>8420.4</v>
      </c>
      <c r="AT252" s="280">
        <f t="shared" si="184"/>
        <v>8420.4</v>
      </c>
      <c r="AU252" s="277"/>
      <c r="AV252" s="277">
        <v>100</v>
      </c>
      <c r="AW252" s="277">
        <f t="shared" si="176"/>
        <v>0</v>
      </c>
      <c r="AX252" s="277"/>
      <c r="AY252" s="285"/>
      <c r="AZ252" s="280"/>
      <c r="BA252" s="284">
        <f t="shared" si="177"/>
        <v>8420.4</v>
      </c>
      <c r="BB252" s="284">
        <f t="shared" si="178"/>
        <v>58942.8</v>
      </c>
      <c r="BC252" s="284">
        <f t="shared" si="179"/>
        <v>58942.8</v>
      </c>
      <c r="BD252" s="286">
        <f t="shared" si="180"/>
        <v>19647.600000000002</v>
      </c>
      <c r="BE252" s="286"/>
      <c r="BF252" s="251">
        <f t="shared" si="189"/>
        <v>0</v>
      </c>
      <c r="BG252" s="251">
        <f t="shared" si="190"/>
        <v>0</v>
      </c>
      <c r="BH252" s="251">
        <f t="shared" si="191"/>
        <v>0</v>
      </c>
      <c r="BI252" s="251">
        <f t="shared" si="192"/>
        <v>0</v>
      </c>
      <c r="BJ252" s="251">
        <f t="shared" si="193"/>
        <v>0</v>
      </c>
      <c r="BK252" s="251">
        <f t="shared" si="194"/>
        <v>0</v>
      </c>
      <c r="BL252" s="251">
        <f t="shared" si="195"/>
        <v>58942.8</v>
      </c>
      <c r="BM252" s="251">
        <f t="shared" si="196"/>
        <v>0</v>
      </c>
    </row>
    <row r="253" spans="1:65" s="287" customFormat="1" x14ac:dyDescent="0.25">
      <c r="A253" s="276"/>
      <c r="B253" s="288" t="s">
        <v>222</v>
      </c>
      <c r="C253" s="425">
        <f>1</f>
        <v>1</v>
      </c>
      <c r="D253" s="279"/>
      <c r="E253" s="279"/>
      <c r="F253" s="279"/>
      <c r="G253" s="279"/>
      <c r="H253" s="279"/>
      <c r="I253" s="279"/>
      <c r="J253" s="279">
        <v>1</v>
      </c>
      <c r="K253" s="279"/>
      <c r="L253" s="277"/>
      <c r="M253" s="280">
        <f t="shared" si="197"/>
        <v>3028</v>
      </c>
      <c r="N253" s="281">
        <f t="shared" si="185"/>
        <v>2</v>
      </c>
      <c r="O253" s="282">
        <v>2.2000000000000002</v>
      </c>
      <c r="P253" s="282">
        <f t="shared" si="186"/>
        <v>1.58</v>
      </c>
      <c r="Q253" s="282"/>
      <c r="R253" s="283">
        <f t="shared" si="187"/>
        <v>477</v>
      </c>
      <c r="S253" s="280">
        <f>T253/(R253/1)</f>
        <v>44.132075471698116</v>
      </c>
      <c r="T253" s="425">
        <f>ROUND(M253*N253*O253*P253,0)</f>
        <v>21051</v>
      </c>
      <c r="U253" s="284">
        <f t="shared" si="182"/>
        <v>42102</v>
      </c>
      <c r="V253" s="277">
        <v>20</v>
      </c>
      <c r="W253" s="285"/>
      <c r="X253" s="285">
        <f>U253*V253%</f>
        <v>8420.4</v>
      </c>
      <c r="Y253" s="277"/>
      <c r="Z253" s="277"/>
      <c r="AA253" s="277"/>
      <c r="AB253" s="277"/>
      <c r="AC253" s="277"/>
      <c r="AD253" s="277"/>
      <c r="AE253" s="277"/>
      <c r="AF253" s="277"/>
      <c r="AG253" s="277"/>
      <c r="AH253" s="277"/>
      <c r="AI253" s="277"/>
      <c r="AJ253" s="277"/>
      <c r="AK253" s="277">
        <v>10</v>
      </c>
      <c r="AL253" s="277"/>
      <c r="AM253" s="285">
        <f t="shared" ref="AM253:AM258" si="198">T253*AK253%*2</f>
        <v>4210.2</v>
      </c>
      <c r="AN253" s="277"/>
      <c r="AO253" s="277"/>
      <c r="AP253" s="277"/>
      <c r="AQ253" s="284">
        <f>X253+AA253+AD253+AG253+AJ253+AM253+AP253</f>
        <v>12630.599999999999</v>
      </c>
      <c r="AR253" s="277">
        <f t="shared" si="183"/>
        <v>20</v>
      </c>
      <c r="AS253" s="285">
        <f>AT253/C253</f>
        <v>8420.4</v>
      </c>
      <c r="AT253" s="280">
        <f>(U253)*AR253%</f>
        <v>8420.4</v>
      </c>
      <c r="AU253" s="277"/>
      <c r="AV253" s="277">
        <v>100</v>
      </c>
      <c r="AW253" s="277">
        <f>AU253*T253</f>
        <v>0</v>
      </c>
      <c r="AX253" s="277"/>
      <c r="AY253" s="285"/>
      <c r="AZ253" s="280"/>
      <c r="BA253" s="284">
        <f>AT253+AW253+AZ253</f>
        <v>8420.4</v>
      </c>
      <c r="BB253" s="284">
        <f>BC253/C253</f>
        <v>63153</v>
      </c>
      <c r="BC253" s="284">
        <f>BA253+AQ253+U253</f>
        <v>63153</v>
      </c>
      <c r="BD253" s="286">
        <f>BC253/C253/3</f>
        <v>21051</v>
      </c>
      <c r="BE253" s="286"/>
      <c r="BF253" s="251">
        <f>IF(D253=1,BC253,0)</f>
        <v>0</v>
      </c>
      <c r="BG253" s="251">
        <f>IF(E253=1,BC253,0)</f>
        <v>0</v>
      </c>
      <c r="BH253" s="251">
        <f>IF(F253=1,BC253,0)</f>
        <v>0</v>
      </c>
      <c r="BI253" s="251">
        <f>IF(G253=1,BC253,0)</f>
        <v>0</v>
      </c>
      <c r="BJ253" s="251">
        <f>IF(H253=1,BC253,0)</f>
        <v>0</v>
      </c>
      <c r="BK253" s="251">
        <f>IF(I253=1,BC253,0)</f>
        <v>0</v>
      </c>
      <c r="BL253" s="251">
        <f>IF(J253=1,BC253,0)</f>
        <v>63153</v>
      </c>
      <c r="BM253" s="251">
        <f>IF(K253=1,BC253,0)</f>
        <v>0</v>
      </c>
    </row>
    <row r="254" spans="1:65" s="287" customFormat="1" x14ac:dyDescent="0.25">
      <c r="A254" s="276"/>
      <c r="B254" s="288" t="s">
        <v>223</v>
      </c>
      <c r="C254" s="278">
        <v>1</v>
      </c>
      <c r="D254" s="279"/>
      <c r="E254" s="279"/>
      <c r="F254" s="279"/>
      <c r="G254" s="279"/>
      <c r="H254" s="279"/>
      <c r="I254" s="279"/>
      <c r="J254" s="279">
        <v>1</v>
      </c>
      <c r="K254" s="279"/>
      <c r="L254" s="277"/>
      <c r="M254" s="280">
        <f t="shared" si="197"/>
        <v>3028</v>
      </c>
      <c r="N254" s="281">
        <f t="shared" si="185"/>
        <v>2</v>
      </c>
      <c r="O254" s="282">
        <v>2.2000000000000002</v>
      </c>
      <c r="P254" s="282">
        <f t="shared" si="186"/>
        <v>1.58</v>
      </c>
      <c r="Q254" s="282"/>
      <c r="R254" s="283">
        <f t="shared" si="187"/>
        <v>477</v>
      </c>
      <c r="S254" s="280">
        <f t="shared" si="181"/>
        <v>44.132075471698116</v>
      </c>
      <c r="T254" s="425">
        <f t="shared" si="172"/>
        <v>21051</v>
      </c>
      <c r="U254" s="284">
        <f t="shared" si="182"/>
        <v>42102</v>
      </c>
      <c r="V254" s="277">
        <v>20</v>
      </c>
      <c r="W254" s="285"/>
      <c r="X254" s="285">
        <f t="shared" si="188"/>
        <v>8420.4</v>
      </c>
      <c r="Y254" s="277"/>
      <c r="Z254" s="277"/>
      <c r="AA254" s="277"/>
      <c r="AB254" s="277"/>
      <c r="AC254" s="277"/>
      <c r="AD254" s="277"/>
      <c r="AE254" s="277"/>
      <c r="AF254" s="277"/>
      <c r="AG254" s="277"/>
      <c r="AH254" s="277"/>
      <c r="AI254" s="277"/>
      <c r="AJ254" s="277"/>
      <c r="AK254" s="277">
        <v>7</v>
      </c>
      <c r="AL254" s="277"/>
      <c r="AM254" s="285">
        <f t="shared" si="198"/>
        <v>2947.1400000000003</v>
      </c>
      <c r="AN254" s="277"/>
      <c r="AO254" s="277"/>
      <c r="AP254" s="277"/>
      <c r="AQ254" s="284">
        <f t="shared" si="174"/>
        <v>11367.54</v>
      </c>
      <c r="AR254" s="277">
        <f t="shared" si="183"/>
        <v>20</v>
      </c>
      <c r="AS254" s="277">
        <f t="shared" si="175"/>
        <v>8420.4</v>
      </c>
      <c r="AT254" s="283">
        <f t="shared" si="184"/>
        <v>8420.4</v>
      </c>
      <c r="AU254" s="277"/>
      <c r="AV254" s="277">
        <v>100</v>
      </c>
      <c r="AW254" s="277">
        <f t="shared" si="176"/>
        <v>0</v>
      </c>
      <c r="AX254" s="277"/>
      <c r="AY254" s="277"/>
      <c r="AZ254" s="283"/>
      <c r="BA254" s="284">
        <f t="shared" si="177"/>
        <v>8420.4</v>
      </c>
      <c r="BB254" s="284">
        <f t="shared" si="178"/>
        <v>61889.94</v>
      </c>
      <c r="BC254" s="284">
        <f t="shared" si="179"/>
        <v>61889.94</v>
      </c>
      <c r="BD254" s="286">
        <f t="shared" si="180"/>
        <v>20629.98</v>
      </c>
      <c r="BE254" s="286"/>
      <c r="BF254" s="251">
        <f t="shared" si="189"/>
        <v>0</v>
      </c>
      <c r="BG254" s="251">
        <f t="shared" si="190"/>
        <v>0</v>
      </c>
      <c r="BH254" s="251">
        <f t="shared" si="191"/>
        <v>0</v>
      </c>
      <c r="BI254" s="251">
        <f t="shared" si="192"/>
        <v>0</v>
      </c>
      <c r="BJ254" s="251">
        <f t="shared" si="193"/>
        <v>0</v>
      </c>
      <c r="BK254" s="251">
        <f t="shared" si="194"/>
        <v>0</v>
      </c>
      <c r="BL254" s="251">
        <f t="shared" si="195"/>
        <v>61889.94</v>
      </c>
      <c r="BM254" s="251">
        <f t="shared" si="196"/>
        <v>0</v>
      </c>
    </row>
    <row r="255" spans="1:65" s="287" customFormat="1" x14ac:dyDescent="0.25">
      <c r="A255" s="276"/>
      <c r="B255" s="288" t="s">
        <v>224</v>
      </c>
      <c r="C255" s="278">
        <v>1</v>
      </c>
      <c r="D255" s="279"/>
      <c r="E255" s="279"/>
      <c r="F255" s="279"/>
      <c r="G255" s="279"/>
      <c r="H255" s="279"/>
      <c r="I255" s="279"/>
      <c r="J255" s="279">
        <v>1</v>
      </c>
      <c r="K255" s="279"/>
      <c r="L255" s="277"/>
      <c r="M255" s="280">
        <f t="shared" si="197"/>
        <v>3028</v>
      </c>
      <c r="N255" s="281">
        <f t="shared" si="185"/>
        <v>2</v>
      </c>
      <c r="O255" s="282">
        <v>2</v>
      </c>
      <c r="P255" s="282">
        <f t="shared" si="186"/>
        <v>1.58</v>
      </c>
      <c r="Q255" s="282"/>
      <c r="R255" s="283">
        <f t="shared" si="187"/>
        <v>477</v>
      </c>
      <c r="S255" s="280">
        <f t="shared" si="181"/>
        <v>40.119496855345915</v>
      </c>
      <c r="T255" s="425">
        <f t="shared" si="172"/>
        <v>19137</v>
      </c>
      <c r="U255" s="284">
        <f t="shared" si="182"/>
        <v>38274</v>
      </c>
      <c r="V255" s="277">
        <v>20</v>
      </c>
      <c r="W255" s="285"/>
      <c r="X255" s="285">
        <f t="shared" si="188"/>
        <v>7654.8</v>
      </c>
      <c r="Y255" s="277"/>
      <c r="Z255" s="277"/>
      <c r="AA255" s="277"/>
      <c r="AB255" s="277"/>
      <c r="AC255" s="277"/>
      <c r="AD255" s="277"/>
      <c r="AE255" s="277"/>
      <c r="AF255" s="277"/>
      <c r="AG255" s="277"/>
      <c r="AH255" s="277"/>
      <c r="AI255" s="277"/>
      <c r="AJ255" s="277"/>
      <c r="AK255" s="277">
        <v>15</v>
      </c>
      <c r="AL255" s="277"/>
      <c r="AM255" s="285">
        <f t="shared" si="198"/>
        <v>5741.0999999999995</v>
      </c>
      <c r="AN255" s="277"/>
      <c r="AO255" s="277"/>
      <c r="AP255" s="277"/>
      <c r="AQ255" s="284">
        <f t="shared" si="174"/>
        <v>13395.9</v>
      </c>
      <c r="AR255" s="277">
        <f t="shared" si="183"/>
        <v>20</v>
      </c>
      <c r="AS255" s="277">
        <f t="shared" si="175"/>
        <v>7654.8</v>
      </c>
      <c r="AT255" s="283">
        <f t="shared" si="184"/>
        <v>7654.8</v>
      </c>
      <c r="AU255" s="277"/>
      <c r="AV255" s="277">
        <v>100</v>
      </c>
      <c r="AW255" s="277">
        <f t="shared" si="176"/>
        <v>0</v>
      </c>
      <c r="AX255" s="277"/>
      <c r="AY255" s="277"/>
      <c r="AZ255" s="283"/>
      <c r="BA255" s="284">
        <f t="shared" si="177"/>
        <v>7654.8</v>
      </c>
      <c r="BB255" s="284">
        <f t="shared" si="178"/>
        <v>59324.7</v>
      </c>
      <c r="BC255" s="284">
        <f t="shared" si="179"/>
        <v>59324.7</v>
      </c>
      <c r="BD255" s="286">
        <f t="shared" si="180"/>
        <v>19774.899999999998</v>
      </c>
      <c r="BE255" s="286"/>
      <c r="BF255" s="251">
        <f t="shared" si="189"/>
        <v>0</v>
      </c>
      <c r="BG255" s="251">
        <f t="shared" si="190"/>
        <v>0</v>
      </c>
      <c r="BH255" s="251">
        <f t="shared" si="191"/>
        <v>0</v>
      </c>
      <c r="BI255" s="251">
        <f t="shared" si="192"/>
        <v>0</v>
      </c>
      <c r="BJ255" s="251">
        <f t="shared" si="193"/>
        <v>0</v>
      </c>
      <c r="BK255" s="251">
        <f t="shared" si="194"/>
        <v>0</v>
      </c>
      <c r="BL255" s="251">
        <f t="shared" si="195"/>
        <v>59324.7</v>
      </c>
      <c r="BM255" s="251">
        <f t="shared" si="196"/>
        <v>0</v>
      </c>
    </row>
    <row r="256" spans="1:65" s="287" customFormat="1" x14ac:dyDescent="0.25">
      <c r="A256" s="276"/>
      <c r="B256" s="288" t="s">
        <v>225</v>
      </c>
      <c r="C256" s="278">
        <v>1</v>
      </c>
      <c r="D256" s="279"/>
      <c r="E256" s="279"/>
      <c r="F256" s="279"/>
      <c r="G256" s="279"/>
      <c r="H256" s="279"/>
      <c r="I256" s="279"/>
      <c r="J256" s="279">
        <v>1</v>
      </c>
      <c r="K256" s="279"/>
      <c r="L256" s="277"/>
      <c r="M256" s="280">
        <f t="shared" si="197"/>
        <v>3028</v>
      </c>
      <c r="N256" s="281">
        <f t="shared" si="185"/>
        <v>2</v>
      </c>
      <c r="O256" s="303">
        <v>1.26</v>
      </c>
      <c r="P256" s="282">
        <f t="shared" si="186"/>
        <v>1.58</v>
      </c>
      <c r="Q256" s="282"/>
      <c r="R256" s="283">
        <f t="shared" si="187"/>
        <v>477</v>
      </c>
      <c r="S256" s="280">
        <f t="shared" si="181"/>
        <v>25.274633123689728</v>
      </c>
      <c r="T256" s="425">
        <f t="shared" si="172"/>
        <v>12056</v>
      </c>
      <c r="U256" s="284">
        <f t="shared" si="182"/>
        <v>24112</v>
      </c>
      <c r="V256" s="277">
        <v>20</v>
      </c>
      <c r="W256" s="285"/>
      <c r="X256" s="285">
        <f t="shared" si="188"/>
        <v>4822.4000000000005</v>
      </c>
      <c r="Y256" s="277"/>
      <c r="Z256" s="277"/>
      <c r="AA256" s="277"/>
      <c r="AB256" s="277"/>
      <c r="AC256" s="277"/>
      <c r="AD256" s="277"/>
      <c r="AE256" s="277"/>
      <c r="AF256" s="277"/>
      <c r="AG256" s="277"/>
      <c r="AH256" s="277"/>
      <c r="AI256" s="277"/>
      <c r="AJ256" s="277"/>
      <c r="AK256" s="277"/>
      <c r="AL256" s="277"/>
      <c r="AM256" s="285">
        <f t="shared" si="198"/>
        <v>0</v>
      </c>
      <c r="AN256" s="277"/>
      <c r="AO256" s="277"/>
      <c r="AP256" s="277"/>
      <c r="AQ256" s="284">
        <f t="shared" si="174"/>
        <v>4822.4000000000005</v>
      </c>
      <c r="AR256" s="277">
        <f t="shared" si="183"/>
        <v>20</v>
      </c>
      <c r="AS256" s="277">
        <f t="shared" si="175"/>
        <v>4822.4000000000005</v>
      </c>
      <c r="AT256" s="283">
        <f t="shared" si="184"/>
        <v>4822.4000000000005</v>
      </c>
      <c r="AU256" s="277"/>
      <c r="AV256" s="277">
        <v>100</v>
      </c>
      <c r="AW256" s="277">
        <f t="shared" si="176"/>
        <v>0</v>
      </c>
      <c r="AX256" s="277"/>
      <c r="AY256" s="277"/>
      <c r="AZ256" s="283"/>
      <c r="BA256" s="284">
        <f t="shared" si="177"/>
        <v>4822.4000000000005</v>
      </c>
      <c r="BB256" s="284">
        <f t="shared" si="178"/>
        <v>33756.800000000003</v>
      </c>
      <c r="BC256" s="284">
        <f t="shared" si="179"/>
        <v>33756.800000000003</v>
      </c>
      <c r="BD256" s="286">
        <f t="shared" si="180"/>
        <v>11252.266666666668</v>
      </c>
      <c r="BE256" s="286"/>
      <c r="BF256" s="251">
        <f t="shared" si="189"/>
        <v>0</v>
      </c>
      <c r="BG256" s="251">
        <f t="shared" si="190"/>
        <v>0</v>
      </c>
      <c r="BH256" s="251">
        <f t="shared" si="191"/>
        <v>0</v>
      </c>
      <c r="BI256" s="251">
        <f t="shared" si="192"/>
        <v>0</v>
      </c>
      <c r="BJ256" s="251">
        <f t="shared" si="193"/>
        <v>0</v>
      </c>
      <c r="BK256" s="251">
        <f t="shared" si="194"/>
        <v>0</v>
      </c>
      <c r="BL256" s="251">
        <f t="shared" si="195"/>
        <v>33756.800000000003</v>
      </c>
      <c r="BM256" s="251">
        <f t="shared" si="196"/>
        <v>0</v>
      </c>
    </row>
    <row r="257" spans="1:67" s="287" customFormat="1" x14ac:dyDescent="0.25">
      <c r="A257" s="276"/>
      <c r="B257" s="288" t="s">
        <v>226</v>
      </c>
      <c r="C257" s="278">
        <v>1</v>
      </c>
      <c r="D257" s="279"/>
      <c r="E257" s="279"/>
      <c r="F257" s="279"/>
      <c r="G257" s="279"/>
      <c r="H257" s="279"/>
      <c r="I257" s="279"/>
      <c r="J257" s="279">
        <v>1</v>
      </c>
      <c r="K257" s="279"/>
      <c r="L257" s="277"/>
      <c r="M257" s="280">
        <f t="shared" si="197"/>
        <v>3028</v>
      </c>
      <c r="N257" s="281">
        <f t="shared" si="185"/>
        <v>2</v>
      </c>
      <c r="O257" s="282">
        <v>1.7</v>
      </c>
      <c r="P257" s="282">
        <f t="shared" si="186"/>
        <v>1.58</v>
      </c>
      <c r="Q257" s="282"/>
      <c r="R257" s="283">
        <f t="shared" si="187"/>
        <v>477</v>
      </c>
      <c r="S257" s="280">
        <f t="shared" si="181"/>
        <v>34.100628930817614</v>
      </c>
      <c r="T257" s="425">
        <f t="shared" si="172"/>
        <v>16266</v>
      </c>
      <c r="U257" s="284">
        <f t="shared" si="182"/>
        <v>32532</v>
      </c>
      <c r="V257" s="277">
        <v>20</v>
      </c>
      <c r="W257" s="285"/>
      <c r="X257" s="285">
        <f t="shared" si="188"/>
        <v>6506.4000000000005</v>
      </c>
      <c r="Y257" s="277"/>
      <c r="Z257" s="277"/>
      <c r="AA257" s="277"/>
      <c r="AB257" s="277"/>
      <c r="AC257" s="277"/>
      <c r="AD257" s="277"/>
      <c r="AE257" s="277"/>
      <c r="AF257" s="277"/>
      <c r="AG257" s="277"/>
      <c r="AH257" s="277"/>
      <c r="AI257" s="277"/>
      <c r="AJ257" s="277"/>
      <c r="AK257" s="277">
        <v>10</v>
      </c>
      <c r="AL257" s="277"/>
      <c r="AM257" s="285">
        <f t="shared" si="198"/>
        <v>3253.2000000000003</v>
      </c>
      <c r="AN257" s="277"/>
      <c r="AO257" s="277"/>
      <c r="AP257" s="277"/>
      <c r="AQ257" s="284">
        <f t="shared" si="174"/>
        <v>9759.6</v>
      </c>
      <c r="AR257" s="277">
        <f t="shared" si="183"/>
        <v>20</v>
      </c>
      <c r="AS257" s="277">
        <f t="shared" si="175"/>
        <v>6506.4000000000005</v>
      </c>
      <c r="AT257" s="283">
        <f t="shared" si="184"/>
        <v>6506.4000000000005</v>
      </c>
      <c r="AU257" s="277">
        <v>1</v>
      </c>
      <c r="AV257" s="277">
        <v>100</v>
      </c>
      <c r="AW257" s="277">
        <f t="shared" si="176"/>
        <v>16266</v>
      </c>
      <c r="AX257" s="277"/>
      <c r="AY257" s="277"/>
      <c r="AZ257" s="283"/>
      <c r="BA257" s="284">
        <f t="shared" si="177"/>
        <v>22772.400000000001</v>
      </c>
      <c r="BB257" s="284">
        <f t="shared" si="178"/>
        <v>65064</v>
      </c>
      <c r="BC257" s="284">
        <f t="shared" si="179"/>
        <v>65064</v>
      </c>
      <c r="BD257" s="286">
        <f t="shared" si="180"/>
        <v>21688</v>
      </c>
      <c r="BE257" s="286"/>
      <c r="BF257" s="251">
        <f t="shared" si="189"/>
        <v>0</v>
      </c>
      <c r="BG257" s="251">
        <f t="shared" si="190"/>
        <v>0</v>
      </c>
      <c r="BH257" s="251">
        <f t="shared" si="191"/>
        <v>0</v>
      </c>
      <c r="BI257" s="251">
        <f t="shared" si="192"/>
        <v>0</v>
      </c>
      <c r="BJ257" s="251">
        <f t="shared" si="193"/>
        <v>0</v>
      </c>
      <c r="BK257" s="251">
        <f t="shared" si="194"/>
        <v>0</v>
      </c>
      <c r="BL257" s="251">
        <f t="shared" si="195"/>
        <v>65064</v>
      </c>
      <c r="BM257" s="251">
        <f t="shared" si="196"/>
        <v>0</v>
      </c>
    </row>
    <row r="258" spans="1:67" s="301" customFormat="1" x14ac:dyDescent="0.25">
      <c r="A258" s="289"/>
      <c r="B258" s="290" t="s">
        <v>227</v>
      </c>
      <c r="C258" s="376">
        <v>1</v>
      </c>
      <c r="D258" s="292"/>
      <c r="E258" s="292"/>
      <c r="F258" s="292"/>
      <c r="G258" s="292"/>
      <c r="H258" s="292"/>
      <c r="I258" s="292"/>
      <c r="J258" s="292">
        <v>1</v>
      </c>
      <c r="K258" s="292"/>
      <c r="L258" s="293"/>
      <c r="M258" s="294">
        <f t="shared" si="197"/>
        <v>3028</v>
      </c>
      <c r="N258" s="429">
        <f t="shared" si="185"/>
        <v>2</v>
      </c>
      <c r="O258" s="295">
        <v>1.6</v>
      </c>
      <c r="P258" s="295">
        <f t="shared" si="186"/>
        <v>1.58</v>
      </c>
      <c r="Q258" s="295"/>
      <c r="R258" s="296">
        <f t="shared" si="187"/>
        <v>477</v>
      </c>
      <c r="S258" s="294">
        <f t="shared" si="181"/>
        <v>32.096436058700206</v>
      </c>
      <c r="T258" s="291">
        <f t="shared" si="172"/>
        <v>15310</v>
      </c>
      <c r="U258" s="297">
        <f t="shared" si="182"/>
        <v>30620</v>
      </c>
      <c r="V258" s="293">
        <v>20</v>
      </c>
      <c r="W258" s="298"/>
      <c r="X258" s="298">
        <f t="shared" si="188"/>
        <v>6124</v>
      </c>
      <c r="Y258" s="293"/>
      <c r="Z258" s="293"/>
      <c r="AA258" s="293"/>
      <c r="AB258" s="293"/>
      <c r="AC258" s="293"/>
      <c r="AD258" s="293"/>
      <c r="AE258" s="293"/>
      <c r="AF258" s="293"/>
      <c r="AG258" s="293"/>
      <c r="AH258" s="293"/>
      <c r="AI258" s="293"/>
      <c r="AJ258" s="293"/>
      <c r="AK258" s="277">
        <v>7</v>
      </c>
      <c r="AL258" s="293"/>
      <c r="AM258" s="285">
        <f t="shared" si="198"/>
        <v>2143.4</v>
      </c>
      <c r="AN258" s="293"/>
      <c r="AO258" s="293"/>
      <c r="AP258" s="293"/>
      <c r="AQ258" s="297">
        <f t="shared" si="174"/>
        <v>8267.4</v>
      </c>
      <c r="AR258" s="293">
        <f t="shared" si="183"/>
        <v>20</v>
      </c>
      <c r="AS258" s="293">
        <f t="shared" si="175"/>
        <v>6124</v>
      </c>
      <c r="AT258" s="296">
        <f t="shared" si="184"/>
        <v>6124</v>
      </c>
      <c r="AU258" s="293"/>
      <c r="AV258" s="293">
        <v>100</v>
      </c>
      <c r="AW258" s="293">
        <f t="shared" si="176"/>
        <v>0</v>
      </c>
      <c r="AX258" s="293"/>
      <c r="AY258" s="293"/>
      <c r="AZ258" s="296"/>
      <c r="BA258" s="297">
        <f t="shared" si="177"/>
        <v>6124</v>
      </c>
      <c r="BB258" s="297">
        <f t="shared" si="178"/>
        <v>45011.4</v>
      </c>
      <c r="BC258" s="297">
        <f t="shared" si="179"/>
        <v>45011.4</v>
      </c>
      <c r="BD258" s="299">
        <f t="shared" si="180"/>
        <v>15003.800000000001</v>
      </c>
      <c r="BE258" s="299"/>
      <c r="BF258" s="300">
        <f t="shared" si="189"/>
        <v>0</v>
      </c>
      <c r="BG258" s="300">
        <f t="shared" si="190"/>
        <v>0</v>
      </c>
      <c r="BH258" s="300">
        <f t="shared" si="191"/>
        <v>0</v>
      </c>
      <c r="BI258" s="300">
        <f t="shared" si="192"/>
        <v>0</v>
      </c>
      <c r="BJ258" s="300">
        <f t="shared" si="193"/>
        <v>0</v>
      </c>
      <c r="BK258" s="300">
        <f t="shared" si="194"/>
        <v>0</v>
      </c>
      <c r="BL258" s="300">
        <f t="shared" si="195"/>
        <v>45011.4</v>
      </c>
      <c r="BM258" s="300">
        <f t="shared" si="196"/>
        <v>0</v>
      </c>
    </row>
    <row r="259" spans="1:67" s="301" customFormat="1" ht="25.5" customHeight="1" x14ac:dyDescent="0.25">
      <c r="A259" s="289"/>
      <c r="B259" s="290" t="s">
        <v>228</v>
      </c>
      <c r="C259" s="291">
        <v>1</v>
      </c>
      <c r="D259" s="292"/>
      <c r="E259" s="292"/>
      <c r="F259" s="292"/>
      <c r="G259" s="292"/>
      <c r="H259" s="292"/>
      <c r="I259" s="292"/>
      <c r="J259" s="292">
        <v>1</v>
      </c>
      <c r="K259" s="292"/>
      <c r="L259" s="293"/>
      <c r="M259" s="294">
        <f t="shared" si="197"/>
        <v>3028</v>
      </c>
      <c r="N259" s="429">
        <f>N$244</f>
        <v>2</v>
      </c>
      <c r="O259" s="295">
        <v>1.1000000000000001</v>
      </c>
      <c r="P259" s="430">
        <v>1</v>
      </c>
      <c r="Q259" s="295"/>
      <c r="R259" s="296">
        <f>$R$244</f>
        <v>477</v>
      </c>
      <c r="S259" s="294">
        <f t="shared" si="181"/>
        <v>13.966457023060796</v>
      </c>
      <c r="T259" s="291">
        <f t="shared" si="172"/>
        <v>6662</v>
      </c>
      <c r="U259" s="297">
        <f t="shared" si="182"/>
        <v>13324</v>
      </c>
      <c r="V259" s="293">
        <v>0</v>
      </c>
      <c r="W259" s="298"/>
      <c r="X259" s="298">
        <f t="shared" si="188"/>
        <v>0</v>
      </c>
      <c r="Y259" s="293"/>
      <c r="Z259" s="293"/>
      <c r="AA259" s="293"/>
      <c r="AB259" s="293"/>
      <c r="AC259" s="293"/>
      <c r="AD259" s="293"/>
      <c r="AE259" s="293"/>
      <c r="AF259" s="293"/>
      <c r="AG259" s="293"/>
      <c r="AH259" s="293"/>
      <c r="AI259" s="293"/>
      <c r="AJ259" s="293"/>
      <c r="AK259" s="277">
        <v>7</v>
      </c>
      <c r="AL259" s="293"/>
      <c r="AM259" s="298">
        <f>T259*AK259%*2</f>
        <v>932.68000000000006</v>
      </c>
      <c r="AN259" s="293"/>
      <c r="AO259" s="293"/>
      <c r="AP259" s="293"/>
      <c r="AQ259" s="297">
        <f t="shared" si="174"/>
        <v>932.68000000000006</v>
      </c>
      <c r="AR259" s="293">
        <f t="shared" si="183"/>
        <v>20</v>
      </c>
      <c r="AS259" s="298">
        <f>AT259/C259</f>
        <v>2664.8</v>
      </c>
      <c r="AT259" s="294">
        <f>(U259)*AR259%</f>
        <v>2664.8</v>
      </c>
      <c r="AU259" s="293"/>
      <c r="AV259" s="293">
        <v>100</v>
      </c>
      <c r="AW259" s="293">
        <f>AU259*T259</f>
        <v>0</v>
      </c>
      <c r="AX259" s="293"/>
      <c r="AY259" s="298"/>
      <c r="AZ259" s="431"/>
      <c r="BA259" s="297">
        <f t="shared" si="177"/>
        <v>2664.8</v>
      </c>
      <c r="BB259" s="297">
        <f>BC259/C259</f>
        <v>16921.48</v>
      </c>
      <c r="BC259" s="297">
        <f>BA259+AQ259+U259</f>
        <v>16921.48</v>
      </c>
      <c r="BD259" s="299">
        <f>BC259/C259/3</f>
        <v>5640.4933333333329</v>
      </c>
      <c r="BE259" s="299"/>
      <c r="BF259" s="300">
        <f>IF(D259=1,BC259,0)</f>
        <v>0</v>
      </c>
      <c r="BG259" s="300">
        <f>IF(E259=1,BC259,0)</f>
        <v>0</v>
      </c>
      <c r="BH259" s="300">
        <f>IF(F259=1,BC259,0)</f>
        <v>0</v>
      </c>
      <c r="BI259" s="300">
        <f>IF(G259=1,BC259,0)</f>
        <v>0</v>
      </c>
      <c r="BJ259" s="300">
        <f>IF(H259=1,BC259,0)</f>
        <v>0</v>
      </c>
      <c r="BK259" s="300">
        <f>IF(I259=1,BC259,0)</f>
        <v>0</v>
      </c>
      <c r="BL259" s="300">
        <f>IF(J259=1,BC259,0)</f>
        <v>16921.48</v>
      </c>
      <c r="BM259" s="300">
        <f>IF(K259=1,BC259,0)</f>
        <v>0</v>
      </c>
      <c r="BO259" s="301">
        <f>BC259/2/C259</f>
        <v>8460.74</v>
      </c>
    </row>
    <row r="260" spans="1:67" s="287" customFormat="1" x14ac:dyDescent="0.25">
      <c r="A260" s="276"/>
      <c r="B260" s="288"/>
      <c r="C260" s="305"/>
      <c r="D260" s="279"/>
      <c r="E260" s="279"/>
      <c r="F260" s="279"/>
      <c r="G260" s="279"/>
      <c r="H260" s="279"/>
      <c r="I260" s="279"/>
      <c r="J260" s="279"/>
      <c r="K260" s="279"/>
      <c r="L260" s="277"/>
      <c r="M260" s="280"/>
      <c r="N260" s="281"/>
      <c r="O260" s="277"/>
      <c r="P260" s="282"/>
      <c r="Q260" s="277"/>
      <c r="R260" s="283"/>
      <c r="S260" s="280"/>
      <c r="T260" s="425"/>
      <c r="U260" s="284"/>
      <c r="V260" s="277"/>
      <c r="W260" s="285"/>
      <c r="X260" s="285"/>
      <c r="Y260" s="277"/>
      <c r="Z260" s="277"/>
      <c r="AA260" s="277"/>
      <c r="AB260" s="277"/>
      <c r="AC260" s="277"/>
      <c r="AD260" s="277"/>
      <c r="AE260" s="277"/>
      <c r="AF260" s="277"/>
      <c r="AG260" s="277"/>
      <c r="AH260" s="277"/>
      <c r="AI260" s="277"/>
      <c r="AJ260" s="277"/>
      <c r="AK260" s="277"/>
      <c r="AL260" s="277"/>
      <c r="AM260" s="285"/>
      <c r="AN260" s="277"/>
      <c r="AO260" s="277"/>
      <c r="AP260" s="277"/>
      <c r="AQ260" s="284">
        <f t="shared" si="174"/>
        <v>0</v>
      </c>
      <c r="AR260" s="277"/>
      <c r="AS260" s="277"/>
      <c r="AT260" s="283"/>
      <c r="AU260" s="277"/>
      <c r="AV260" s="277"/>
      <c r="AW260" s="277"/>
      <c r="AX260" s="277"/>
      <c r="AY260" s="277"/>
      <c r="AZ260" s="283"/>
      <c r="BA260" s="284"/>
      <c r="BB260" s="284"/>
      <c r="BC260" s="284"/>
      <c r="BD260" s="286"/>
      <c r="BE260" s="286"/>
      <c r="BF260" s="251"/>
      <c r="BG260" s="251"/>
      <c r="BH260" s="251"/>
      <c r="BI260" s="251"/>
      <c r="BJ260" s="251"/>
      <c r="BK260" s="251"/>
      <c r="BL260" s="251"/>
      <c r="BM260" s="251"/>
    </row>
    <row r="261" spans="1:67" s="316" customFormat="1" ht="14.25" x14ac:dyDescent="0.25">
      <c r="A261" s="306"/>
      <c r="B261" s="307" t="s">
        <v>229</v>
      </c>
      <c r="C261" s="308">
        <f>SUM(C244:C260)</f>
        <v>19</v>
      </c>
      <c r="D261" s="309"/>
      <c r="E261" s="309"/>
      <c r="F261" s="309"/>
      <c r="G261" s="309"/>
      <c r="H261" s="309"/>
      <c r="I261" s="309"/>
      <c r="J261" s="309"/>
      <c r="K261" s="309"/>
      <c r="L261" s="309"/>
      <c r="M261" s="310"/>
      <c r="N261" s="309"/>
      <c r="O261" s="309"/>
      <c r="P261" s="309"/>
      <c r="Q261" s="309"/>
      <c r="R261" s="310"/>
      <c r="S261" s="310"/>
      <c r="T261" s="349">
        <f>U261/2</f>
        <v>429303</v>
      </c>
      <c r="U261" s="312">
        <f>SUM(U244:U260)</f>
        <v>858606</v>
      </c>
      <c r="V261" s="309"/>
      <c r="W261" s="309"/>
      <c r="X261" s="312">
        <f>SUM(X244:X260)</f>
        <v>177687.19999999998</v>
      </c>
      <c r="Y261" s="312"/>
      <c r="Z261" s="312">
        <f>SUM(Z244:Z260)</f>
        <v>0</v>
      </c>
      <c r="AA261" s="312">
        <f>SUM(AA244:AA260)</f>
        <v>0</v>
      </c>
      <c r="AB261" s="312"/>
      <c r="AC261" s="312"/>
      <c r="AD261" s="312">
        <f>SUM(AD244:AD260)</f>
        <v>0</v>
      </c>
      <c r="AE261" s="312"/>
      <c r="AF261" s="312">
        <f>SUM(AF244:AF260)</f>
        <v>0</v>
      </c>
      <c r="AG261" s="312">
        <f>SUM(AG244:AG260)</f>
        <v>0</v>
      </c>
      <c r="AH261" s="312"/>
      <c r="AI261" s="312">
        <f>SUM(AI244:AI260)</f>
        <v>0</v>
      </c>
      <c r="AJ261" s="312">
        <f>SUM(AJ244:AJ260)</f>
        <v>0</v>
      </c>
      <c r="AK261" s="312"/>
      <c r="AL261" s="312">
        <f>SUM(AL244:AL260)</f>
        <v>0</v>
      </c>
      <c r="AM261" s="312">
        <f>SUM(AM244:AM260)</f>
        <v>55963.06</v>
      </c>
      <c r="AN261" s="312"/>
      <c r="AO261" s="312">
        <f>SUM(AO244:AO260)</f>
        <v>0</v>
      </c>
      <c r="AP261" s="312">
        <f>SUM(AP244:AP260)</f>
        <v>0</v>
      </c>
      <c r="AQ261" s="312">
        <f>SUM(AQ244:AQ260)</f>
        <v>233650.26</v>
      </c>
      <c r="AR261" s="312"/>
      <c r="AS261" s="312">
        <f>SUM(AS244:AS260)</f>
        <v>131533.59999999998</v>
      </c>
      <c r="AT261" s="312">
        <f>SUM(AT244:AT260)</f>
        <v>154497.99999999997</v>
      </c>
      <c r="AU261" s="312">
        <f>SUM(AU244:AU260)</f>
        <v>5</v>
      </c>
      <c r="AV261" s="312"/>
      <c r="AW261" s="312">
        <f>SUM(AW244:AW260)</f>
        <v>118649</v>
      </c>
      <c r="AX261" s="312"/>
      <c r="AY261" s="312">
        <f>SUM(AY244:AY260)</f>
        <v>0</v>
      </c>
      <c r="AZ261" s="312">
        <f>SUM(AZ244:AZ260)</f>
        <v>0</v>
      </c>
      <c r="BA261" s="312">
        <f>SUM(BA244:BA260)</f>
        <v>273146.99999999994</v>
      </c>
      <c r="BB261" s="312">
        <f>BC261/C261</f>
        <v>71863.329473684193</v>
      </c>
      <c r="BC261" s="312">
        <f>SUM(BC244:BC260)</f>
        <v>1365403.2599999998</v>
      </c>
      <c r="BD261" s="286">
        <f t="shared" si="180"/>
        <v>23954.44315789473</v>
      </c>
      <c r="BE261" s="314"/>
      <c r="BF261" s="315">
        <f t="shared" ref="BF261:BM261" si="199">SUM(BF244:BF260)</f>
        <v>0</v>
      </c>
      <c r="BG261" s="315">
        <f t="shared" si="199"/>
        <v>0</v>
      </c>
      <c r="BH261" s="315">
        <f t="shared" si="199"/>
        <v>0</v>
      </c>
      <c r="BI261" s="315">
        <f t="shared" si="199"/>
        <v>0</v>
      </c>
      <c r="BJ261" s="315">
        <f t="shared" si="199"/>
        <v>0</v>
      </c>
      <c r="BK261" s="315">
        <f t="shared" si="199"/>
        <v>0</v>
      </c>
      <c r="BL261" s="315">
        <f t="shared" si="199"/>
        <v>1365403.2599999998</v>
      </c>
      <c r="BM261" s="315">
        <f t="shared" si="199"/>
        <v>0</v>
      </c>
    </row>
    <row r="262" spans="1:67" s="287" customFormat="1" ht="8.25" customHeight="1" x14ac:dyDescent="0.25">
      <c r="A262" s="276"/>
      <c r="B262" s="317"/>
      <c r="C262" s="318"/>
      <c r="D262" s="319"/>
      <c r="E262" s="319"/>
      <c r="F262" s="319"/>
      <c r="G262" s="319"/>
      <c r="H262" s="319"/>
      <c r="I262" s="319"/>
      <c r="J262" s="319"/>
      <c r="K262" s="319"/>
      <c r="L262" s="319"/>
      <c r="M262" s="320"/>
      <c r="N262" s="319"/>
      <c r="O262" s="319"/>
      <c r="P262" s="319"/>
      <c r="Q262" s="319"/>
      <c r="R262" s="320"/>
      <c r="S262" s="320"/>
      <c r="T262" s="319"/>
      <c r="U262" s="321"/>
      <c r="V262" s="319"/>
      <c r="W262" s="319"/>
      <c r="X262" s="321"/>
      <c r="Y262" s="321"/>
      <c r="Z262" s="321"/>
      <c r="AA262" s="321"/>
      <c r="AB262" s="321"/>
      <c r="AC262" s="321"/>
      <c r="AD262" s="321"/>
      <c r="AE262" s="321"/>
      <c r="AF262" s="321"/>
      <c r="AG262" s="321"/>
      <c r="AH262" s="321"/>
      <c r="AI262" s="321"/>
      <c r="AJ262" s="321"/>
      <c r="AK262" s="321"/>
      <c r="AL262" s="321"/>
      <c r="AM262" s="321"/>
      <c r="AN262" s="321"/>
      <c r="AO262" s="321"/>
      <c r="AP262" s="321"/>
      <c r="AQ262" s="321"/>
      <c r="AR262" s="319"/>
      <c r="AS262" s="319"/>
      <c r="AT262" s="320"/>
      <c r="AU262" s="319"/>
      <c r="AV262" s="319"/>
      <c r="AW262" s="319"/>
      <c r="AX262" s="319"/>
      <c r="AY262" s="319"/>
      <c r="AZ262" s="320"/>
      <c r="BA262" s="321"/>
      <c r="BB262" s="321"/>
      <c r="BC262" s="322"/>
      <c r="BD262" s="286"/>
      <c r="BE262" s="314"/>
      <c r="BF262" s="323"/>
      <c r="BG262" s="323"/>
      <c r="BH262" s="323"/>
      <c r="BI262" s="323"/>
      <c r="BJ262" s="323"/>
      <c r="BK262" s="323"/>
      <c r="BL262" s="323"/>
      <c r="BM262" s="323"/>
    </row>
    <row r="263" spans="1:67" s="275" customFormat="1" ht="21" customHeight="1" x14ac:dyDescent="0.25">
      <c r="A263" s="270" t="s">
        <v>230</v>
      </c>
      <c r="B263" s="324" t="s">
        <v>231</v>
      </c>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c r="AQ263" s="272"/>
      <c r="AR263" s="272"/>
      <c r="AS263" s="272"/>
      <c r="AT263" s="272"/>
      <c r="AU263" s="272"/>
      <c r="AV263" s="272"/>
      <c r="AW263" s="272"/>
      <c r="AX263" s="272"/>
      <c r="AY263" s="272"/>
      <c r="AZ263" s="272"/>
      <c r="BA263" s="272"/>
      <c r="BB263" s="272"/>
      <c r="BC263" s="273"/>
      <c r="BD263" s="286"/>
      <c r="BE263" s="274"/>
    </row>
    <row r="264" spans="1:67" s="275" customFormat="1" ht="14.25" x14ac:dyDescent="0.25">
      <c r="A264" s="270"/>
      <c r="B264" s="271" t="s">
        <v>232</v>
      </c>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272"/>
      <c r="AJ264" s="272"/>
      <c r="AK264" s="272"/>
      <c r="AL264" s="272"/>
      <c r="AM264" s="272"/>
      <c r="AN264" s="272"/>
      <c r="AO264" s="272"/>
      <c r="AP264" s="272"/>
      <c r="AQ264" s="272"/>
      <c r="AR264" s="272"/>
      <c r="AS264" s="272"/>
      <c r="AT264" s="272"/>
      <c r="AU264" s="272"/>
      <c r="AV264" s="272"/>
      <c r="AW264" s="272"/>
      <c r="AX264" s="272"/>
      <c r="AY264" s="272"/>
      <c r="AZ264" s="272"/>
      <c r="BA264" s="272"/>
      <c r="BB264" s="272"/>
      <c r="BC264" s="273"/>
      <c r="BD264" s="286"/>
      <c r="BE264" s="274"/>
    </row>
    <row r="265" spans="1:67" s="275" customFormat="1" ht="19.5" customHeight="1" x14ac:dyDescent="0.25">
      <c r="A265" s="270"/>
      <c r="B265" s="325" t="s">
        <v>233</v>
      </c>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326"/>
      <c r="AS265" s="326"/>
      <c r="AT265" s="326"/>
      <c r="AU265" s="326"/>
      <c r="AV265" s="326"/>
      <c r="AW265" s="326"/>
      <c r="AX265" s="326"/>
      <c r="AY265" s="326"/>
      <c r="AZ265" s="326"/>
      <c r="BA265" s="326"/>
      <c r="BB265" s="326"/>
      <c r="BC265" s="327"/>
      <c r="BD265" s="286"/>
      <c r="BE265" s="274"/>
    </row>
    <row r="266" spans="1:67" s="287" customFormat="1" x14ac:dyDescent="0.25">
      <c r="A266" s="276"/>
      <c r="B266" s="288" t="s">
        <v>234</v>
      </c>
      <c r="C266" s="278">
        <v>1</v>
      </c>
      <c r="D266" s="279"/>
      <c r="E266" s="279"/>
      <c r="F266" s="328"/>
      <c r="G266" s="328"/>
      <c r="H266" s="279">
        <v>1</v>
      </c>
      <c r="I266" s="328"/>
      <c r="J266" s="279"/>
      <c r="K266" s="279"/>
      <c r="L266" s="277"/>
      <c r="M266" s="280">
        <f>M$248</f>
        <v>3028</v>
      </c>
      <c r="N266" s="281">
        <f>N$244</f>
        <v>2</v>
      </c>
      <c r="O266" s="277">
        <v>2.2999999999999998</v>
      </c>
      <c r="P266" s="282">
        <f>P$244</f>
        <v>1.58</v>
      </c>
      <c r="Q266" s="277"/>
      <c r="R266" s="283">
        <f>$R$244</f>
        <v>477</v>
      </c>
      <c r="S266" s="280">
        <f t="shared" ref="S266:S271" si="200">T266/(R266/1)</f>
        <v>46.138364779874216</v>
      </c>
      <c r="T266" s="425">
        <f t="shared" ref="T266:T271" si="201">ROUND(M266*N266*O266*P266,0)</f>
        <v>22008</v>
      </c>
      <c r="U266" s="284">
        <f t="shared" ref="U266:U271" si="202">T266*C266*2</f>
        <v>44016</v>
      </c>
      <c r="V266" s="277">
        <v>30</v>
      </c>
      <c r="W266" s="285"/>
      <c r="X266" s="285">
        <f t="shared" ref="X266:X271" si="203">U266*V266%</f>
        <v>13204.8</v>
      </c>
      <c r="Y266" s="277"/>
      <c r="Z266" s="277"/>
      <c r="AA266" s="277"/>
      <c r="AB266" s="277"/>
      <c r="AC266" s="277"/>
      <c r="AD266" s="277"/>
      <c r="AE266" s="277"/>
      <c r="AF266" s="277"/>
      <c r="AG266" s="277"/>
      <c r="AH266" s="277"/>
      <c r="AI266" s="277"/>
      <c r="AJ266" s="277"/>
      <c r="AK266" s="277">
        <v>7</v>
      </c>
      <c r="AL266" s="277"/>
      <c r="AM266" s="285">
        <f t="shared" ref="AM266:AM271" si="204">T266*AK266%*2</f>
        <v>3081.1200000000003</v>
      </c>
      <c r="AN266" s="277"/>
      <c r="AO266" s="277"/>
      <c r="AP266" s="285"/>
      <c r="AQ266" s="284">
        <f t="shared" ref="AQ266:AQ271" si="205">X266+AA266+AD266+AG266+AJ266+AM266+AP266</f>
        <v>16285.92</v>
      </c>
      <c r="AR266" s="277">
        <f>AR$29</f>
        <v>20</v>
      </c>
      <c r="AS266" s="277">
        <f t="shared" ref="AS266:AS271" si="206">AT266/C266</f>
        <v>8803.2000000000007</v>
      </c>
      <c r="AT266" s="283">
        <f t="shared" ref="AT266:AT271" si="207">(U266)*AR266%</f>
        <v>8803.2000000000007</v>
      </c>
      <c r="AU266" s="277"/>
      <c r="AV266" s="277">
        <v>100</v>
      </c>
      <c r="AW266" s="277">
        <f t="shared" ref="AW266:AW271" si="208">AU266*T266</f>
        <v>0</v>
      </c>
      <c r="AX266" s="277"/>
      <c r="AY266" s="277"/>
      <c r="AZ266" s="283"/>
      <c r="BA266" s="284">
        <f t="shared" ref="BA266:BA271" si="209">AT266+AW266+AZ266</f>
        <v>8803.2000000000007</v>
      </c>
      <c r="BB266" s="284">
        <f t="shared" ref="BB266:BB271" si="210">BC266/C266</f>
        <v>69105.119999999995</v>
      </c>
      <c r="BC266" s="284">
        <f t="shared" ref="BC266:BC271" si="211">BA266+AQ266+U266</f>
        <v>69105.119999999995</v>
      </c>
      <c r="BD266" s="286">
        <f t="shared" si="180"/>
        <v>23035.039999999997</v>
      </c>
      <c r="BE266" s="286"/>
      <c r="BF266" s="241">
        <f>IF(D266=1,BC266,0)</f>
        <v>0</v>
      </c>
      <c r="BG266" s="241">
        <f>IF(E266=1,BC266,0)</f>
        <v>0</v>
      </c>
      <c r="BH266" s="241">
        <f>IF(F266=1,BC266,0)</f>
        <v>0</v>
      </c>
      <c r="BI266" s="241">
        <f>IF(G266=1,BC266,0)</f>
        <v>0</v>
      </c>
      <c r="BJ266" s="251">
        <f>IF(H266=1,BC266,0)</f>
        <v>69105.119999999995</v>
      </c>
      <c r="BK266" s="251">
        <f>IF(I266=1,BC266,0)</f>
        <v>0</v>
      </c>
      <c r="BL266" s="251">
        <f>IF(J266=1,BC266,0)</f>
        <v>0</v>
      </c>
      <c r="BM266" s="241">
        <f>IF(K266=1,BC266,0)</f>
        <v>0</v>
      </c>
    </row>
    <row r="267" spans="1:67" s="287" customFormat="1" x14ac:dyDescent="0.25">
      <c r="A267" s="276"/>
      <c r="B267" s="290" t="s">
        <v>235</v>
      </c>
      <c r="C267" s="278">
        <v>1</v>
      </c>
      <c r="D267" s="279"/>
      <c r="E267" s="279"/>
      <c r="F267" s="328"/>
      <c r="G267" s="328"/>
      <c r="H267" s="279">
        <v>1</v>
      </c>
      <c r="I267" s="328"/>
      <c r="J267" s="279"/>
      <c r="K267" s="279"/>
      <c r="L267" s="277"/>
      <c r="M267" s="280">
        <f>M$35</f>
        <v>3028</v>
      </c>
      <c r="N267" s="281">
        <f>N$29</f>
        <v>2</v>
      </c>
      <c r="O267" s="293">
        <v>2</v>
      </c>
      <c r="P267" s="282">
        <f>P$244</f>
        <v>1.58</v>
      </c>
      <c r="Q267" s="277"/>
      <c r="R267" s="283">
        <f>$R$244</f>
        <v>477</v>
      </c>
      <c r="S267" s="280">
        <f t="shared" si="200"/>
        <v>40.119496855345915</v>
      </c>
      <c r="T267" s="425">
        <f t="shared" si="201"/>
        <v>19137</v>
      </c>
      <c r="U267" s="284">
        <f t="shared" si="202"/>
        <v>38274</v>
      </c>
      <c r="V267" s="277">
        <v>20</v>
      </c>
      <c r="W267" s="285"/>
      <c r="X267" s="285">
        <f t="shared" si="203"/>
        <v>7654.8</v>
      </c>
      <c r="Y267" s="277"/>
      <c r="Z267" s="277"/>
      <c r="AA267" s="277"/>
      <c r="AB267" s="277"/>
      <c r="AC267" s="277"/>
      <c r="AD267" s="277"/>
      <c r="AE267" s="277"/>
      <c r="AF267" s="277"/>
      <c r="AG267" s="277"/>
      <c r="AH267" s="277"/>
      <c r="AI267" s="277"/>
      <c r="AJ267" s="277"/>
      <c r="AK267" s="277">
        <v>15</v>
      </c>
      <c r="AL267" s="277"/>
      <c r="AM267" s="285">
        <f t="shared" si="204"/>
        <v>5741.0999999999995</v>
      </c>
      <c r="AN267" s="277"/>
      <c r="AO267" s="277"/>
      <c r="AP267" s="285"/>
      <c r="AQ267" s="284">
        <f t="shared" si="205"/>
        <v>13395.9</v>
      </c>
      <c r="AR267" s="277">
        <f>AR$29</f>
        <v>20</v>
      </c>
      <c r="AS267" s="277">
        <f t="shared" si="206"/>
        <v>7654.8</v>
      </c>
      <c r="AT267" s="283">
        <f t="shared" si="207"/>
        <v>7654.8</v>
      </c>
      <c r="AU267" s="277"/>
      <c r="AV267" s="277">
        <v>100</v>
      </c>
      <c r="AW267" s="277">
        <f t="shared" si="208"/>
        <v>0</v>
      </c>
      <c r="AX267" s="277"/>
      <c r="AY267" s="277"/>
      <c r="AZ267" s="283"/>
      <c r="BA267" s="284">
        <f t="shared" si="209"/>
        <v>7654.8</v>
      </c>
      <c r="BB267" s="284">
        <f t="shared" si="210"/>
        <v>59324.7</v>
      </c>
      <c r="BC267" s="284">
        <f t="shared" si="211"/>
        <v>59324.7</v>
      </c>
      <c r="BD267" s="286">
        <f t="shared" si="180"/>
        <v>19774.899999999998</v>
      </c>
      <c r="BE267" s="286"/>
      <c r="BF267" s="241"/>
      <c r="BG267" s="241"/>
      <c r="BH267" s="241"/>
      <c r="BI267" s="241"/>
      <c r="BJ267" s="251"/>
      <c r="BK267" s="251"/>
      <c r="BL267" s="251"/>
      <c r="BM267" s="241"/>
    </row>
    <row r="268" spans="1:67" s="287" customFormat="1" ht="28.5" x14ac:dyDescent="0.25">
      <c r="A268" s="276"/>
      <c r="B268" s="288" t="s">
        <v>236</v>
      </c>
      <c r="C268" s="278">
        <v>1</v>
      </c>
      <c r="D268" s="279"/>
      <c r="E268" s="279"/>
      <c r="F268" s="328"/>
      <c r="G268" s="328"/>
      <c r="H268" s="279">
        <v>1</v>
      </c>
      <c r="I268" s="328"/>
      <c r="J268" s="279"/>
      <c r="K268" s="279"/>
      <c r="L268" s="277"/>
      <c r="M268" s="280">
        <f>M$35</f>
        <v>3028</v>
      </c>
      <c r="N268" s="281">
        <f>N$29</f>
        <v>2</v>
      </c>
      <c r="O268" s="277">
        <v>1.9</v>
      </c>
      <c r="P268" s="282">
        <f>P$244</f>
        <v>1.58</v>
      </c>
      <c r="Q268" s="277"/>
      <c r="R268" s="283">
        <f>$R$244</f>
        <v>477</v>
      </c>
      <c r="S268" s="280">
        <f t="shared" si="200"/>
        <v>38.113207547169814</v>
      </c>
      <c r="T268" s="425">
        <f t="shared" si="201"/>
        <v>18180</v>
      </c>
      <c r="U268" s="284">
        <f t="shared" si="202"/>
        <v>36360</v>
      </c>
      <c r="V268" s="277">
        <v>20</v>
      </c>
      <c r="W268" s="285"/>
      <c r="X268" s="285">
        <f t="shared" si="203"/>
        <v>7272</v>
      </c>
      <c r="Y268" s="277"/>
      <c r="Z268" s="277"/>
      <c r="AA268" s="277"/>
      <c r="AB268" s="277"/>
      <c r="AC268" s="277"/>
      <c r="AD268" s="277"/>
      <c r="AE268" s="277"/>
      <c r="AF268" s="277"/>
      <c r="AG268" s="277"/>
      <c r="AH268" s="277"/>
      <c r="AI268" s="277"/>
      <c r="AJ268" s="277"/>
      <c r="AK268" s="277">
        <v>10</v>
      </c>
      <c r="AL268" s="277"/>
      <c r="AM268" s="285">
        <f t="shared" si="204"/>
        <v>3636</v>
      </c>
      <c r="AN268" s="277"/>
      <c r="AO268" s="277"/>
      <c r="AP268" s="285"/>
      <c r="AQ268" s="284">
        <f t="shared" si="205"/>
        <v>10908</v>
      </c>
      <c r="AR268" s="277">
        <f>AR$29</f>
        <v>20</v>
      </c>
      <c r="AS268" s="277">
        <f t="shared" si="206"/>
        <v>7272</v>
      </c>
      <c r="AT268" s="283">
        <f t="shared" si="207"/>
        <v>7272</v>
      </c>
      <c r="AU268" s="277">
        <v>1</v>
      </c>
      <c r="AV268" s="277">
        <v>100</v>
      </c>
      <c r="AW268" s="277">
        <f t="shared" si="208"/>
        <v>18180</v>
      </c>
      <c r="AX268" s="277"/>
      <c r="AY268" s="277"/>
      <c r="AZ268" s="283"/>
      <c r="BA268" s="284">
        <f t="shared" si="209"/>
        <v>25452</v>
      </c>
      <c r="BB268" s="284">
        <f t="shared" si="210"/>
        <v>72720</v>
      </c>
      <c r="BC268" s="284">
        <f t="shared" si="211"/>
        <v>72720</v>
      </c>
      <c r="BD268" s="286">
        <f t="shared" si="180"/>
        <v>24240</v>
      </c>
      <c r="BE268" s="286"/>
      <c r="BF268" s="241"/>
      <c r="BG268" s="241"/>
      <c r="BH268" s="241"/>
      <c r="BI268" s="241"/>
      <c r="BJ268" s="251"/>
      <c r="BK268" s="251"/>
      <c r="BL268" s="251"/>
      <c r="BM268" s="241"/>
    </row>
    <row r="269" spans="1:67" s="301" customFormat="1" x14ac:dyDescent="0.25">
      <c r="A269" s="289"/>
      <c r="B269" s="277" t="s">
        <v>237</v>
      </c>
      <c r="C269" s="278">
        <v>1</v>
      </c>
      <c r="D269" s="279"/>
      <c r="E269" s="279"/>
      <c r="F269" s="328"/>
      <c r="G269" s="328"/>
      <c r="H269" s="279">
        <v>1</v>
      </c>
      <c r="I269" s="328"/>
      <c r="J269" s="279"/>
      <c r="K269" s="279"/>
      <c r="L269" s="277"/>
      <c r="M269" s="280">
        <f>M$35</f>
        <v>3028</v>
      </c>
      <c r="N269" s="281">
        <f>N$29</f>
        <v>2</v>
      </c>
      <c r="O269" s="277">
        <v>1.9</v>
      </c>
      <c r="P269" s="295">
        <f>P$244</f>
        <v>1.58</v>
      </c>
      <c r="Q269" s="293"/>
      <c r="R269" s="296">
        <f>$R$244</f>
        <v>477</v>
      </c>
      <c r="S269" s="294">
        <f t="shared" si="200"/>
        <v>38.113207547169814</v>
      </c>
      <c r="T269" s="291">
        <f t="shared" si="201"/>
        <v>18180</v>
      </c>
      <c r="U269" s="297">
        <f t="shared" si="202"/>
        <v>36360</v>
      </c>
      <c r="V269" s="293">
        <v>20</v>
      </c>
      <c r="W269" s="298"/>
      <c r="X269" s="298">
        <f t="shared" si="203"/>
        <v>7272</v>
      </c>
      <c r="Y269" s="293"/>
      <c r="Z269" s="293"/>
      <c r="AA269" s="293"/>
      <c r="AB269" s="293"/>
      <c r="AC269" s="293"/>
      <c r="AD269" s="293"/>
      <c r="AE269" s="293"/>
      <c r="AF269" s="293"/>
      <c r="AG269" s="293"/>
      <c r="AH269" s="293"/>
      <c r="AI269" s="293"/>
      <c r="AJ269" s="293"/>
      <c r="AK269" s="293"/>
      <c r="AL269" s="293"/>
      <c r="AM269" s="285">
        <f t="shared" si="204"/>
        <v>0</v>
      </c>
      <c r="AN269" s="293"/>
      <c r="AO269" s="293"/>
      <c r="AP269" s="293"/>
      <c r="AQ269" s="297">
        <f t="shared" si="205"/>
        <v>7272</v>
      </c>
      <c r="AR269" s="293">
        <f>AR$29</f>
        <v>20</v>
      </c>
      <c r="AS269" s="293">
        <f t="shared" si="206"/>
        <v>7272</v>
      </c>
      <c r="AT269" s="296">
        <f t="shared" si="207"/>
        <v>7272</v>
      </c>
      <c r="AU269" s="293"/>
      <c r="AV269" s="293">
        <v>100</v>
      </c>
      <c r="AW269" s="293">
        <f t="shared" si="208"/>
        <v>0</v>
      </c>
      <c r="AX269" s="293"/>
      <c r="AY269" s="293"/>
      <c r="AZ269" s="296"/>
      <c r="BA269" s="297">
        <f t="shared" si="209"/>
        <v>7272</v>
      </c>
      <c r="BB269" s="297">
        <f t="shared" si="210"/>
        <v>50904</v>
      </c>
      <c r="BC269" s="297">
        <f t="shared" si="211"/>
        <v>50904</v>
      </c>
      <c r="BD269" s="299">
        <f t="shared" si="180"/>
        <v>16968</v>
      </c>
      <c r="BE269" s="299"/>
      <c r="BF269" s="377">
        <f>IF(D269=1,BC269,0)</f>
        <v>0</v>
      </c>
      <c r="BG269" s="377">
        <f>IF(E269=1,BC269,0)</f>
        <v>0</v>
      </c>
      <c r="BH269" s="377">
        <f>IF(F269=1,BC269,0)</f>
        <v>0</v>
      </c>
      <c r="BI269" s="377">
        <f>IF(G269=1,BC269,0)</f>
        <v>0</v>
      </c>
      <c r="BJ269" s="300">
        <f>IF(H269=1,BC269,0)</f>
        <v>50904</v>
      </c>
      <c r="BK269" s="300">
        <f>IF(I269=1,BC269,0)</f>
        <v>0</v>
      </c>
      <c r="BL269" s="300">
        <f>IF(J269=1,BC269,0)</f>
        <v>0</v>
      </c>
      <c r="BM269" s="377">
        <f>IF(K269=1,BC269,0)</f>
        <v>0</v>
      </c>
    </row>
    <row r="270" spans="1:67" s="287" customFormat="1" x14ac:dyDescent="0.25">
      <c r="A270" s="276"/>
      <c r="B270" s="288" t="s">
        <v>238</v>
      </c>
      <c r="C270" s="425">
        <v>1</v>
      </c>
      <c r="D270" s="279"/>
      <c r="E270" s="279"/>
      <c r="F270" s="279"/>
      <c r="G270" s="279"/>
      <c r="H270" s="279"/>
      <c r="I270" s="279">
        <v>1</v>
      </c>
      <c r="J270" s="279"/>
      <c r="K270" s="279"/>
      <c r="L270" s="277"/>
      <c r="M270" s="280">
        <f>M$35</f>
        <v>3028</v>
      </c>
      <c r="N270" s="281">
        <f>N$29</f>
        <v>2</v>
      </c>
      <c r="O270" s="277">
        <v>2</v>
      </c>
      <c r="P270" s="282">
        <f>P$244</f>
        <v>1.58</v>
      </c>
      <c r="Q270" s="282"/>
      <c r="R270" s="283">
        <f>$R$244</f>
        <v>477</v>
      </c>
      <c r="S270" s="280">
        <f t="shared" si="200"/>
        <v>40.119496855345915</v>
      </c>
      <c r="T270" s="425">
        <f t="shared" si="201"/>
        <v>19137</v>
      </c>
      <c r="U270" s="284">
        <f t="shared" si="202"/>
        <v>38274</v>
      </c>
      <c r="V270" s="277">
        <v>20</v>
      </c>
      <c r="W270" s="285"/>
      <c r="X270" s="285">
        <f t="shared" si="203"/>
        <v>7654.8</v>
      </c>
      <c r="Y270" s="277"/>
      <c r="Z270" s="277"/>
      <c r="AA270" s="277"/>
      <c r="AB270" s="277"/>
      <c r="AC270" s="277"/>
      <c r="AD270" s="277"/>
      <c r="AE270" s="277"/>
      <c r="AF270" s="277"/>
      <c r="AG270" s="277"/>
      <c r="AH270" s="277"/>
      <c r="AI270" s="277"/>
      <c r="AJ270" s="277"/>
      <c r="AK270" s="277"/>
      <c r="AL270" s="277"/>
      <c r="AM270" s="285">
        <f t="shared" si="204"/>
        <v>0</v>
      </c>
      <c r="AN270" s="277"/>
      <c r="AO270" s="277"/>
      <c r="AP270" s="277"/>
      <c r="AQ270" s="284">
        <f t="shared" si="205"/>
        <v>7654.8</v>
      </c>
      <c r="AR270" s="277">
        <f>AR$29</f>
        <v>20</v>
      </c>
      <c r="AS270" s="285">
        <f t="shared" si="206"/>
        <v>7654.8</v>
      </c>
      <c r="AT270" s="280">
        <f t="shared" si="207"/>
        <v>7654.8</v>
      </c>
      <c r="AU270" s="277"/>
      <c r="AV270" s="277">
        <v>100</v>
      </c>
      <c r="AW270" s="277">
        <f t="shared" si="208"/>
        <v>0</v>
      </c>
      <c r="AX270" s="277"/>
      <c r="AY270" s="285"/>
      <c r="AZ270" s="280"/>
      <c r="BA270" s="284">
        <f t="shared" si="209"/>
        <v>7654.8</v>
      </c>
      <c r="BB270" s="284">
        <f t="shared" si="210"/>
        <v>53583.6</v>
      </c>
      <c r="BC270" s="284">
        <f t="shared" si="211"/>
        <v>53583.6</v>
      </c>
      <c r="BD270" s="286">
        <f>BC270/C270/3</f>
        <v>17861.2</v>
      </c>
      <c r="BE270" s="286"/>
      <c r="BF270" s="251">
        <f>IF(D270=1,BC270,0)</f>
        <v>0</v>
      </c>
      <c r="BG270" s="251">
        <f>IF(E270=1,BC270,0)</f>
        <v>0</v>
      </c>
      <c r="BH270" s="251">
        <f>IF(F270=1,BC270,0)</f>
        <v>0</v>
      </c>
      <c r="BI270" s="251">
        <f>IF(G270=1,BC270,0)</f>
        <v>0</v>
      </c>
      <c r="BJ270" s="251">
        <f>IF(H270=1,BC270,0)</f>
        <v>0</v>
      </c>
      <c r="BK270" s="251">
        <f>IF(I270=1,BC270,0)</f>
        <v>53583.6</v>
      </c>
      <c r="BL270" s="251">
        <f>IF(J270=1,BC270,0)</f>
        <v>0</v>
      </c>
      <c r="BM270" s="251">
        <f>IF(K270=1,BC270,0)</f>
        <v>0</v>
      </c>
    </row>
    <row r="271" spans="1:67" s="301" customFormat="1" x14ac:dyDescent="0.25">
      <c r="A271" s="289"/>
      <c r="B271" s="290" t="s">
        <v>242</v>
      </c>
      <c r="C271" s="278">
        <v>1</v>
      </c>
      <c r="D271" s="279"/>
      <c r="E271" s="279"/>
      <c r="F271" s="279"/>
      <c r="G271" s="279"/>
      <c r="H271" s="279"/>
      <c r="I271" s="279"/>
      <c r="J271" s="279">
        <v>1</v>
      </c>
      <c r="K271" s="279"/>
      <c r="L271" s="277"/>
      <c r="M271" s="280">
        <f t="shared" ref="M271:M278" si="212">M$35</f>
        <v>3028</v>
      </c>
      <c r="N271" s="281">
        <f t="shared" ref="N271:N278" si="213">N$29</f>
        <v>2</v>
      </c>
      <c r="O271" s="295">
        <v>1.7</v>
      </c>
      <c r="P271" s="282">
        <f t="shared" ref="P271:P278" si="214">P$244</f>
        <v>1.58</v>
      </c>
      <c r="Q271" s="293"/>
      <c r="R271" s="296">
        <f t="shared" ref="R271:R281" si="215">$R$244</f>
        <v>477</v>
      </c>
      <c r="S271" s="294">
        <f t="shared" si="200"/>
        <v>34.100628930817614</v>
      </c>
      <c r="T271" s="291">
        <f t="shared" si="201"/>
        <v>16266</v>
      </c>
      <c r="U271" s="297">
        <f t="shared" si="202"/>
        <v>32532</v>
      </c>
      <c r="V271" s="293"/>
      <c r="W271" s="298"/>
      <c r="X271" s="298">
        <f t="shared" si="203"/>
        <v>0</v>
      </c>
      <c r="Y271" s="293"/>
      <c r="Z271" s="293"/>
      <c r="AA271" s="293"/>
      <c r="AB271" s="293"/>
      <c r="AC271" s="293"/>
      <c r="AD271" s="293"/>
      <c r="AE271" s="293"/>
      <c r="AF271" s="293"/>
      <c r="AG271" s="293"/>
      <c r="AH271" s="293"/>
      <c r="AI271" s="293"/>
      <c r="AJ271" s="293"/>
      <c r="AK271" s="277">
        <v>7</v>
      </c>
      <c r="AL271" s="293"/>
      <c r="AM271" s="298">
        <f t="shared" si="204"/>
        <v>2277.2400000000002</v>
      </c>
      <c r="AN271" s="293"/>
      <c r="AO271" s="293"/>
      <c r="AP271" s="293"/>
      <c r="AQ271" s="297">
        <f t="shared" si="205"/>
        <v>2277.2400000000002</v>
      </c>
      <c r="AR271" s="293">
        <f t="shared" ref="AR271:AR280" si="216">AR$29</f>
        <v>20</v>
      </c>
      <c r="AS271" s="293">
        <f t="shared" si="206"/>
        <v>6506.4000000000005</v>
      </c>
      <c r="AT271" s="296">
        <f t="shared" si="207"/>
        <v>6506.4000000000005</v>
      </c>
      <c r="AU271" s="293">
        <v>1</v>
      </c>
      <c r="AV271" s="293">
        <v>100</v>
      </c>
      <c r="AW271" s="293">
        <f t="shared" si="208"/>
        <v>16266</v>
      </c>
      <c r="AX271" s="293"/>
      <c r="AY271" s="293"/>
      <c r="AZ271" s="431"/>
      <c r="BA271" s="297">
        <f t="shared" si="209"/>
        <v>22772.400000000001</v>
      </c>
      <c r="BB271" s="297">
        <f t="shared" si="210"/>
        <v>57581.64</v>
      </c>
      <c r="BC271" s="297">
        <f t="shared" si="211"/>
        <v>57581.64</v>
      </c>
      <c r="BD271" s="299">
        <f>BC271/C271/3</f>
        <v>19193.88</v>
      </c>
      <c r="BE271" s="299"/>
      <c r="BF271" s="300">
        <f>IF(D271=1,BC271,0)</f>
        <v>0</v>
      </c>
      <c r="BG271" s="300">
        <f>IF(E271=1,BC271,0)</f>
        <v>0</v>
      </c>
      <c r="BH271" s="300">
        <f>IF(F271=1,BC271,0)</f>
        <v>0</v>
      </c>
      <c r="BI271" s="300">
        <f>IF(G271=1,BC271,0)</f>
        <v>0</v>
      </c>
      <c r="BJ271" s="300">
        <f>IF(H271=1,BC271,0)</f>
        <v>0</v>
      </c>
      <c r="BK271" s="300">
        <f>IF(I271=1,BC271,0)</f>
        <v>0</v>
      </c>
      <c r="BL271" s="300">
        <f>IF(J271=1,BC271,0)</f>
        <v>57581.64</v>
      </c>
      <c r="BM271" s="300">
        <f>IF(K271=1,BC271,0)</f>
        <v>0</v>
      </c>
      <c r="BO271" s="301">
        <f>BC271/2/C271</f>
        <v>28790.82</v>
      </c>
    </row>
    <row r="272" spans="1:67" s="316" customFormat="1" x14ac:dyDescent="0.25">
      <c r="A272" s="306"/>
      <c r="B272" s="307" t="s">
        <v>229</v>
      </c>
      <c r="C272" s="329">
        <f>SUM(C266:C271)</f>
        <v>6</v>
      </c>
      <c r="D272" s="330"/>
      <c r="E272" s="330"/>
      <c r="F272" s="330"/>
      <c r="G272" s="330"/>
      <c r="H272" s="330"/>
      <c r="I272" s="330"/>
      <c r="J272" s="330"/>
      <c r="K272" s="330"/>
      <c r="L272" s="307"/>
      <c r="M272" s="331"/>
      <c r="N272" s="307"/>
      <c r="O272" s="307"/>
      <c r="P272" s="332"/>
      <c r="Q272" s="307"/>
      <c r="R272" s="331"/>
      <c r="S272" s="331"/>
      <c r="T272" s="349">
        <f>U272/2</f>
        <v>112908</v>
      </c>
      <c r="U272" s="284">
        <f>SUM(U266:U271)</f>
        <v>225816</v>
      </c>
      <c r="V272" s="329"/>
      <c r="W272" s="307"/>
      <c r="X272" s="284">
        <f>SUM(X266:X271)</f>
        <v>43058.400000000001</v>
      </c>
      <c r="Y272" s="284"/>
      <c r="Z272" s="284">
        <f>SUM(Z266:Z269)</f>
        <v>0</v>
      </c>
      <c r="AA272" s="284">
        <f>SUM(AA266:AA271)</f>
        <v>0</v>
      </c>
      <c r="AB272" s="284"/>
      <c r="AC272" s="284"/>
      <c r="AD272" s="284">
        <f>SUM(AD266:AD271)</f>
        <v>0</v>
      </c>
      <c r="AE272" s="284"/>
      <c r="AF272" s="284">
        <f>SUM(AF266:AF269)</f>
        <v>0</v>
      </c>
      <c r="AG272" s="284">
        <f>SUM(AG266:AG271)</f>
        <v>0</v>
      </c>
      <c r="AH272" s="284"/>
      <c r="AI272" s="284">
        <f>SUM(AI266:AI269)</f>
        <v>0</v>
      </c>
      <c r="AJ272" s="284">
        <f>SUM(AJ266:AJ271)</f>
        <v>0</v>
      </c>
      <c r="AK272" s="284"/>
      <c r="AL272" s="284">
        <f>SUM(AL266:AL269)</f>
        <v>0</v>
      </c>
      <c r="AM272" s="284">
        <f>SUM(AM266:AM271)</f>
        <v>14735.46</v>
      </c>
      <c r="AN272" s="284"/>
      <c r="AO272" s="284">
        <f>SUM(AO266:AO269)</f>
        <v>0</v>
      </c>
      <c r="AP272" s="284">
        <f>SUM(AP266:AP271)</f>
        <v>0</v>
      </c>
      <c r="AQ272" s="284">
        <f>SUM(AQ266:AQ271)</f>
        <v>57793.86</v>
      </c>
      <c r="AR272" s="284"/>
      <c r="AS272" s="284">
        <f>SUM(AS266:AS269)</f>
        <v>31002</v>
      </c>
      <c r="AT272" s="284">
        <f>SUM(AT266:AT271)</f>
        <v>45163.200000000004</v>
      </c>
      <c r="AU272" s="284">
        <f>SUM(AU266:AU271)</f>
        <v>2</v>
      </c>
      <c r="AV272" s="284"/>
      <c r="AW272" s="284">
        <f>SUM(AW266:AW271)</f>
        <v>34446</v>
      </c>
      <c r="AX272" s="284"/>
      <c r="AY272" s="284">
        <f>SUM(AY266:AY269)</f>
        <v>0</v>
      </c>
      <c r="AZ272" s="284">
        <f>SUM(AZ266:AZ271)</f>
        <v>0</v>
      </c>
      <c r="BA272" s="284">
        <f>SUM(BA266:BA271)</f>
        <v>79609.200000000012</v>
      </c>
      <c r="BB272" s="284">
        <f>SUM(BB266:BB271)</f>
        <v>363219.06</v>
      </c>
      <c r="BC272" s="284">
        <f>SUM(BC266:BC271)</f>
        <v>363219.06</v>
      </c>
      <c r="BD272" s="286">
        <f t="shared" si="180"/>
        <v>20178.836666666666</v>
      </c>
      <c r="BE272" s="286"/>
      <c r="BF272" s="316">
        <f t="shared" ref="BF272:BM272" si="217">SUM(BF266:BF269)</f>
        <v>0</v>
      </c>
      <c r="BG272" s="316">
        <f t="shared" si="217"/>
        <v>0</v>
      </c>
      <c r="BH272" s="316">
        <f t="shared" si="217"/>
        <v>0</v>
      </c>
      <c r="BI272" s="316">
        <f t="shared" si="217"/>
        <v>0</v>
      </c>
      <c r="BJ272" s="316">
        <f t="shared" si="217"/>
        <v>120009.12</v>
      </c>
      <c r="BK272" s="316">
        <f t="shared" si="217"/>
        <v>0</v>
      </c>
      <c r="BL272" s="316">
        <f t="shared" si="217"/>
        <v>0</v>
      </c>
      <c r="BM272" s="316">
        <f t="shared" si="217"/>
        <v>0</v>
      </c>
    </row>
    <row r="273" spans="1:67" s="287" customFormat="1" ht="18" customHeight="1" x14ac:dyDescent="0.25">
      <c r="A273" s="270"/>
      <c r="B273" s="334" t="s">
        <v>239</v>
      </c>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6"/>
      <c r="AL273" s="336"/>
      <c r="AM273" s="434"/>
      <c r="AN273" s="335"/>
      <c r="AO273" s="335"/>
      <c r="AP273" s="335"/>
      <c r="AQ273" s="335"/>
      <c r="AR273" s="335"/>
      <c r="AS273" s="335"/>
      <c r="AT273" s="335"/>
      <c r="AU273" s="335"/>
      <c r="AV273" s="335"/>
      <c r="AW273" s="335"/>
      <c r="AX273" s="335"/>
      <c r="AY273" s="335"/>
      <c r="AZ273" s="335"/>
      <c r="BA273" s="335"/>
      <c r="BB273" s="335"/>
      <c r="BC273" s="362"/>
      <c r="BD273" s="286"/>
      <c r="BE273" s="274"/>
      <c r="BF273" s="338" t="e">
        <f>BC283-#REF!</f>
        <v>#REF!</v>
      </c>
    </row>
    <row r="274" spans="1:67" s="287" customFormat="1" ht="19.5" customHeight="1" x14ac:dyDescent="0.25">
      <c r="A274" s="276"/>
      <c r="B274" s="288" t="s">
        <v>240</v>
      </c>
      <c r="C274" s="278">
        <v>3</v>
      </c>
      <c r="D274" s="279"/>
      <c r="E274" s="279"/>
      <c r="F274" s="328"/>
      <c r="G274" s="328"/>
      <c r="H274" s="279">
        <v>1</v>
      </c>
      <c r="I274" s="328"/>
      <c r="J274" s="328"/>
      <c r="K274" s="279"/>
      <c r="L274" s="277">
        <v>4</v>
      </c>
      <c r="M274" s="280">
        <f t="shared" si="212"/>
        <v>3028</v>
      </c>
      <c r="N274" s="281">
        <f t="shared" si="213"/>
        <v>2</v>
      </c>
      <c r="O274" s="277">
        <v>1.43</v>
      </c>
      <c r="P274" s="282">
        <f t="shared" si="214"/>
        <v>1.58</v>
      </c>
      <c r="Q274" s="277"/>
      <c r="R274" s="283">
        <f t="shared" si="215"/>
        <v>477</v>
      </c>
      <c r="S274" s="280">
        <f t="shared" ref="S274:S281" si="218">T274/(R274/1)</f>
        <v>28.685534591194969</v>
      </c>
      <c r="T274" s="425">
        <f>ROUND(M274*N274*O274*P274,0)</f>
        <v>13683</v>
      </c>
      <c r="U274" s="284">
        <f>T274*C274*2</f>
        <v>82098</v>
      </c>
      <c r="V274" s="277">
        <v>16</v>
      </c>
      <c r="W274" s="285"/>
      <c r="X274" s="285">
        <f t="shared" ref="X274:X281" si="219">U274*V274%</f>
        <v>13135.68</v>
      </c>
      <c r="Y274" s="277">
        <v>4</v>
      </c>
      <c r="Z274" s="285"/>
      <c r="AA274" s="285">
        <f>U274*Y274%</f>
        <v>3283.92</v>
      </c>
      <c r="AB274" s="277"/>
      <c r="AC274" s="277"/>
      <c r="AD274" s="277"/>
      <c r="AE274" s="277"/>
      <c r="AF274" s="277"/>
      <c r="AG274" s="277"/>
      <c r="AH274" s="277"/>
      <c r="AI274" s="277"/>
      <c r="AJ274" s="277"/>
      <c r="AK274" s="277">
        <v>7</v>
      </c>
      <c r="AL274" s="277"/>
      <c r="AM274" s="285">
        <f>T274*AK274%*2</f>
        <v>1915.6200000000001</v>
      </c>
      <c r="AN274" s="277"/>
      <c r="AO274" s="277"/>
      <c r="AP274" s="277"/>
      <c r="AQ274" s="284">
        <f t="shared" ref="AQ274:AQ282" si="220">X274+AA274+AD274+AG274+AJ274+AM274+AP274</f>
        <v>18335.219999999998</v>
      </c>
      <c r="AR274" s="277">
        <f t="shared" si="216"/>
        <v>20</v>
      </c>
      <c r="AS274" s="277">
        <f t="shared" ref="AS274:AS281" si="221">AT274/C274</f>
        <v>5473.2000000000007</v>
      </c>
      <c r="AT274" s="283">
        <f t="shared" ref="AT274:AT281" si="222">(U274)*AR274%</f>
        <v>16419.600000000002</v>
      </c>
      <c r="AU274" s="277">
        <v>1</v>
      </c>
      <c r="AV274" s="277">
        <v>100</v>
      </c>
      <c r="AW274" s="277">
        <f t="shared" ref="AW274:AW281" si="223">AU274*T274</f>
        <v>13683</v>
      </c>
      <c r="AX274" s="277"/>
      <c r="AY274" s="277"/>
      <c r="AZ274" s="283"/>
      <c r="BA274" s="284">
        <f t="shared" ref="BA274:BA281" si="224">AT274+AW274+AZ274</f>
        <v>30102.600000000002</v>
      </c>
      <c r="BB274" s="284">
        <f t="shared" ref="BB274:BB281" si="225">BC274/C274</f>
        <v>43511.94</v>
      </c>
      <c r="BC274" s="284">
        <f t="shared" ref="BC274:BC281" si="226">BA274+AQ274+U274</f>
        <v>130535.82</v>
      </c>
      <c r="BD274" s="286">
        <f t="shared" si="180"/>
        <v>14503.980000000001</v>
      </c>
      <c r="BE274" s="286"/>
      <c r="BF274" s="241">
        <f t="shared" ref="BF274:BF281" si="227">IF(D274=1,BC274,0)</f>
        <v>0</v>
      </c>
      <c r="BG274" s="241">
        <f t="shared" ref="BG274:BG281" si="228">IF(E274=1,BC274,0)</f>
        <v>0</v>
      </c>
      <c r="BH274" s="241">
        <f t="shared" ref="BH274:BH281" si="229">IF(F274=1,BC274,0)</f>
        <v>0</v>
      </c>
      <c r="BI274" s="241">
        <f t="shared" ref="BI274:BI281" si="230">IF(G274=1,BC274,0)</f>
        <v>0</v>
      </c>
      <c r="BJ274" s="251">
        <f t="shared" ref="BJ274:BJ281" si="231">IF(H274=1,BC274,0)</f>
        <v>130535.82</v>
      </c>
      <c r="BK274" s="241">
        <f t="shared" ref="BK274:BK282" si="232">IF(I274=1,BC274,0)</f>
        <v>0</v>
      </c>
      <c r="BL274" s="241">
        <f t="shared" ref="BL274:BL282" si="233">IF(J274=1,BC274,0)</f>
        <v>0</v>
      </c>
      <c r="BM274" s="241">
        <f t="shared" ref="BM274:BM282" si="234">IF(K274=1,BC274,0)</f>
        <v>0</v>
      </c>
    </row>
    <row r="275" spans="1:67" s="287" customFormat="1" ht="19.5" customHeight="1" x14ac:dyDescent="0.25">
      <c r="A275" s="276"/>
      <c r="B275" s="288" t="s">
        <v>240</v>
      </c>
      <c r="C275" s="278">
        <v>8</v>
      </c>
      <c r="D275" s="279"/>
      <c r="E275" s="279"/>
      <c r="F275" s="328"/>
      <c r="G275" s="328"/>
      <c r="H275" s="279">
        <v>1</v>
      </c>
      <c r="I275" s="328"/>
      <c r="J275" s="328"/>
      <c r="K275" s="279"/>
      <c r="L275" s="277">
        <v>4</v>
      </c>
      <c r="M275" s="280">
        <f t="shared" si="212"/>
        <v>3028</v>
      </c>
      <c r="N275" s="281">
        <f t="shared" si="213"/>
        <v>2</v>
      </c>
      <c r="O275" s="277">
        <v>1.43</v>
      </c>
      <c r="P275" s="282">
        <f t="shared" si="214"/>
        <v>1.58</v>
      </c>
      <c r="Q275" s="277"/>
      <c r="R275" s="283">
        <f t="shared" si="215"/>
        <v>477</v>
      </c>
      <c r="S275" s="280">
        <f t="shared" si="218"/>
        <v>28.685534591194969</v>
      </c>
      <c r="T275" s="425">
        <f t="shared" ref="T275:T281" si="235">ROUND(M275*N275*O275*P275,0)</f>
        <v>13683</v>
      </c>
      <c r="U275" s="284">
        <f t="shared" ref="U275:U282" si="236">T275*C275*2</f>
        <v>218928</v>
      </c>
      <c r="V275" s="277">
        <v>16</v>
      </c>
      <c r="W275" s="285"/>
      <c r="X275" s="285">
        <f t="shared" si="219"/>
        <v>35028.480000000003</v>
      </c>
      <c r="Y275" s="277">
        <v>4</v>
      </c>
      <c r="Z275" s="285"/>
      <c r="AA275" s="285">
        <f>U275*Y275%</f>
        <v>8757.1200000000008</v>
      </c>
      <c r="AB275" s="277">
        <v>20</v>
      </c>
      <c r="AC275" s="277"/>
      <c r="AD275" s="340">
        <f>SUM([3]ночн.празд!T7:T8)</f>
        <v>8617.9704610770968</v>
      </c>
      <c r="AE275" s="341">
        <v>35</v>
      </c>
      <c r="AF275" s="340"/>
      <c r="AG275" s="340">
        <f>SUM([3]ночн.празд!U7:U8)</f>
        <v>30162.896613769833</v>
      </c>
      <c r="AH275" s="341">
        <v>200</v>
      </c>
      <c r="AI275" s="340"/>
      <c r="AJ275" s="340">
        <f>SUM([3]ночн.празд!R7:S8)</f>
        <v>52422.71948019493</v>
      </c>
      <c r="AK275" s="277"/>
      <c r="AL275" s="277"/>
      <c r="AM275" s="285">
        <f>T275*AK275%*2</f>
        <v>0</v>
      </c>
      <c r="AN275" s="277"/>
      <c r="AO275" s="277"/>
      <c r="AP275" s="277"/>
      <c r="AQ275" s="284">
        <f t="shared" si="220"/>
        <v>134989.18655504187</v>
      </c>
      <c r="AR275" s="277">
        <f t="shared" si="216"/>
        <v>20</v>
      </c>
      <c r="AS275" s="277">
        <f t="shared" si="221"/>
        <v>5473.2000000000007</v>
      </c>
      <c r="AT275" s="283">
        <f t="shared" si="222"/>
        <v>43785.600000000006</v>
      </c>
      <c r="AU275" s="277">
        <v>2</v>
      </c>
      <c r="AV275" s="277">
        <v>100</v>
      </c>
      <c r="AW275" s="277">
        <f t="shared" si="223"/>
        <v>27366</v>
      </c>
      <c r="AX275" s="277"/>
      <c r="AY275" s="277"/>
      <c r="AZ275" s="283"/>
      <c r="BA275" s="284">
        <f t="shared" si="224"/>
        <v>71151.600000000006</v>
      </c>
      <c r="BB275" s="284">
        <f t="shared" si="225"/>
        <v>53133.598319380239</v>
      </c>
      <c r="BC275" s="284">
        <f t="shared" si="226"/>
        <v>425068.78655504191</v>
      </c>
      <c r="BD275" s="286">
        <f t="shared" si="180"/>
        <v>17711.199439793414</v>
      </c>
      <c r="BE275" s="286"/>
      <c r="BF275" s="241">
        <f t="shared" si="227"/>
        <v>0</v>
      </c>
      <c r="BG275" s="241">
        <f t="shared" si="228"/>
        <v>0</v>
      </c>
      <c r="BH275" s="241">
        <f t="shared" si="229"/>
        <v>0</v>
      </c>
      <c r="BI275" s="241">
        <f t="shared" si="230"/>
        <v>0</v>
      </c>
      <c r="BJ275" s="251">
        <f t="shared" si="231"/>
        <v>425068.78655504191</v>
      </c>
      <c r="BK275" s="241">
        <f t="shared" si="232"/>
        <v>0</v>
      </c>
      <c r="BL275" s="241">
        <f t="shared" si="233"/>
        <v>0</v>
      </c>
      <c r="BM275" s="241">
        <f t="shared" si="234"/>
        <v>0</v>
      </c>
    </row>
    <row r="276" spans="1:67" s="287" customFormat="1" ht="19.5" customHeight="1" x14ac:dyDescent="0.25">
      <c r="A276" s="276"/>
      <c r="B276" s="288" t="s">
        <v>240</v>
      </c>
      <c r="C276" s="278">
        <v>3</v>
      </c>
      <c r="D276" s="279"/>
      <c r="E276" s="279"/>
      <c r="F276" s="328"/>
      <c r="G276" s="328"/>
      <c r="H276" s="279">
        <v>1</v>
      </c>
      <c r="I276" s="328"/>
      <c r="J276" s="328"/>
      <c r="K276" s="279"/>
      <c r="L276" s="277">
        <v>5</v>
      </c>
      <c r="M276" s="280">
        <f t="shared" si="212"/>
        <v>3028</v>
      </c>
      <c r="N276" s="281">
        <f t="shared" si="213"/>
        <v>2</v>
      </c>
      <c r="O276" s="277">
        <v>1.67</v>
      </c>
      <c r="P276" s="282">
        <f t="shared" si="214"/>
        <v>1.58</v>
      </c>
      <c r="Q276" s="277"/>
      <c r="R276" s="283">
        <f t="shared" si="215"/>
        <v>477</v>
      </c>
      <c r="S276" s="280">
        <f t="shared" si="218"/>
        <v>33.498951781970646</v>
      </c>
      <c r="T276" s="425">
        <f t="shared" si="235"/>
        <v>15979</v>
      </c>
      <c r="U276" s="284">
        <f t="shared" si="236"/>
        <v>95874</v>
      </c>
      <c r="V276" s="277">
        <v>20</v>
      </c>
      <c r="W276" s="285"/>
      <c r="X276" s="285">
        <f t="shared" si="219"/>
        <v>19174.8</v>
      </c>
      <c r="Y276" s="277">
        <v>4</v>
      </c>
      <c r="Z276" s="285"/>
      <c r="AA276" s="285">
        <f>U276*Y276%</f>
        <v>3834.96</v>
      </c>
      <c r="AB276" s="277"/>
      <c r="AC276" s="277"/>
      <c r="AD276" s="277"/>
      <c r="AE276" s="277"/>
      <c r="AF276" s="277"/>
      <c r="AG276" s="277"/>
      <c r="AH276" s="277"/>
      <c r="AI276" s="277"/>
      <c r="AJ276" s="277"/>
      <c r="AK276" s="277">
        <f>(10+10+15)/3</f>
        <v>11.666666666666666</v>
      </c>
      <c r="AL276" s="277"/>
      <c r="AM276" s="342">
        <f>3*T276*AK276%*2</f>
        <v>11185.3</v>
      </c>
      <c r="AN276" s="277"/>
      <c r="AO276" s="277"/>
      <c r="AP276" s="277"/>
      <c r="AQ276" s="284">
        <f t="shared" si="220"/>
        <v>34195.06</v>
      </c>
      <c r="AR276" s="277">
        <f t="shared" si="216"/>
        <v>20</v>
      </c>
      <c r="AS276" s="277">
        <f t="shared" si="221"/>
        <v>6391.5999999999995</v>
      </c>
      <c r="AT276" s="283">
        <f t="shared" si="222"/>
        <v>19174.8</v>
      </c>
      <c r="AU276" s="277"/>
      <c r="AV276" s="277">
        <v>100</v>
      </c>
      <c r="AW276" s="277">
        <f t="shared" si="223"/>
        <v>0</v>
      </c>
      <c r="AX276" s="277"/>
      <c r="AY276" s="277"/>
      <c r="AZ276" s="283"/>
      <c r="BA276" s="284">
        <f t="shared" si="224"/>
        <v>19174.8</v>
      </c>
      <c r="BB276" s="284">
        <f t="shared" si="225"/>
        <v>49747.953333333331</v>
      </c>
      <c r="BC276" s="284">
        <f t="shared" si="226"/>
        <v>149243.85999999999</v>
      </c>
      <c r="BD276" s="286">
        <f t="shared" si="180"/>
        <v>16582.65111111111</v>
      </c>
      <c r="BE276" s="286"/>
      <c r="BF276" s="241">
        <f t="shared" si="227"/>
        <v>0</v>
      </c>
      <c r="BG276" s="241">
        <f t="shared" si="228"/>
        <v>0</v>
      </c>
      <c r="BH276" s="241">
        <f t="shared" si="229"/>
        <v>0</v>
      </c>
      <c r="BI276" s="241">
        <f t="shared" si="230"/>
        <v>0</v>
      </c>
      <c r="BJ276" s="251">
        <f t="shared" si="231"/>
        <v>149243.85999999999</v>
      </c>
      <c r="BK276" s="241">
        <f t="shared" si="232"/>
        <v>0</v>
      </c>
      <c r="BL276" s="241">
        <f t="shared" si="233"/>
        <v>0</v>
      </c>
      <c r="BM276" s="241">
        <f t="shared" si="234"/>
        <v>0</v>
      </c>
    </row>
    <row r="277" spans="1:67" s="287" customFormat="1" ht="19.5" customHeight="1" x14ac:dyDescent="0.25">
      <c r="A277" s="276"/>
      <c r="B277" s="288" t="s">
        <v>240</v>
      </c>
      <c r="C277" s="278">
        <v>4</v>
      </c>
      <c r="D277" s="279"/>
      <c r="E277" s="279"/>
      <c r="F277" s="328"/>
      <c r="G277" s="328"/>
      <c r="H277" s="279">
        <v>1</v>
      </c>
      <c r="I277" s="328"/>
      <c r="J277" s="328"/>
      <c r="K277" s="279"/>
      <c r="L277" s="277">
        <v>5</v>
      </c>
      <c r="M277" s="280">
        <f t="shared" si="212"/>
        <v>3028</v>
      </c>
      <c r="N277" s="281">
        <f t="shared" si="213"/>
        <v>2</v>
      </c>
      <c r="O277" s="277">
        <v>1.67</v>
      </c>
      <c r="P277" s="282">
        <f t="shared" si="214"/>
        <v>1.58</v>
      </c>
      <c r="Q277" s="277"/>
      <c r="R277" s="283">
        <f t="shared" si="215"/>
        <v>477</v>
      </c>
      <c r="S277" s="280">
        <f t="shared" si="218"/>
        <v>33.498951781970646</v>
      </c>
      <c r="T277" s="425">
        <f t="shared" si="235"/>
        <v>15979</v>
      </c>
      <c r="U277" s="284">
        <f t="shared" si="236"/>
        <v>127832</v>
      </c>
      <c r="V277" s="277">
        <v>20</v>
      </c>
      <c r="W277" s="285"/>
      <c r="X277" s="285">
        <f t="shared" si="219"/>
        <v>25566.400000000001</v>
      </c>
      <c r="Y277" s="277">
        <v>4</v>
      </c>
      <c r="Z277" s="285"/>
      <c r="AA277" s="285">
        <f>U277*Y277%</f>
        <v>5113.28</v>
      </c>
      <c r="AB277" s="277">
        <v>20</v>
      </c>
      <c r="AC277" s="277"/>
      <c r="AD277" s="340">
        <f>SUM([3]ночн.празд!L7:L8)</f>
        <v>5032.0306218501401</v>
      </c>
      <c r="AE277" s="341">
        <v>35</v>
      </c>
      <c r="AF277" s="340"/>
      <c r="AG277" s="340">
        <f>SUM([3]ночн.празд!M7:M8)</f>
        <v>17612.107176475489</v>
      </c>
      <c r="AH277" s="341">
        <v>200</v>
      </c>
      <c r="AI277" s="340"/>
      <c r="AJ277" s="340">
        <f>SUM([3]ночн.празд!J7:K8)</f>
        <v>40100.241909284028</v>
      </c>
      <c r="AK277" s="277">
        <f>(7+7)/2</f>
        <v>7</v>
      </c>
      <c r="AL277" s="277"/>
      <c r="AM277" s="285">
        <f>2*T277*AK277%*2</f>
        <v>4474.1200000000008</v>
      </c>
      <c r="AN277" s="277"/>
      <c r="AO277" s="277"/>
      <c r="AP277" s="277"/>
      <c r="AQ277" s="284">
        <f t="shared" si="220"/>
        <v>97898.179707609655</v>
      </c>
      <c r="AR277" s="277">
        <f t="shared" si="216"/>
        <v>20</v>
      </c>
      <c r="AS277" s="277">
        <f t="shared" si="221"/>
        <v>6391.6</v>
      </c>
      <c r="AT277" s="283">
        <f t="shared" si="222"/>
        <v>25566.400000000001</v>
      </c>
      <c r="AU277" s="277">
        <v>1</v>
      </c>
      <c r="AV277" s="277">
        <v>100</v>
      </c>
      <c r="AW277" s="277">
        <f t="shared" si="223"/>
        <v>15979</v>
      </c>
      <c r="AX277" s="277"/>
      <c r="AY277" s="277"/>
      <c r="AZ277" s="283"/>
      <c r="BA277" s="284">
        <f t="shared" si="224"/>
        <v>41545.4</v>
      </c>
      <c r="BB277" s="284">
        <f t="shared" si="225"/>
        <v>66818.894926902416</v>
      </c>
      <c r="BC277" s="284">
        <f t="shared" si="226"/>
        <v>267275.57970760966</v>
      </c>
      <c r="BD277" s="286">
        <f t="shared" si="180"/>
        <v>22272.964975634139</v>
      </c>
      <c r="BE277" s="286"/>
      <c r="BF277" s="241">
        <f t="shared" si="227"/>
        <v>0</v>
      </c>
      <c r="BG277" s="241">
        <f t="shared" si="228"/>
        <v>0</v>
      </c>
      <c r="BH277" s="241">
        <f t="shared" si="229"/>
        <v>0</v>
      </c>
      <c r="BI277" s="241">
        <f t="shared" si="230"/>
        <v>0</v>
      </c>
      <c r="BJ277" s="251">
        <f t="shared" si="231"/>
        <v>267275.57970760966</v>
      </c>
      <c r="BK277" s="241">
        <f t="shared" si="232"/>
        <v>0</v>
      </c>
      <c r="BL277" s="241">
        <f t="shared" si="233"/>
        <v>0</v>
      </c>
      <c r="BM277" s="241">
        <f t="shared" si="234"/>
        <v>0</v>
      </c>
    </row>
    <row r="278" spans="1:67" s="287" customFormat="1" x14ac:dyDescent="0.25">
      <c r="A278" s="276"/>
      <c r="B278" s="288" t="s">
        <v>241</v>
      </c>
      <c r="C278" s="278">
        <v>2</v>
      </c>
      <c r="D278" s="279"/>
      <c r="E278" s="279"/>
      <c r="F278" s="328"/>
      <c r="G278" s="328"/>
      <c r="H278" s="279">
        <v>1</v>
      </c>
      <c r="I278" s="328"/>
      <c r="J278" s="328"/>
      <c r="K278" s="279"/>
      <c r="L278" s="277">
        <v>5</v>
      </c>
      <c r="M278" s="280">
        <f t="shared" si="212"/>
        <v>3028</v>
      </c>
      <c r="N278" s="281">
        <f t="shared" si="213"/>
        <v>2</v>
      </c>
      <c r="O278" s="277">
        <v>1.67</v>
      </c>
      <c r="P278" s="282">
        <f t="shared" si="214"/>
        <v>1.58</v>
      </c>
      <c r="Q278" s="277"/>
      <c r="R278" s="283">
        <f t="shared" si="215"/>
        <v>477</v>
      </c>
      <c r="S278" s="280">
        <f t="shared" si="218"/>
        <v>33.498951781970646</v>
      </c>
      <c r="T278" s="425">
        <f t="shared" si="235"/>
        <v>15979</v>
      </c>
      <c r="U278" s="284">
        <f t="shared" si="236"/>
        <v>63916</v>
      </c>
      <c r="V278" s="277">
        <v>20</v>
      </c>
      <c r="W278" s="285"/>
      <c r="X278" s="285">
        <f t="shared" si="219"/>
        <v>12783.2</v>
      </c>
      <c r="Y278" s="277">
        <v>8</v>
      </c>
      <c r="Z278" s="285"/>
      <c r="AA278" s="285">
        <f>U278*Y278%</f>
        <v>5113.28</v>
      </c>
      <c r="AB278" s="277"/>
      <c r="AC278" s="277"/>
      <c r="AD278" s="277"/>
      <c r="AE278" s="277"/>
      <c r="AF278" s="277"/>
      <c r="AG278" s="277"/>
      <c r="AH278" s="277"/>
      <c r="AI278" s="277"/>
      <c r="AJ278" s="277"/>
      <c r="AK278" s="277">
        <f>(30+10)/2</f>
        <v>20</v>
      </c>
      <c r="AL278" s="277"/>
      <c r="AM278" s="342">
        <f>2*T278*AK278%*2</f>
        <v>12783.2</v>
      </c>
      <c r="AN278" s="277"/>
      <c r="AO278" s="277"/>
      <c r="AP278" s="277"/>
      <c r="AQ278" s="284">
        <f t="shared" si="220"/>
        <v>30679.68</v>
      </c>
      <c r="AR278" s="277">
        <f t="shared" si="216"/>
        <v>20</v>
      </c>
      <c r="AS278" s="277">
        <f t="shared" si="221"/>
        <v>6391.6</v>
      </c>
      <c r="AT278" s="283">
        <f t="shared" si="222"/>
        <v>12783.2</v>
      </c>
      <c r="AU278" s="277"/>
      <c r="AV278" s="277">
        <v>100</v>
      </c>
      <c r="AW278" s="277">
        <f t="shared" si="223"/>
        <v>0</v>
      </c>
      <c r="AX278" s="277"/>
      <c r="AY278" s="277"/>
      <c r="AZ278" s="283"/>
      <c r="BA278" s="284">
        <f t="shared" si="224"/>
        <v>12783.2</v>
      </c>
      <c r="BB278" s="284">
        <f t="shared" si="225"/>
        <v>53689.440000000002</v>
      </c>
      <c r="BC278" s="284">
        <f t="shared" si="226"/>
        <v>107378.88</v>
      </c>
      <c r="BD278" s="286">
        <f t="shared" si="180"/>
        <v>17896.48</v>
      </c>
      <c r="BE278" s="286"/>
      <c r="BF278" s="251">
        <f t="shared" si="227"/>
        <v>0</v>
      </c>
      <c r="BG278" s="251">
        <f t="shared" si="228"/>
        <v>0</v>
      </c>
      <c r="BH278" s="251">
        <f t="shared" si="229"/>
        <v>0</v>
      </c>
      <c r="BI278" s="251">
        <f t="shared" si="230"/>
        <v>0</v>
      </c>
      <c r="BJ278" s="251">
        <f t="shared" si="231"/>
        <v>107378.88</v>
      </c>
      <c r="BK278" s="251">
        <f t="shared" si="232"/>
        <v>0</v>
      </c>
      <c r="BL278" s="251">
        <f t="shared" si="233"/>
        <v>0</v>
      </c>
      <c r="BM278" s="251">
        <f t="shared" si="234"/>
        <v>0</v>
      </c>
    </row>
    <row r="279" spans="1:67" x14ac:dyDescent="0.25">
      <c r="A279" s="344"/>
      <c r="B279" s="288" t="s">
        <v>243</v>
      </c>
      <c r="C279" s="393">
        <v>1</v>
      </c>
      <c r="D279" s="279"/>
      <c r="E279" s="279"/>
      <c r="F279" s="328"/>
      <c r="G279" s="328"/>
      <c r="H279" s="279">
        <v>1</v>
      </c>
      <c r="I279" s="328"/>
      <c r="J279" s="328"/>
      <c r="K279" s="279"/>
      <c r="L279" s="277"/>
      <c r="M279" s="280">
        <f>M$248</f>
        <v>3028</v>
      </c>
      <c r="N279" s="281">
        <f>N$244</f>
        <v>2</v>
      </c>
      <c r="O279" s="277">
        <v>1.86</v>
      </c>
      <c r="P279" s="282">
        <v>1</v>
      </c>
      <c r="Q279" s="277"/>
      <c r="R279" s="283">
        <f t="shared" si="215"/>
        <v>477</v>
      </c>
      <c r="S279" s="280">
        <f t="shared" si="218"/>
        <v>23.614255765199161</v>
      </c>
      <c r="T279" s="425">
        <f t="shared" si="235"/>
        <v>11264</v>
      </c>
      <c r="U279" s="284">
        <f t="shared" si="236"/>
        <v>22528</v>
      </c>
      <c r="V279" s="277"/>
      <c r="W279" s="285"/>
      <c r="X279" s="285">
        <f t="shared" si="219"/>
        <v>0</v>
      </c>
      <c r="Y279" s="277"/>
      <c r="Z279" s="277"/>
      <c r="AA279" s="277"/>
      <c r="AB279" s="345"/>
      <c r="AC279" s="345"/>
      <c r="AD279" s="345"/>
      <c r="AE279" s="345"/>
      <c r="AF279" s="345"/>
      <c r="AG279" s="345"/>
      <c r="AH279" s="345"/>
      <c r="AI279" s="345"/>
      <c r="AJ279" s="345"/>
      <c r="AK279" s="277"/>
      <c r="AL279" s="285"/>
      <c r="AM279" s="298">
        <f>T279*AK279%*2</f>
        <v>0</v>
      </c>
      <c r="AN279" s="277">
        <v>25</v>
      </c>
      <c r="AO279" s="285"/>
      <c r="AP279" s="285">
        <f>U279*AN279%</f>
        <v>5632</v>
      </c>
      <c r="AQ279" s="284">
        <f t="shared" si="220"/>
        <v>5632</v>
      </c>
      <c r="AR279" s="277">
        <f t="shared" si="216"/>
        <v>20</v>
      </c>
      <c r="AS279" s="277">
        <f t="shared" si="221"/>
        <v>4505.6000000000004</v>
      </c>
      <c r="AT279" s="283">
        <f t="shared" si="222"/>
        <v>4505.6000000000004</v>
      </c>
      <c r="AU279" s="277"/>
      <c r="AV279" s="277">
        <v>100</v>
      </c>
      <c r="AW279" s="277">
        <f t="shared" si="223"/>
        <v>0</v>
      </c>
      <c r="AX279" s="277"/>
      <c r="AY279" s="277"/>
      <c r="AZ279" s="304"/>
      <c r="BA279" s="284">
        <f t="shared" si="224"/>
        <v>4505.6000000000004</v>
      </c>
      <c r="BB279" s="284">
        <f t="shared" si="225"/>
        <v>32665.599999999999</v>
      </c>
      <c r="BC279" s="284">
        <f t="shared" si="226"/>
        <v>32665.599999999999</v>
      </c>
      <c r="BD279" s="286">
        <f t="shared" si="180"/>
        <v>10888.533333333333</v>
      </c>
      <c r="BE279" s="286"/>
      <c r="BF279" s="251">
        <f t="shared" si="227"/>
        <v>0</v>
      </c>
      <c r="BG279" s="251">
        <f t="shared" si="228"/>
        <v>0</v>
      </c>
      <c r="BH279" s="251">
        <f t="shared" si="229"/>
        <v>0</v>
      </c>
      <c r="BI279" s="251">
        <f t="shared" si="230"/>
        <v>0</v>
      </c>
      <c r="BJ279" s="251">
        <f t="shared" si="231"/>
        <v>32665.599999999999</v>
      </c>
      <c r="BK279" s="251">
        <f t="shared" si="232"/>
        <v>0</v>
      </c>
      <c r="BL279" s="251">
        <f t="shared" si="233"/>
        <v>0</v>
      </c>
      <c r="BM279" s="251">
        <f t="shared" si="234"/>
        <v>0</v>
      </c>
      <c r="BO279" s="301">
        <f>BC279/2/C279</f>
        <v>16332.8</v>
      </c>
    </row>
    <row r="280" spans="1:67" s="377" customFormat="1" x14ac:dyDescent="0.25">
      <c r="A280" s="375"/>
      <c r="B280" s="290" t="s">
        <v>243</v>
      </c>
      <c r="C280" s="448">
        <v>1</v>
      </c>
      <c r="D280" s="292"/>
      <c r="E280" s="292"/>
      <c r="F280" s="456"/>
      <c r="G280" s="456"/>
      <c r="H280" s="292">
        <v>1</v>
      </c>
      <c r="I280" s="456"/>
      <c r="J280" s="456"/>
      <c r="K280" s="292"/>
      <c r="L280" s="293"/>
      <c r="M280" s="294">
        <f>M$248</f>
        <v>3028</v>
      </c>
      <c r="N280" s="429">
        <f>N$244</f>
        <v>2</v>
      </c>
      <c r="O280" s="293">
        <v>1.8</v>
      </c>
      <c r="P280" s="295">
        <v>1</v>
      </c>
      <c r="Q280" s="293"/>
      <c r="R280" s="296">
        <f t="shared" si="215"/>
        <v>477</v>
      </c>
      <c r="S280" s="294">
        <f t="shared" si="218"/>
        <v>22.853249475890987</v>
      </c>
      <c r="T280" s="291">
        <f>ROUND(M280*N280*O280*P280,0)</f>
        <v>10901</v>
      </c>
      <c r="U280" s="297">
        <f t="shared" si="236"/>
        <v>21802</v>
      </c>
      <c r="V280" s="293"/>
      <c r="W280" s="298"/>
      <c r="X280" s="298">
        <f>U280*V280%</f>
        <v>0</v>
      </c>
      <c r="Y280" s="293"/>
      <c r="Z280" s="293"/>
      <c r="AA280" s="293"/>
      <c r="AB280" s="457"/>
      <c r="AC280" s="457"/>
      <c r="AD280" s="457"/>
      <c r="AE280" s="457"/>
      <c r="AF280" s="457"/>
      <c r="AG280" s="457"/>
      <c r="AH280" s="457"/>
      <c r="AI280" s="457"/>
      <c r="AJ280" s="457"/>
      <c r="AK280" s="277">
        <v>7</v>
      </c>
      <c r="AL280" s="298"/>
      <c r="AM280" s="298">
        <f>T280*AK280%*2</f>
        <v>1526.14</v>
      </c>
      <c r="AN280" s="293">
        <v>25</v>
      </c>
      <c r="AO280" s="298"/>
      <c r="AP280" s="298">
        <f>U280*AN280%</f>
        <v>5450.5</v>
      </c>
      <c r="AQ280" s="297">
        <f t="shared" si="220"/>
        <v>6976.64</v>
      </c>
      <c r="AR280" s="293">
        <f t="shared" si="216"/>
        <v>20</v>
      </c>
      <c r="AS280" s="293">
        <f t="shared" si="221"/>
        <v>4360.4000000000005</v>
      </c>
      <c r="AT280" s="296">
        <f t="shared" si="222"/>
        <v>4360.4000000000005</v>
      </c>
      <c r="AU280" s="293">
        <v>1</v>
      </c>
      <c r="AV280" s="293">
        <v>100</v>
      </c>
      <c r="AW280" s="293">
        <f t="shared" si="223"/>
        <v>10901</v>
      </c>
      <c r="AX280" s="293"/>
      <c r="AY280" s="293"/>
      <c r="AZ280" s="431"/>
      <c r="BA280" s="297">
        <f>AT280+AW280+AZ280</f>
        <v>15261.400000000001</v>
      </c>
      <c r="BB280" s="297">
        <f t="shared" si="225"/>
        <v>44040.04</v>
      </c>
      <c r="BC280" s="297">
        <f t="shared" si="226"/>
        <v>44040.04</v>
      </c>
      <c r="BD280" s="299">
        <f t="shared" si="180"/>
        <v>14680.013333333334</v>
      </c>
      <c r="BE280" s="299"/>
      <c r="BF280" s="300">
        <f t="shared" si="227"/>
        <v>0</v>
      </c>
      <c r="BG280" s="300">
        <f t="shared" si="228"/>
        <v>0</v>
      </c>
      <c r="BH280" s="300">
        <f t="shared" si="229"/>
        <v>0</v>
      </c>
      <c r="BI280" s="300">
        <f t="shared" si="230"/>
        <v>0</v>
      </c>
      <c r="BJ280" s="300">
        <f t="shared" si="231"/>
        <v>44040.04</v>
      </c>
      <c r="BK280" s="300">
        <f t="shared" si="232"/>
        <v>0</v>
      </c>
      <c r="BL280" s="300">
        <f t="shared" si="233"/>
        <v>0</v>
      </c>
      <c r="BM280" s="300">
        <f t="shared" si="234"/>
        <v>0</v>
      </c>
      <c r="BO280" s="301">
        <f>BC280/2/C280</f>
        <v>22020.02</v>
      </c>
    </row>
    <row r="281" spans="1:67" x14ac:dyDescent="0.25">
      <c r="A281" s="344"/>
      <c r="B281" s="288" t="s">
        <v>244</v>
      </c>
      <c r="C281" s="393">
        <v>1</v>
      </c>
      <c r="D281" s="279"/>
      <c r="E281" s="279"/>
      <c r="F281" s="328"/>
      <c r="G281" s="328"/>
      <c r="H281" s="279">
        <v>1</v>
      </c>
      <c r="I281" s="328"/>
      <c r="J281" s="328"/>
      <c r="K281" s="279"/>
      <c r="L281" s="277">
        <v>5</v>
      </c>
      <c r="M281" s="280">
        <f>M$248</f>
        <v>3028</v>
      </c>
      <c r="N281" s="281">
        <f>N$244</f>
        <v>2</v>
      </c>
      <c r="O281" s="277">
        <v>1.67</v>
      </c>
      <c r="P281" s="282">
        <f>P$244</f>
        <v>1.58</v>
      </c>
      <c r="Q281" s="277"/>
      <c r="R281" s="283">
        <f t="shared" si="215"/>
        <v>477</v>
      </c>
      <c r="S281" s="280">
        <f t="shared" si="218"/>
        <v>33.498951781970646</v>
      </c>
      <c r="T281" s="425">
        <f t="shared" si="235"/>
        <v>15979</v>
      </c>
      <c r="U281" s="284">
        <f t="shared" si="236"/>
        <v>31958</v>
      </c>
      <c r="V281" s="277">
        <v>20</v>
      </c>
      <c r="W281" s="285"/>
      <c r="X281" s="285">
        <f t="shared" si="219"/>
        <v>6391.6</v>
      </c>
      <c r="Y281" s="277"/>
      <c r="Z281" s="277"/>
      <c r="AA281" s="277"/>
      <c r="AB281" s="345"/>
      <c r="AC281" s="345"/>
      <c r="AD281" s="345"/>
      <c r="AE281" s="345"/>
      <c r="AF281" s="345"/>
      <c r="AG281" s="345"/>
      <c r="AH281" s="345"/>
      <c r="AI281" s="345"/>
      <c r="AJ281" s="345"/>
      <c r="AK281" s="277">
        <v>15</v>
      </c>
      <c r="AL281" s="277"/>
      <c r="AM281" s="285">
        <f>T281*AK281%*2</f>
        <v>4793.7</v>
      </c>
      <c r="AN281" s="345"/>
      <c r="AO281" s="345"/>
      <c r="AP281" s="345"/>
      <c r="AQ281" s="284">
        <f t="shared" si="220"/>
        <v>11185.3</v>
      </c>
      <c r="AR281" s="277">
        <v>20</v>
      </c>
      <c r="AS281" s="277">
        <f t="shared" si="221"/>
        <v>6391.6</v>
      </c>
      <c r="AT281" s="283">
        <f t="shared" si="222"/>
        <v>6391.6</v>
      </c>
      <c r="AU281" s="277">
        <v>1</v>
      </c>
      <c r="AV281" s="277">
        <v>100</v>
      </c>
      <c r="AW281" s="277">
        <f t="shared" si="223"/>
        <v>15979</v>
      </c>
      <c r="AX281" s="277"/>
      <c r="AY281" s="277"/>
      <c r="AZ281" s="283"/>
      <c r="BA281" s="284">
        <f t="shared" si="224"/>
        <v>22370.6</v>
      </c>
      <c r="BB281" s="284">
        <f t="shared" si="225"/>
        <v>65513.899999999994</v>
      </c>
      <c r="BC281" s="284">
        <f t="shared" si="226"/>
        <v>65513.899999999994</v>
      </c>
      <c r="BD281" s="286">
        <f t="shared" si="180"/>
        <v>21837.966666666664</v>
      </c>
      <c r="BE281" s="286"/>
      <c r="BF281" s="251">
        <f t="shared" si="227"/>
        <v>0</v>
      </c>
      <c r="BG281" s="251">
        <f t="shared" si="228"/>
        <v>0</v>
      </c>
      <c r="BH281" s="251">
        <f t="shared" si="229"/>
        <v>0</v>
      </c>
      <c r="BI281" s="251">
        <f t="shared" si="230"/>
        <v>0</v>
      </c>
      <c r="BJ281" s="251">
        <f t="shared" si="231"/>
        <v>65513.899999999994</v>
      </c>
      <c r="BK281" s="251">
        <f t="shared" si="232"/>
        <v>0</v>
      </c>
      <c r="BL281" s="251">
        <f t="shared" si="233"/>
        <v>0</v>
      </c>
      <c r="BM281" s="251">
        <f t="shared" si="234"/>
        <v>0</v>
      </c>
    </row>
    <row r="282" spans="1:67" ht="8.25" customHeight="1" x14ac:dyDescent="0.25">
      <c r="A282" s="344"/>
      <c r="B282" s="346" t="s">
        <v>245</v>
      </c>
      <c r="C282" s="435"/>
      <c r="D282" s="328"/>
      <c r="E282" s="328"/>
      <c r="F282" s="328"/>
      <c r="G282" s="328"/>
      <c r="H282" s="328"/>
      <c r="I282" s="328"/>
      <c r="J282" s="328"/>
      <c r="K282" s="328"/>
      <c r="L282" s="345"/>
      <c r="M282" s="347"/>
      <c r="N282" s="345"/>
      <c r="O282" s="345"/>
      <c r="P282" s="345"/>
      <c r="Q282" s="345"/>
      <c r="R282" s="347"/>
      <c r="S282" s="347"/>
      <c r="T282" s="345"/>
      <c r="U282" s="284">
        <f t="shared" si="236"/>
        <v>0</v>
      </c>
      <c r="V282" s="345"/>
      <c r="W282" s="345"/>
      <c r="X282" s="345"/>
      <c r="Y282" s="345"/>
      <c r="Z282" s="345"/>
      <c r="AA282" s="345"/>
      <c r="AB282" s="345"/>
      <c r="AC282" s="345"/>
      <c r="AD282" s="345"/>
      <c r="AE282" s="345"/>
      <c r="AF282" s="345"/>
      <c r="AG282" s="345"/>
      <c r="AH282" s="345"/>
      <c r="AI282" s="345"/>
      <c r="AJ282" s="345"/>
      <c r="AK282" s="345"/>
      <c r="AL282" s="345"/>
      <c r="AM282" s="428"/>
      <c r="AN282" s="345"/>
      <c r="AO282" s="345"/>
      <c r="AP282" s="345"/>
      <c r="AQ282" s="284">
        <f t="shared" si="220"/>
        <v>0</v>
      </c>
      <c r="AR282" s="345"/>
      <c r="AS282" s="345"/>
      <c r="AT282" s="347"/>
      <c r="AU282" s="345"/>
      <c r="AV282" s="345"/>
      <c r="AW282" s="345"/>
      <c r="AX282" s="345"/>
      <c r="AY282" s="345"/>
      <c r="AZ282" s="347"/>
      <c r="BA282" s="330"/>
      <c r="BB282" s="330"/>
      <c r="BC282" s="330"/>
      <c r="BD282" s="286"/>
      <c r="BK282" s="241">
        <f t="shared" si="232"/>
        <v>0</v>
      </c>
      <c r="BL282" s="241">
        <f t="shared" si="233"/>
        <v>0</v>
      </c>
      <c r="BM282" s="241">
        <f t="shared" si="234"/>
        <v>0</v>
      </c>
    </row>
    <row r="283" spans="1:67" s="316" customFormat="1" ht="22.9" customHeight="1" x14ac:dyDescent="0.25">
      <c r="A283" s="306"/>
      <c r="B283" s="307" t="s">
        <v>229</v>
      </c>
      <c r="C283" s="436">
        <f>SUM(C274:C281)</f>
        <v>23</v>
      </c>
      <c r="D283" s="309"/>
      <c r="E283" s="309"/>
      <c r="F283" s="309"/>
      <c r="G283" s="309"/>
      <c r="H283" s="309"/>
      <c r="I283" s="309"/>
      <c r="J283" s="309"/>
      <c r="K283" s="309"/>
      <c r="L283" s="309"/>
      <c r="M283" s="310"/>
      <c r="N283" s="309"/>
      <c r="O283" s="309"/>
      <c r="P283" s="309"/>
      <c r="Q283" s="309"/>
      <c r="R283" s="310"/>
      <c r="S283" s="310"/>
      <c r="T283" s="349">
        <f>U283/2</f>
        <v>332468</v>
      </c>
      <c r="U283" s="329">
        <f>SUM(U274:U282)</f>
        <v>664936</v>
      </c>
      <c r="V283" s="309"/>
      <c r="W283" s="309"/>
      <c r="X283" s="329">
        <f>SUM(X274:X281)</f>
        <v>112080.16000000002</v>
      </c>
      <c r="Y283" s="329"/>
      <c r="Z283" s="329"/>
      <c r="AA283" s="329">
        <f>SUM(AA274:AA281)</f>
        <v>26102.559999999998</v>
      </c>
      <c r="AB283" s="329"/>
      <c r="AC283" s="329"/>
      <c r="AD283" s="329">
        <f>SUM(AD274:AD281)</f>
        <v>13650.001082927236</v>
      </c>
      <c r="AE283" s="329"/>
      <c r="AF283" s="329"/>
      <c r="AG283" s="329">
        <f>SUM(AG274:AG281)</f>
        <v>47775.003790245319</v>
      </c>
      <c r="AH283" s="329"/>
      <c r="AI283" s="329"/>
      <c r="AJ283" s="329">
        <f>SUM(AJ274:AJ281)</f>
        <v>92522.961389478965</v>
      </c>
      <c r="AK283" s="329"/>
      <c r="AL283" s="329"/>
      <c r="AM283" s="329">
        <f>SUM(AM274:AM281)</f>
        <v>36678.080000000002</v>
      </c>
      <c r="AN283" s="329"/>
      <c r="AO283" s="329"/>
      <c r="AP283" s="329">
        <f>SUM(AP274:AP281)</f>
        <v>11082.5</v>
      </c>
      <c r="AQ283" s="329">
        <f>SUM(AQ274:AQ281)</f>
        <v>339891.26626265154</v>
      </c>
      <c r="AR283" s="329"/>
      <c r="AS283" s="329">
        <f>SUM(AS274:AS281)</f>
        <v>45378.799999999996</v>
      </c>
      <c r="AT283" s="329">
        <f>SUM(AT274:AT281)</f>
        <v>132987.20000000001</v>
      </c>
      <c r="AU283" s="329">
        <f>SUM(AU274:AU281)</f>
        <v>6</v>
      </c>
      <c r="AV283" s="329"/>
      <c r="AW283" s="329">
        <f>SUM(AW274:AW281)</f>
        <v>83908</v>
      </c>
      <c r="AX283" s="329"/>
      <c r="AY283" s="329">
        <f>SUM(AY274:AY281)</f>
        <v>0</v>
      </c>
      <c r="AZ283" s="329">
        <f>SUM(AZ274:AZ281)</f>
        <v>0</v>
      </c>
      <c r="BA283" s="329">
        <f>SUM(BA274:BA281)</f>
        <v>216895.20000000004</v>
      </c>
      <c r="BB283" s="329">
        <f>SUM(BB274:BB281)</f>
        <v>409121.36657961598</v>
      </c>
      <c r="BC283" s="329">
        <f>SUM(BC274:BC281)</f>
        <v>1221722.4662626516</v>
      </c>
      <c r="BD283" s="286">
        <f t="shared" si="180"/>
        <v>17706.12269945872</v>
      </c>
      <c r="BE283" s="323"/>
      <c r="BF283" s="316">
        <f t="shared" ref="BF283:BM283" si="237">SUM(BF274:BF281)</f>
        <v>0</v>
      </c>
      <c r="BG283" s="316">
        <f t="shared" si="237"/>
        <v>0</v>
      </c>
      <c r="BH283" s="316">
        <f t="shared" si="237"/>
        <v>0</v>
      </c>
      <c r="BI283" s="316">
        <f t="shared" si="237"/>
        <v>0</v>
      </c>
      <c r="BJ283" s="316">
        <f t="shared" si="237"/>
        <v>1221722.4662626516</v>
      </c>
      <c r="BK283" s="316">
        <f t="shared" si="237"/>
        <v>0</v>
      </c>
      <c r="BL283" s="316">
        <f t="shared" si="237"/>
        <v>0</v>
      </c>
      <c r="BM283" s="316">
        <f t="shared" si="237"/>
        <v>0</v>
      </c>
    </row>
    <row r="284" spans="1:67" s="287" customFormat="1" ht="11.25" customHeight="1" x14ac:dyDescent="0.25">
      <c r="A284" s="276"/>
      <c r="B284" s="317"/>
      <c r="C284" s="350"/>
      <c r="D284" s="351"/>
      <c r="E284" s="351"/>
      <c r="F284" s="351"/>
      <c r="G284" s="351"/>
      <c r="H284" s="351"/>
      <c r="I284" s="351"/>
      <c r="J284" s="351"/>
      <c r="K284" s="351"/>
      <c r="L284" s="352"/>
      <c r="M284" s="353"/>
      <c r="N284" s="352"/>
      <c r="O284" s="352"/>
      <c r="P284" s="354"/>
      <c r="Q284" s="352"/>
      <c r="R284" s="353"/>
      <c r="S284" s="353"/>
      <c r="T284" s="355"/>
      <c r="U284" s="356"/>
      <c r="V284" s="352"/>
      <c r="W284" s="352"/>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2"/>
      <c r="AS284" s="352"/>
      <c r="AT284" s="353"/>
      <c r="AU284" s="352"/>
      <c r="AV284" s="352"/>
      <c r="AW284" s="352"/>
      <c r="AX284" s="352"/>
      <c r="AY284" s="352"/>
      <c r="AZ284" s="353"/>
      <c r="BA284" s="356"/>
      <c r="BB284" s="356"/>
      <c r="BC284" s="437"/>
      <c r="BD284" s="286"/>
      <c r="BE284" s="286"/>
    </row>
    <row r="285" spans="1:67" s="287" customFormat="1" ht="29.25" customHeight="1" x14ac:dyDescent="0.25">
      <c r="A285" s="270"/>
      <c r="B285" s="361" t="s">
        <v>246</v>
      </c>
      <c r="C285" s="335"/>
      <c r="D285" s="335"/>
      <c r="E285" s="335"/>
      <c r="F285" s="335"/>
      <c r="G285" s="335"/>
      <c r="H285" s="335"/>
      <c r="I285" s="335"/>
      <c r="J285" s="335"/>
      <c r="K285" s="335"/>
      <c r="L285" s="335"/>
      <c r="M285" s="335"/>
      <c r="N285" s="335"/>
      <c r="O285" s="335"/>
      <c r="P285" s="335"/>
      <c r="Q285" s="335"/>
      <c r="R285" s="335"/>
      <c r="S285" s="335"/>
      <c r="T285" s="335"/>
      <c r="U285" s="335"/>
      <c r="V285" s="335"/>
      <c r="W285" s="335"/>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c r="AS285" s="335"/>
      <c r="AT285" s="335"/>
      <c r="AU285" s="335"/>
      <c r="AV285" s="335"/>
      <c r="AW285" s="335"/>
      <c r="AX285" s="335"/>
      <c r="AY285" s="335"/>
      <c r="AZ285" s="335"/>
      <c r="BA285" s="335"/>
      <c r="BB285" s="335"/>
      <c r="BC285" s="362"/>
      <c r="BD285" s="286"/>
      <c r="BE285" s="274"/>
      <c r="BF285" s="338" t="e">
        <f>BC292-#REF!</f>
        <v>#REF!</v>
      </c>
    </row>
    <row r="286" spans="1:67" s="275" customFormat="1" ht="18.75" customHeight="1" x14ac:dyDescent="0.25">
      <c r="A286" s="270"/>
      <c r="B286" s="361" t="s">
        <v>247</v>
      </c>
      <c r="C286" s="335"/>
      <c r="D286" s="335"/>
      <c r="E286" s="335"/>
      <c r="F286" s="335"/>
      <c r="G286" s="335"/>
      <c r="H286" s="335"/>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62"/>
      <c r="BD286" s="286"/>
      <c r="BE286" s="274"/>
    </row>
    <row r="287" spans="1:67" s="287" customFormat="1" ht="21" customHeight="1" x14ac:dyDescent="0.25">
      <c r="A287" s="276"/>
      <c r="B287" s="277" t="s">
        <v>248</v>
      </c>
      <c r="C287" s="278">
        <f>'[4]ФОТ2014 общ (2)'!$C$61</f>
        <v>4</v>
      </c>
      <c r="D287" s="279"/>
      <c r="E287" s="279"/>
      <c r="F287" s="279"/>
      <c r="G287" s="279"/>
      <c r="H287" s="279">
        <v>1</v>
      </c>
      <c r="I287" s="279"/>
      <c r="J287" s="279"/>
      <c r="K287" s="279"/>
      <c r="L287" s="277">
        <v>3</v>
      </c>
      <c r="M287" s="280">
        <f t="shared" ref="M287:M292" si="238">M$248</f>
        <v>3028</v>
      </c>
      <c r="N287" s="281">
        <f t="shared" ref="N287:N292" si="239">N$244</f>
        <v>2</v>
      </c>
      <c r="O287" s="277">
        <v>1.25</v>
      </c>
      <c r="P287" s="282">
        <f>P$244</f>
        <v>1.58</v>
      </c>
      <c r="Q287" s="277"/>
      <c r="R287" s="283">
        <f t="shared" ref="R287:R292" si="240">$R$244</f>
        <v>477</v>
      </c>
      <c r="S287" s="280">
        <f t="shared" ref="S287:S292" si="241">T287/(R287/1)</f>
        <v>25.075471698113208</v>
      </c>
      <c r="T287" s="425">
        <f t="shared" ref="T287:T292" si="242">ROUND(M287*N287*O287*P287,0)</f>
        <v>11961</v>
      </c>
      <c r="U287" s="284">
        <f t="shared" ref="U287:U292" si="243">T287*C287*2</f>
        <v>95688</v>
      </c>
      <c r="V287" s="277">
        <v>12</v>
      </c>
      <c r="W287" s="285"/>
      <c r="X287" s="285">
        <f t="shared" ref="X287:X292" si="244">U287*V287%</f>
        <v>11482.56</v>
      </c>
      <c r="Y287" s="277"/>
      <c r="Z287" s="277"/>
      <c r="AA287" s="277"/>
      <c r="AB287" s="277">
        <v>20</v>
      </c>
      <c r="AC287" s="277"/>
      <c r="AD287" s="340">
        <f>SUM([3]ночн.празд!D7:D8)</f>
        <v>3766.7011870548545</v>
      </c>
      <c r="AE287" s="341">
        <v>35</v>
      </c>
      <c r="AF287" s="340"/>
      <c r="AG287" s="340">
        <f>SUM([3]ночн.празд!E7:E8)</f>
        <v>13183.45415469199</v>
      </c>
      <c r="AH287" s="341">
        <v>200</v>
      </c>
      <c r="AI287" s="340"/>
      <c r="AJ287" s="340">
        <f>SUM([3]ночн.празд!B7:C8)</f>
        <v>30016.834187179807</v>
      </c>
      <c r="AK287" s="277">
        <f>(30+25+10+20)/4</f>
        <v>21.25</v>
      </c>
      <c r="AL287" s="277"/>
      <c r="AM287" s="342">
        <f>4*T287*AK287%*2</f>
        <v>20333.7</v>
      </c>
      <c r="AN287" s="277"/>
      <c r="AO287" s="277"/>
      <c r="AP287" s="285"/>
      <c r="AQ287" s="284">
        <f t="shared" ref="AQ287:AQ292" si="245">X287+AA287+AD287+AG287+AJ287+AM287+AP287</f>
        <v>78783.249528926652</v>
      </c>
      <c r="AR287" s="277">
        <f t="shared" ref="AR287:AR292" si="246">AR$29</f>
        <v>20</v>
      </c>
      <c r="AS287" s="285">
        <f t="shared" ref="AS287:AS292" si="247">AT287/C287</f>
        <v>4784.4000000000005</v>
      </c>
      <c r="AT287" s="280">
        <f t="shared" ref="AT287:AT292" si="248">(U287)*AR287%</f>
        <v>19137.600000000002</v>
      </c>
      <c r="AU287" s="277">
        <v>1</v>
      </c>
      <c r="AV287" s="277">
        <v>100</v>
      </c>
      <c r="AW287" s="277">
        <f t="shared" ref="AW287:AW292" si="249">AU287*T287</f>
        <v>11961</v>
      </c>
      <c r="AX287" s="277"/>
      <c r="AY287" s="285"/>
      <c r="AZ287" s="280"/>
      <c r="BA287" s="284">
        <f t="shared" ref="BA287:BA292" si="250">AT287+AW287+AZ287</f>
        <v>31098.600000000002</v>
      </c>
      <c r="BB287" s="363">
        <f t="shared" ref="BB287:BB292" si="251">BC287/C287</f>
        <v>51392.462382231664</v>
      </c>
      <c r="BC287" s="284">
        <f t="shared" ref="BC287:BC292" si="252">BA287+AQ287+U287</f>
        <v>205569.84952892666</v>
      </c>
      <c r="BD287" s="286">
        <f t="shared" si="180"/>
        <v>17130.820794077223</v>
      </c>
      <c r="BE287" s="286"/>
    </row>
    <row r="288" spans="1:67" s="377" customFormat="1" x14ac:dyDescent="0.25">
      <c r="A288" s="375"/>
      <c r="B288" s="290" t="s">
        <v>249</v>
      </c>
      <c r="C288" s="376">
        <v>1</v>
      </c>
      <c r="D288" s="292"/>
      <c r="E288" s="292"/>
      <c r="F288" s="292"/>
      <c r="G288" s="292"/>
      <c r="H288" s="292">
        <v>1</v>
      </c>
      <c r="I288" s="292"/>
      <c r="J288" s="292"/>
      <c r="K288" s="292"/>
      <c r="L288" s="293">
        <v>4</v>
      </c>
      <c r="M288" s="294">
        <f t="shared" si="238"/>
        <v>3028</v>
      </c>
      <c r="N288" s="429">
        <f t="shared" si="239"/>
        <v>2</v>
      </c>
      <c r="O288" s="293">
        <v>1.43</v>
      </c>
      <c r="P288" s="295">
        <f>P$244</f>
        <v>1.58</v>
      </c>
      <c r="Q288" s="293"/>
      <c r="R288" s="296">
        <f t="shared" si="240"/>
        <v>477</v>
      </c>
      <c r="S288" s="294">
        <f t="shared" si="241"/>
        <v>28.685534591194969</v>
      </c>
      <c r="T288" s="291">
        <f t="shared" si="242"/>
        <v>13683</v>
      </c>
      <c r="U288" s="284">
        <f t="shared" si="243"/>
        <v>27366</v>
      </c>
      <c r="V288" s="293">
        <v>16</v>
      </c>
      <c r="W288" s="298"/>
      <c r="X288" s="298">
        <f t="shared" si="244"/>
        <v>4378.5600000000004</v>
      </c>
      <c r="Y288" s="277">
        <v>4</v>
      </c>
      <c r="Z288" s="285"/>
      <c r="AA288" s="285">
        <f>U288*Y288%</f>
        <v>1094.6400000000001</v>
      </c>
      <c r="AB288" s="293"/>
      <c r="AC288" s="293"/>
      <c r="AD288" s="298"/>
      <c r="AE288" s="293"/>
      <c r="AF288" s="298"/>
      <c r="AG288" s="298"/>
      <c r="AH288" s="293"/>
      <c r="AI288" s="298"/>
      <c r="AJ288" s="298"/>
      <c r="AK288" s="293"/>
      <c r="AL288" s="293"/>
      <c r="AM288" s="298">
        <f>T288*AK288%*2</f>
        <v>0</v>
      </c>
      <c r="AN288" s="293"/>
      <c r="AO288" s="293"/>
      <c r="AP288" s="298"/>
      <c r="AQ288" s="297">
        <f t="shared" si="245"/>
        <v>5473.2000000000007</v>
      </c>
      <c r="AR288" s="293">
        <f t="shared" si="246"/>
        <v>20</v>
      </c>
      <c r="AS288" s="293">
        <f t="shared" si="247"/>
        <v>5473.2000000000007</v>
      </c>
      <c r="AT288" s="294">
        <f t="shared" si="248"/>
        <v>5473.2000000000007</v>
      </c>
      <c r="AU288" s="339">
        <v>1</v>
      </c>
      <c r="AV288" s="293">
        <v>100</v>
      </c>
      <c r="AW288" s="293">
        <f t="shared" si="249"/>
        <v>13683</v>
      </c>
      <c r="AX288" s="293"/>
      <c r="AY288" s="293"/>
      <c r="AZ288" s="294"/>
      <c r="BA288" s="297">
        <f t="shared" si="250"/>
        <v>19156.2</v>
      </c>
      <c r="BB288" s="297">
        <f t="shared" si="251"/>
        <v>51995.4</v>
      </c>
      <c r="BC288" s="297">
        <f t="shared" si="252"/>
        <v>51995.4</v>
      </c>
      <c r="BD288" s="299">
        <f>BC288/C288/3</f>
        <v>17331.8</v>
      </c>
      <c r="BE288" s="299"/>
    </row>
    <row r="289" spans="1:67" s="287" customFormat="1" ht="31.5" customHeight="1" x14ac:dyDescent="0.25">
      <c r="A289" s="276"/>
      <c r="B289" s="277" t="s">
        <v>284</v>
      </c>
      <c r="C289" s="278">
        <v>1</v>
      </c>
      <c r="D289" s="279"/>
      <c r="E289" s="279"/>
      <c r="F289" s="279"/>
      <c r="G289" s="279"/>
      <c r="H289" s="279">
        <v>1</v>
      </c>
      <c r="I289" s="279"/>
      <c r="J289" s="279"/>
      <c r="K289" s="279"/>
      <c r="L289" s="277">
        <v>5</v>
      </c>
      <c r="M289" s="280">
        <f t="shared" si="238"/>
        <v>3028</v>
      </c>
      <c r="N289" s="281">
        <f t="shared" si="239"/>
        <v>2</v>
      </c>
      <c r="O289" s="282">
        <v>1.67</v>
      </c>
      <c r="P289" s="282">
        <f>P$244</f>
        <v>1.58</v>
      </c>
      <c r="Q289" s="277"/>
      <c r="R289" s="283">
        <f t="shared" si="240"/>
        <v>477</v>
      </c>
      <c r="S289" s="280">
        <f t="shared" si="241"/>
        <v>33.498951781970646</v>
      </c>
      <c r="T289" s="425">
        <f t="shared" si="242"/>
        <v>15979</v>
      </c>
      <c r="U289" s="284">
        <f t="shared" si="243"/>
        <v>31958</v>
      </c>
      <c r="V289" s="277">
        <v>20</v>
      </c>
      <c r="W289" s="285"/>
      <c r="X289" s="285">
        <f t="shared" si="244"/>
        <v>6391.6</v>
      </c>
      <c r="Y289" s="277"/>
      <c r="Z289" s="277"/>
      <c r="AA289" s="277"/>
      <c r="AB289" s="277"/>
      <c r="AC289" s="277"/>
      <c r="AD289" s="277"/>
      <c r="AE289" s="277"/>
      <c r="AF289" s="277"/>
      <c r="AG289" s="277"/>
      <c r="AH289" s="277"/>
      <c r="AI289" s="277"/>
      <c r="AJ289" s="277"/>
      <c r="AK289" s="277">
        <v>15</v>
      </c>
      <c r="AL289" s="277"/>
      <c r="AM289" s="285">
        <f>T289*AK289%*2</f>
        <v>4793.7</v>
      </c>
      <c r="AN289" s="277"/>
      <c r="AO289" s="277"/>
      <c r="AP289" s="277"/>
      <c r="AQ289" s="284">
        <f t="shared" si="245"/>
        <v>11185.3</v>
      </c>
      <c r="AR289" s="277">
        <f t="shared" si="246"/>
        <v>20</v>
      </c>
      <c r="AS289" s="285">
        <f t="shared" si="247"/>
        <v>6391.6</v>
      </c>
      <c r="AT289" s="280">
        <f t="shared" si="248"/>
        <v>6391.6</v>
      </c>
      <c r="AU289" s="277"/>
      <c r="AV289" s="277">
        <v>100</v>
      </c>
      <c r="AW289" s="277">
        <f t="shared" si="249"/>
        <v>0</v>
      </c>
      <c r="AX289" s="277"/>
      <c r="AY289" s="285"/>
      <c r="AZ289" s="280"/>
      <c r="BA289" s="284">
        <f t="shared" si="250"/>
        <v>6391.6</v>
      </c>
      <c r="BB289" s="363">
        <f t="shared" si="251"/>
        <v>49534.9</v>
      </c>
      <c r="BC289" s="284">
        <f t="shared" si="252"/>
        <v>49534.9</v>
      </c>
      <c r="BD289" s="286">
        <f t="shared" si="180"/>
        <v>16511.633333333335</v>
      </c>
      <c r="BE289" s="286"/>
    </row>
    <row r="290" spans="1:67" s="287" customFormat="1" ht="34.5" customHeight="1" x14ac:dyDescent="0.25">
      <c r="A290" s="276"/>
      <c r="B290" s="277" t="s">
        <v>251</v>
      </c>
      <c r="C290" s="278">
        <f>'[4]ФОТ2014 общ (2)'!$C$64</f>
        <v>1</v>
      </c>
      <c r="D290" s="279"/>
      <c r="E290" s="279"/>
      <c r="F290" s="279"/>
      <c r="G290" s="279"/>
      <c r="H290" s="279">
        <v>1</v>
      </c>
      <c r="I290" s="279"/>
      <c r="J290" s="279"/>
      <c r="K290" s="279"/>
      <c r="L290" s="277">
        <v>5</v>
      </c>
      <c r="M290" s="280">
        <f t="shared" si="238"/>
        <v>3028</v>
      </c>
      <c r="N290" s="281">
        <f t="shared" si="239"/>
        <v>2</v>
      </c>
      <c r="O290" s="282">
        <v>1.67</v>
      </c>
      <c r="P290" s="282">
        <f>P$244</f>
        <v>1.58</v>
      </c>
      <c r="Q290" s="277"/>
      <c r="R290" s="283">
        <f t="shared" si="240"/>
        <v>477</v>
      </c>
      <c r="S290" s="280">
        <f t="shared" si="241"/>
        <v>33.498951781970646</v>
      </c>
      <c r="T290" s="425">
        <f t="shared" si="242"/>
        <v>15979</v>
      </c>
      <c r="U290" s="284">
        <f t="shared" si="243"/>
        <v>31958</v>
      </c>
      <c r="V290" s="277">
        <v>20</v>
      </c>
      <c r="W290" s="285"/>
      <c r="X290" s="285">
        <f t="shared" si="244"/>
        <v>6391.6</v>
      </c>
      <c r="Y290" s="277"/>
      <c r="Z290" s="277"/>
      <c r="AA290" s="285"/>
      <c r="AB290" s="277"/>
      <c r="AC290" s="277"/>
      <c r="AD290" s="277"/>
      <c r="AE290" s="277"/>
      <c r="AF290" s="277"/>
      <c r="AG290" s="277"/>
      <c r="AH290" s="277"/>
      <c r="AI290" s="277"/>
      <c r="AJ290" s="277"/>
      <c r="AK290" s="277">
        <v>0</v>
      </c>
      <c r="AL290" s="277"/>
      <c r="AM290" s="285">
        <f>T290*AK290%*2</f>
        <v>0</v>
      </c>
      <c r="AN290" s="277"/>
      <c r="AO290" s="277"/>
      <c r="AP290" s="277"/>
      <c r="AQ290" s="284">
        <f t="shared" si="245"/>
        <v>6391.6</v>
      </c>
      <c r="AR290" s="277">
        <f t="shared" si="246"/>
        <v>20</v>
      </c>
      <c r="AS290" s="285">
        <f t="shared" si="247"/>
        <v>6391.6</v>
      </c>
      <c r="AT290" s="280">
        <f t="shared" si="248"/>
        <v>6391.6</v>
      </c>
      <c r="AU290" s="277"/>
      <c r="AV290" s="277">
        <v>100</v>
      </c>
      <c r="AW290" s="277">
        <f t="shared" si="249"/>
        <v>0</v>
      </c>
      <c r="AX290" s="277"/>
      <c r="AY290" s="285"/>
      <c r="AZ290" s="280"/>
      <c r="BA290" s="284">
        <f t="shared" si="250"/>
        <v>6391.6</v>
      </c>
      <c r="BB290" s="363">
        <f t="shared" si="251"/>
        <v>44741.2</v>
      </c>
      <c r="BC290" s="284">
        <f t="shared" si="252"/>
        <v>44741.2</v>
      </c>
      <c r="BD290" s="286">
        <f t="shared" si="180"/>
        <v>14913.733333333332</v>
      </c>
      <c r="BE290" s="286"/>
    </row>
    <row r="291" spans="1:67" s="287" customFormat="1" ht="14.25" x14ac:dyDescent="0.25">
      <c r="A291" s="276"/>
      <c r="B291" s="277" t="s">
        <v>252</v>
      </c>
      <c r="C291" s="278">
        <f>'[4]ФОТ2014 общ (2)'!$C$66</f>
        <v>1</v>
      </c>
      <c r="D291" s="279"/>
      <c r="E291" s="279"/>
      <c r="F291" s="279"/>
      <c r="G291" s="279"/>
      <c r="H291" s="279">
        <v>1</v>
      </c>
      <c r="I291" s="279"/>
      <c r="J291" s="279"/>
      <c r="K291" s="279"/>
      <c r="L291" s="277">
        <v>3</v>
      </c>
      <c r="M291" s="280">
        <f t="shared" si="238"/>
        <v>3028</v>
      </c>
      <c r="N291" s="281">
        <f t="shared" si="239"/>
        <v>2</v>
      </c>
      <c r="O291" s="277">
        <v>1.25</v>
      </c>
      <c r="P291" s="282">
        <f>P$244</f>
        <v>1.58</v>
      </c>
      <c r="Q291" s="277"/>
      <c r="R291" s="283">
        <f t="shared" si="240"/>
        <v>477</v>
      </c>
      <c r="S291" s="280">
        <f t="shared" si="241"/>
        <v>25.075471698113208</v>
      </c>
      <c r="T291" s="425">
        <f t="shared" si="242"/>
        <v>11961</v>
      </c>
      <c r="U291" s="284">
        <f t="shared" si="243"/>
        <v>23922</v>
      </c>
      <c r="V291" s="277">
        <v>12</v>
      </c>
      <c r="W291" s="285"/>
      <c r="X291" s="285">
        <f t="shared" si="244"/>
        <v>2870.64</v>
      </c>
      <c r="Y291" s="277">
        <v>4</v>
      </c>
      <c r="Z291" s="285"/>
      <c r="AA291" s="285">
        <f>U291*Y291%</f>
        <v>956.88</v>
      </c>
      <c r="AB291" s="277"/>
      <c r="AC291" s="277"/>
      <c r="AD291" s="277"/>
      <c r="AE291" s="277"/>
      <c r="AF291" s="277"/>
      <c r="AG291" s="277"/>
      <c r="AH291" s="277"/>
      <c r="AI291" s="277"/>
      <c r="AJ291" s="277"/>
      <c r="AK291" s="277"/>
      <c r="AL291" s="277"/>
      <c r="AM291" s="285">
        <f>T291*AK291%*2</f>
        <v>0</v>
      </c>
      <c r="AN291" s="277"/>
      <c r="AO291" s="277"/>
      <c r="AP291" s="277"/>
      <c r="AQ291" s="284">
        <f t="shared" si="245"/>
        <v>3827.52</v>
      </c>
      <c r="AR291" s="277">
        <f t="shared" si="246"/>
        <v>20</v>
      </c>
      <c r="AS291" s="285">
        <f t="shared" si="247"/>
        <v>4784.4000000000005</v>
      </c>
      <c r="AT291" s="280">
        <f t="shared" si="248"/>
        <v>4784.4000000000005</v>
      </c>
      <c r="AU291" s="277"/>
      <c r="AV291" s="277">
        <v>100</v>
      </c>
      <c r="AW291" s="277">
        <f t="shared" si="249"/>
        <v>0</v>
      </c>
      <c r="AX291" s="277"/>
      <c r="AY291" s="285"/>
      <c r="AZ291" s="280"/>
      <c r="BA291" s="284">
        <f t="shared" si="250"/>
        <v>4784.4000000000005</v>
      </c>
      <c r="BB291" s="363">
        <f t="shared" si="251"/>
        <v>32533.919999999998</v>
      </c>
      <c r="BC291" s="284">
        <f t="shared" si="252"/>
        <v>32533.919999999998</v>
      </c>
      <c r="BD291" s="286">
        <f t="shared" si="180"/>
        <v>10844.64</v>
      </c>
      <c r="BE291" s="286"/>
    </row>
    <row r="292" spans="1:67" s="301" customFormat="1" ht="17.25" customHeight="1" x14ac:dyDescent="0.25">
      <c r="A292" s="289"/>
      <c r="B292" s="293" t="s">
        <v>253</v>
      </c>
      <c r="C292" s="438">
        <v>2</v>
      </c>
      <c r="D292" s="292"/>
      <c r="E292" s="292"/>
      <c r="F292" s="292"/>
      <c r="G292" s="292"/>
      <c r="H292" s="292">
        <v>1</v>
      </c>
      <c r="I292" s="292"/>
      <c r="J292" s="292"/>
      <c r="K292" s="292"/>
      <c r="L292" s="439"/>
      <c r="M292" s="294">
        <f t="shared" si="238"/>
        <v>3028</v>
      </c>
      <c r="N292" s="429">
        <f t="shared" si="239"/>
        <v>2</v>
      </c>
      <c r="O292" s="293">
        <v>1.32</v>
      </c>
      <c r="P292" s="295">
        <v>1</v>
      </c>
      <c r="Q292" s="439"/>
      <c r="R292" s="296">
        <f t="shared" si="240"/>
        <v>477</v>
      </c>
      <c r="S292" s="294">
        <f t="shared" si="241"/>
        <v>16.758909853249477</v>
      </c>
      <c r="T292" s="441">
        <f t="shared" si="242"/>
        <v>7994</v>
      </c>
      <c r="U292" s="297">
        <f t="shared" si="243"/>
        <v>31976</v>
      </c>
      <c r="V292" s="439">
        <v>0</v>
      </c>
      <c r="W292" s="298"/>
      <c r="X292" s="442">
        <f t="shared" si="244"/>
        <v>0</v>
      </c>
      <c r="Y292" s="439"/>
      <c r="Z292" s="439"/>
      <c r="AA292" s="439"/>
      <c r="AB292" s="439"/>
      <c r="AC292" s="439"/>
      <c r="AD292" s="439"/>
      <c r="AE292" s="439"/>
      <c r="AF292" s="439"/>
      <c r="AG292" s="439"/>
      <c r="AH292" s="439"/>
      <c r="AI292" s="439"/>
      <c r="AJ292" s="439"/>
      <c r="AK292" s="366"/>
      <c r="AL292" s="439"/>
      <c r="AM292" s="285">
        <f>T292*AK292%*2</f>
        <v>0</v>
      </c>
      <c r="AN292" s="439"/>
      <c r="AO292" s="439"/>
      <c r="AP292" s="439"/>
      <c r="AQ292" s="297">
        <f t="shared" si="245"/>
        <v>0</v>
      </c>
      <c r="AR292" s="293">
        <f t="shared" si="246"/>
        <v>20</v>
      </c>
      <c r="AS292" s="298">
        <f t="shared" si="247"/>
        <v>3197.6000000000004</v>
      </c>
      <c r="AT292" s="294">
        <f t="shared" si="248"/>
        <v>6395.2000000000007</v>
      </c>
      <c r="AU292" s="293"/>
      <c r="AV292" s="293">
        <v>100</v>
      </c>
      <c r="AW292" s="293">
        <f t="shared" si="249"/>
        <v>0</v>
      </c>
      <c r="AX292" s="293"/>
      <c r="AY292" s="298"/>
      <c r="AZ292" s="431"/>
      <c r="BA292" s="297">
        <f t="shared" si="250"/>
        <v>6395.2000000000007</v>
      </c>
      <c r="BB292" s="443">
        <f t="shared" si="251"/>
        <v>19185.599999999999</v>
      </c>
      <c r="BC292" s="297">
        <f t="shared" si="252"/>
        <v>38371.199999999997</v>
      </c>
      <c r="BD292" s="299">
        <f t="shared" si="180"/>
        <v>6395.2</v>
      </c>
      <c r="BE292" s="299"/>
      <c r="BO292" s="301">
        <f>BC292/2/C292</f>
        <v>9592.7999999999993</v>
      </c>
    </row>
    <row r="293" spans="1:67" s="287" customFormat="1" ht="18" hidden="1" customHeight="1" x14ac:dyDescent="0.25">
      <c r="A293" s="276"/>
      <c r="B293" s="277"/>
      <c r="C293" s="425"/>
      <c r="D293" s="279"/>
      <c r="E293" s="279"/>
      <c r="F293" s="279"/>
      <c r="G293" s="279"/>
      <c r="H293" s="279"/>
      <c r="I293" s="279"/>
      <c r="J293" s="279"/>
      <c r="K293" s="279"/>
      <c r="L293" s="277"/>
      <c r="M293" s="283"/>
      <c r="N293" s="277"/>
      <c r="O293" s="277"/>
      <c r="P293" s="277"/>
      <c r="Q293" s="277"/>
      <c r="R293" s="283"/>
      <c r="S293" s="283"/>
      <c r="T293" s="425"/>
      <c r="U293" s="307"/>
      <c r="V293" s="277"/>
      <c r="W293" s="277"/>
      <c r="X293" s="277"/>
      <c r="Y293" s="277"/>
      <c r="Z293" s="277"/>
      <c r="AA293" s="277"/>
      <c r="AB293" s="277"/>
      <c r="AC293" s="277"/>
      <c r="AD293" s="277"/>
      <c r="AE293" s="277"/>
      <c r="AF293" s="277"/>
      <c r="AG293" s="277"/>
      <c r="AH293" s="277"/>
      <c r="AI293" s="277"/>
      <c r="AJ293" s="277"/>
      <c r="AK293" s="277"/>
      <c r="AL293" s="277"/>
      <c r="AM293" s="285"/>
      <c r="AN293" s="277"/>
      <c r="AO293" s="277"/>
      <c r="AP293" s="277"/>
      <c r="AQ293" s="307"/>
      <c r="AR293" s="277"/>
      <c r="AS293" s="277"/>
      <c r="AT293" s="283"/>
      <c r="AU293" s="277"/>
      <c r="AV293" s="277"/>
      <c r="AW293" s="277"/>
      <c r="AX293" s="277"/>
      <c r="AY293" s="277"/>
      <c r="AZ293" s="283"/>
      <c r="BA293" s="370"/>
      <c r="BB293" s="307"/>
      <c r="BC293" s="370"/>
      <c r="BD293" s="286"/>
      <c r="BE293" s="371"/>
    </row>
    <row r="294" spans="1:67" s="316" customFormat="1" ht="14.25" x14ac:dyDescent="0.25">
      <c r="A294" s="306"/>
      <c r="B294" s="372" t="s">
        <v>229</v>
      </c>
      <c r="C294" s="308">
        <f>SUM(C287:C293)</f>
        <v>10</v>
      </c>
      <c r="D294" s="309"/>
      <c r="E294" s="309"/>
      <c r="F294" s="309"/>
      <c r="G294" s="309"/>
      <c r="H294" s="309"/>
      <c r="I294" s="309"/>
      <c r="J294" s="309"/>
      <c r="K294" s="309"/>
      <c r="L294" s="309"/>
      <c r="M294" s="310"/>
      <c r="N294" s="309"/>
      <c r="O294" s="309"/>
      <c r="P294" s="309"/>
      <c r="Q294" s="309"/>
      <c r="R294" s="310"/>
      <c r="S294" s="310"/>
      <c r="T294" s="349">
        <f>U294/2</f>
        <v>121434</v>
      </c>
      <c r="U294" s="309">
        <f>SUM(U287:U293)</f>
        <v>242868</v>
      </c>
      <c r="V294" s="309"/>
      <c r="W294" s="309"/>
      <c r="X294" s="329">
        <f>SUM(X287:X293)</f>
        <v>31514.959999999999</v>
      </c>
      <c r="Y294" s="309"/>
      <c r="Z294" s="309">
        <f>SUM(Z287:Z293)</f>
        <v>0</v>
      </c>
      <c r="AA294" s="309">
        <f>SUM(AA287:AA293)</f>
        <v>2051.52</v>
      </c>
      <c r="AB294" s="309"/>
      <c r="AC294" s="309"/>
      <c r="AD294" s="309">
        <f>SUM(AD287:AD293)</f>
        <v>3766.7011870548545</v>
      </c>
      <c r="AE294" s="309"/>
      <c r="AF294" s="309">
        <f>SUM(AF287:AF293)</f>
        <v>0</v>
      </c>
      <c r="AG294" s="309">
        <f>SUM(AG287:AG293)</f>
        <v>13183.45415469199</v>
      </c>
      <c r="AH294" s="309"/>
      <c r="AI294" s="309">
        <f>SUM(AI287:AI293)</f>
        <v>0</v>
      </c>
      <c r="AJ294" s="309">
        <f>SUM(AJ287:AJ293)</f>
        <v>30016.834187179807</v>
      </c>
      <c r="AK294" s="309"/>
      <c r="AL294" s="309">
        <f>SUM(AL287:AL293)</f>
        <v>0</v>
      </c>
      <c r="AM294" s="329">
        <f>SUM(AM287:AM293)</f>
        <v>25127.4</v>
      </c>
      <c r="AN294" s="309"/>
      <c r="AO294" s="309">
        <f>SUM(AO287:AO293)</f>
        <v>0</v>
      </c>
      <c r="AP294" s="309">
        <f>SUM(AP287:AP293)</f>
        <v>0</v>
      </c>
      <c r="AQ294" s="309">
        <f>SUM(AQ287:AQ293)</f>
        <v>105660.86952892666</v>
      </c>
      <c r="AR294" s="309"/>
      <c r="AS294" s="309">
        <f>SUM(AS287:AS293)</f>
        <v>31022.800000000003</v>
      </c>
      <c r="AT294" s="309">
        <f>SUM(AT287:AT293)</f>
        <v>48573.600000000006</v>
      </c>
      <c r="AU294" s="309">
        <f>SUM(AU287:AU293)</f>
        <v>2</v>
      </c>
      <c r="AV294" s="309"/>
      <c r="AW294" s="309">
        <f>SUM(AW287:AW293)</f>
        <v>25644</v>
      </c>
      <c r="AX294" s="309"/>
      <c r="AY294" s="309">
        <f>SUM(AY287:AY293)</f>
        <v>0</v>
      </c>
      <c r="AZ294" s="309">
        <f>SUM(AZ287:AZ293)</f>
        <v>0</v>
      </c>
      <c r="BA294" s="329">
        <f>SUM(BA287:BA293)</f>
        <v>74217.599999999991</v>
      </c>
      <c r="BB294" s="309">
        <f>BC294/C294</f>
        <v>42274.646952892668</v>
      </c>
      <c r="BC294" s="329">
        <f>SUM(BC287:BC293)</f>
        <v>422746.46952892665</v>
      </c>
      <c r="BD294" s="286">
        <f t="shared" si="180"/>
        <v>14091.548984297557</v>
      </c>
      <c r="BE294" s="323"/>
      <c r="BN294" s="316" t="e">
        <f>BC294+BC301+#REF!</f>
        <v>#REF!</v>
      </c>
    </row>
    <row r="295" spans="1:67" s="374" customFormat="1" ht="22.5" customHeight="1" x14ac:dyDescent="0.25">
      <c r="A295" s="373"/>
      <c r="B295" s="361" t="s">
        <v>254</v>
      </c>
      <c r="C295" s="335"/>
      <c r="D295" s="335"/>
      <c r="E295" s="335"/>
      <c r="F295" s="335"/>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62"/>
      <c r="BD295" s="286"/>
      <c r="BE295" s="274"/>
    </row>
    <row r="296" spans="1:67" x14ac:dyDescent="0.25">
      <c r="A296" s="344"/>
      <c r="B296" s="288" t="s">
        <v>255</v>
      </c>
      <c r="C296" s="278">
        <f>'[4]ФОТ2014 общ (2)'!$C$83</f>
        <v>9</v>
      </c>
      <c r="D296" s="279"/>
      <c r="E296" s="279"/>
      <c r="F296" s="279"/>
      <c r="G296" s="279"/>
      <c r="H296" s="279">
        <v>1</v>
      </c>
      <c r="I296" s="279"/>
      <c r="J296" s="279"/>
      <c r="K296" s="279"/>
      <c r="L296" s="277">
        <v>3</v>
      </c>
      <c r="M296" s="280">
        <f>M$248</f>
        <v>3028</v>
      </c>
      <c r="N296" s="281">
        <f>N$244</f>
        <v>2</v>
      </c>
      <c r="O296" s="277">
        <v>1.25</v>
      </c>
      <c r="P296" s="282">
        <f>P$244</f>
        <v>1.58</v>
      </c>
      <c r="Q296" s="277"/>
      <c r="R296" s="283">
        <f>$R$244</f>
        <v>477</v>
      </c>
      <c r="S296" s="280">
        <f>T296/(R296/1)</f>
        <v>25.075471698113208</v>
      </c>
      <c r="T296" s="425">
        <f>ROUND(M296*N296*O296*P296,0)</f>
        <v>11961</v>
      </c>
      <c r="U296" s="284">
        <f>T296*C296*2</f>
        <v>215298</v>
      </c>
      <c r="V296" s="277">
        <v>12</v>
      </c>
      <c r="W296" s="285"/>
      <c r="X296" s="285">
        <f>U296*V296%</f>
        <v>25835.759999999998</v>
      </c>
      <c r="Y296" s="277">
        <v>4</v>
      </c>
      <c r="Z296" s="285"/>
      <c r="AA296" s="285">
        <f>U296*Y296%</f>
        <v>8611.92</v>
      </c>
      <c r="AB296" s="277">
        <v>20</v>
      </c>
      <c r="AC296" s="277"/>
      <c r="AD296" s="340">
        <f>SUM([3]ночн.празд!P7:P8)</f>
        <v>7533.4023741097089</v>
      </c>
      <c r="AE296" s="341">
        <v>35</v>
      </c>
      <c r="AF296" s="340"/>
      <c r="AG296" s="340">
        <f>SUM([3]ночн.празд!Q7:Q8)</f>
        <v>26366.90830938398</v>
      </c>
      <c r="AH296" s="341">
        <v>200</v>
      </c>
      <c r="AI296" s="340"/>
      <c r="AJ296" s="340">
        <f>SUM([3]ночн.празд!N7:O8)</f>
        <v>60033.668374359615</v>
      </c>
      <c r="AK296" s="277">
        <f>(7+25+15+7+10+20+15+15+10)/9</f>
        <v>13.777777777777779</v>
      </c>
      <c r="AL296" s="277"/>
      <c r="AM296" s="342">
        <f>9*T296*AK296%*2</f>
        <v>29663.279999999999</v>
      </c>
      <c r="AN296" s="277"/>
      <c r="AO296" s="277"/>
      <c r="AP296" s="285"/>
      <c r="AQ296" s="284">
        <f>X296+AA296+AD296+AG296+AJ296+AM296+AP296</f>
        <v>158044.93905785331</v>
      </c>
      <c r="AR296" s="277">
        <f>AR$29</f>
        <v>20</v>
      </c>
      <c r="AS296" s="277">
        <f>AT296/C296</f>
        <v>4784.4000000000005</v>
      </c>
      <c r="AT296" s="280">
        <f>(U296)*AR296%</f>
        <v>43059.600000000006</v>
      </c>
      <c r="AU296" s="458">
        <f>1+1</f>
        <v>2</v>
      </c>
      <c r="AV296" s="277">
        <v>100</v>
      </c>
      <c r="AW296" s="277">
        <f>AU296*T296</f>
        <v>23922</v>
      </c>
      <c r="AX296" s="277"/>
      <c r="AY296" s="277"/>
      <c r="AZ296" s="280"/>
      <c r="BA296" s="284">
        <f>AT296+AW296+AZ296</f>
        <v>66981.600000000006</v>
      </c>
      <c r="BB296" s="284">
        <f>BC296/C296</f>
        <v>48924.948784205917</v>
      </c>
      <c r="BC296" s="284">
        <f>BA296+AQ296+U296</f>
        <v>440324.53905785328</v>
      </c>
      <c r="BD296" s="286">
        <f t="shared" si="180"/>
        <v>16308.316261401973</v>
      </c>
      <c r="BE296" s="286"/>
    </row>
    <row r="297" spans="1:67" s="377" customFormat="1" x14ac:dyDescent="0.25">
      <c r="A297" s="375"/>
      <c r="B297" s="290" t="s">
        <v>249</v>
      </c>
      <c r="C297" s="376">
        <v>1</v>
      </c>
      <c r="D297" s="292"/>
      <c r="E297" s="292"/>
      <c r="F297" s="292"/>
      <c r="G297" s="292"/>
      <c r="H297" s="292">
        <v>1</v>
      </c>
      <c r="I297" s="292"/>
      <c r="J297" s="292"/>
      <c r="K297" s="292"/>
      <c r="L297" s="293">
        <v>4</v>
      </c>
      <c r="M297" s="294">
        <f>M$248</f>
        <v>3028</v>
      </c>
      <c r="N297" s="429">
        <f>N$244</f>
        <v>2</v>
      </c>
      <c r="O297" s="293">
        <v>1.43</v>
      </c>
      <c r="P297" s="295">
        <f>P$244</f>
        <v>1.58</v>
      </c>
      <c r="Q297" s="293"/>
      <c r="R297" s="296">
        <f>$R$244</f>
        <v>477</v>
      </c>
      <c r="S297" s="294">
        <f>T297/(R297/1)</f>
        <v>28.685534591194969</v>
      </c>
      <c r="T297" s="291">
        <f>ROUND(M297*N297*O297*P297,0)</f>
        <v>13683</v>
      </c>
      <c r="U297" s="284">
        <f>T297*C297*2</f>
        <v>27366</v>
      </c>
      <c r="V297" s="293">
        <v>16</v>
      </c>
      <c r="W297" s="298"/>
      <c r="X297" s="298">
        <f>U297*V297%</f>
        <v>4378.5600000000004</v>
      </c>
      <c r="Y297" s="277">
        <v>4</v>
      </c>
      <c r="Z297" s="285"/>
      <c r="AA297" s="285">
        <f>U297*Y297%</f>
        <v>1094.6400000000001</v>
      </c>
      <c r="AB297" s="293"/>
      <c r="AC297" s="293"/>
      <c r="AD297" s="298"/>
      <c r="AE297" s="293"/>
      <c r="AF297" s="298"/>
      <c r="AG297" s="298"/>
      <c r="AH297" s="293"/>
      <c r="AI297" s="298"/>
      <c r="AJ297" s="298"/>
      <c r="AK297" s="293"/>
      <c r="AL297" s="293"/>
      <c r="AM297" s="298">
        <f>T297*AK297%*2</f>
        <v>0</v>
      </c>
      <c r="AN297" s="293"/>
      <c r="AO297" s="293"/>
      <c r="AP297" s="298"/>
      <c r="AQ297" s="297">
        <f>X297+AA297+AD297+AG297+AJ297+AM297+AP297</f>
        <v>5473.2000000000007</v>
      </c>
      <c r="AR297" s="293">
        <f>AR$29</f>
        <v>20</v>
      </c>
      <c r="AS297" s="293">
        <f>AT297/C297</f>
        <v>5473.2000000000007</v>
      </c>
      <c r="AT297" s="294">
        <f>(U297)*AR297%</f>
        <v>5473.2000000000007</v>
      </c>
      <c r="AU297" s="339"/>
      <c r="AV297" s="293">
        <v>100</v>
      </c>
      <c r="AW297" s="293">
        <f>AU297*T297</f>
        <v>0</v>
      </c>
      <c r="AX297" s="293"/>
      <c r="AY297" s="293"/>
      <c r="AZ297" s="294"/>
      <c r="BA297" s="297">
        <f>AT297+AW297+AZ297</f>
        <v>5473.2000000000007</v>
      </c>
      <c r="BB297" s="297">
        <f>BC297/C297</f>
        <v>38312.400000000001</v>
      </c>
      <c r="BC297" s="297">
        <f>BA297+AQ297+U297</f>
        <v>38312.400000000001</v>
      </c>
      <c r="BD297" s="299">
        <f>BC297/C297/3</f>
        <v>12770.800000000001</v>
      </c>
      <c r="BE297" s="299"/>
    </row>
    <row r="298" spans="1:67" s="287" customFormat="1" ht="34.5" customHeight="1" x14ac:dyDescent="0.25">
      <c r="A298" s="276"/>
      <c r="B298" s="277" t="s">
        <v>251</v>
      </c>
      <c r="C298" s="278">
        <f>'[4]ФОТ2014 общ (2)'!$C$64</f>
        <v>1</v>
      </c>
      <c r="D298" s="279"/>
      <c r="E298" s="279"/>
      <c r="F298" s="279"/>
      <c r="G298" s="279"/>
      <c r="H298" s="279">
        <v>1</v>
      </c>
      <c r="I298" s="279"/>
      <c r="J298" s="279"/>
      <c r="K298" s="279"/>
      <c r="L298" s="277">
        <v>4</v>
      </c>
      <c r="M298" s="280">
        <f>M$248</f>
        <v>3028</v>
      </c>
      <c r="N298" s="281">
        <f>N$244</f>
        <v>2</v>
      </c>
      <c r="O298" s="282">
        <v>1.43</v>
      </c>
      <c r="P298" s="282">
        <f>P$244</f>
        <v>1.58</v>
      </c>
      <c r="Q298" s="277"/>
      <c r="R298" s="283">
        <f>$R$244</f>
        <v>477</v>
      </c>
      <c r="S298" s="280">
        <f>T298/(R298/1)</f>
        <v>28.685534591194969</v>
      </c>
      <c r="T298" s="425">
        <f>ROUND(M298*N298*O298*P298,0)</f>
        <v>13683</v>
      </c>
      <c r="U298" s="284">
        <f>T298*C298*2</f>
        <v>27366</v>
      </c>
      <c r="V298" s="277">
        <v>16</v>
      </c>
      <c r="W298" s="285"/>
      <c r="X298" s="285">
        <f>U298*V298%</f>
        <v>4378.5600000000004</v>
      </c>
      <c r="Y298" s="277"/>
      <c r="Z298" s="277"/>
      <c r="AA298" s="285"/>
      <c r="AB298" s="277"/>
      <c r="AC298" s="277"/>
      <c r="AD298" s="277"/>
      <c r="AE298" s="277"/>
      <c r="AF298" s="277"/>
      <c r="AG298" s="277"/>
      <c r="AH298" s="277"/>
      <c r="AI298" s="277"/>
      <c r="AJ298" s="277"/>
      <c r="AK298" s="277"/>
      <c r="AL298" s="277"/>
      <c r="AM298" s="298">
        <f>T298*AK298%*2</f>
        <v>0</v>
      </c>
      <c r="AN298" s="277"/>
      <c r="AO298" s="277"/>
      <c r="AP298" s="277"/>
      <c r="AQ298" s="284">
        <f>X298+AA298+AD298+AG298+AJ298+AM298+AP298</f>
        <v>4378.5600000000004</v>
      </c>
      <c r="AR298" s="277">
        <f>AR$29</f>
        <v>20</v>
      </c>
      <c r="AS298" s="285">
        <f>AT298/C298</f>
        <v>5473.2000000000007</v>
      </c>
      <c r="AT298" s="280">
        <f>(U298)*AR298%</f>
        <v>5473.2000000000007</v>
      </c>
      <c r="AU298" s="277"/>
      <c r="AV298" s="277">
        <v>100</v>
      </c>
      <c r="AW298" s="277">
        <f>AU298*T298</f>
        <v>0</v>
      </c>
      <c r="AX298" s="277"/>
      <c r="AY298" s="285"/>
      <c r="AZ298" s="280"/>
      <c r="BA298" s="284">
        <f>AT298+AW298+AZ298</f>
        <v>5473.2000000000007</v>
      </c>
      <c r="BB298" s="363">
        <f>BC298/C298</f>
        <v>37217.760000000002</v>
      </c>
      <c r="BC298" s="284">
        <f>BA298+AQ298+U298</f>
        <v>37217.760000000002</v>
      </c>
      <c r="BD298" s="286">
        <f t="shared" si="180"/>
        <v>12405.92</v>
      </c>
      <c r="BE298" s="286"/>
    </row>
    <row r="299" spans="1:67" ht="35.25" customHeight="1" x14ac:dyDescent="0.25">
      <c r="A299" s="344"/>
      <c r="B299" s="288" t="s">
        <v>256</v>
      </c>
      <c r="C299" s="278">
        <v>1</v>
      </c>
      <c r="D299" s="279"/>
      <c r="E299" s="279"/>
      <c r="F299" s="279"/>
      <c r="G299" s="279"/>
      <c r="H299" s="279">
        <v>1</v>
      </c>
      <c r="I299" s="279"/>
      <c r="J299" s="279"/>
      <c r="K299" s="279"/>
      <c r="L299" s="277">
        <v>5</v>
      </c>
      <c r="M299" s="280">
        <f>M$248</f>
        <v>3028</v>
      </c>
      <c r="N299" s="281">
        <f>N$244</f>
        <v>2</v>
      </c>
      <c r="O299" s="277">
        <v>1.67</v>
      </c>
      <c r="P299" s="282">
        <f>P$244</f>
        <v>1.58</v>
      </c>
      <c r="Q299" s="277"/>
      <c r="R299" s="283">
        <f>$R$244</f>
        <v>477</v>
      </c>
      <c r="S299" s="280">
        <f>T299/(R299/1)</f>
        <v>33.498951781970646</v>
      </c>
      <c r="T299" s="425">
        <f>ROUND(M299*N299*O299*P299,0)</f>
        <v>15979</v>
      </c>
      <c r="U299" s="284">
        <f>T299*C299*2</f>
        <v>31958</v>
      </c>
      <c r="V299" s="277">
        <v>20</v>
      </c>
      <c r="W299" s="285"/>
      <c r="X299" s="285">
        <f>U299*V299%</f>
        <v>6391.6</v>
      </c>
      <c r="Y299" s="277"/>
      <c r="Z299" s="277"/>
      <c r="AA299" s="277"/>
      <c r="AB299" s="277"/>
      <c r="AC299" s="277"/>
      <c r="AD299" s="285"/>
      <c r="AE299" s="277"/>
      <c r="AF299" s="277"/>
      <c r="AG299" s="285"/>
      <c r="AH299" s="277"/>
      <c r="AI299" s="277"/>
      <c r="AJ299" s="285"/>
      <c r="AK299" s="277">
        <v>7</v>
      </c>
      <c r="AL299" s="277"/>
      <c r="AM299" s="298">
        <f>T299*AK299%*2</f>
        <v>2237.0600000000004</v>
      </c>
      <c r="AN299" s="277"/>
      <c r="AO299" s="277"/>
      <c r="AP299" s="285"/>
      <c r="AQ299" s="284">
        <f>X299+AA299+AD299+AG299+AJ299+AM299+AP299</f>
        <v>8628.66</v>
      </c>
      <c r="AR299" s="277">
        <f>AR$29</f>
        <v>20</v>
      </c>
      <c r="AS299" s="277">
        <f>AT299/C299</f>
        <v>6391.6</v>
      </c>
      <c r="AT299" s="280">
        <f>(U299)*AR299%</f>
        <v>6391.6</v>
      </c>
      <c r="AU299" s="277"/>
      <c r="AV299" s="277">
        <v>100</v>
      </c>
      <c r="AW299" s="277">
        <f>AU299*T299</f>
        <v>0</v>
      </c>
      <c r="AX299" s="277"/>
      <c r="AY299" s="277"/>
      <c r="AZ299" s="280"/>
      <c r="BA299" s="284">
        <f>AT299+AW299+AZ299</f>
        <v>6391.6</v>
      </c>
      <c r="BB299" s="284">
        <f>BC299/C299</f>
        <v>46978.26</v>
      </c>
      <c r="BC299" s="284">
        <f>BA299+AQ299+U299</f>
        <v>46978.26</v>
      </c>
      <c r="BD299" s="286">
        <f t="shared" si="180"/>
        <v>15659.42</v>
      </c>
      <c r="BE299" s="286"/>
    </row>
    <row r="300" spans="1:67" s="287" customFormat="1" ht="18.75" hidden="1" customHeight="1" x14ac:dyDescent="0.25">
      <c r="A300" s="276"/>
      <c r="B300" s="277"/>
      <c r="C300" s="425"/>
      <c r="D300" s="279"/>
      <c r="E300" s="279"/>
      <c r="F300" s="279"/>
      <c r="G300" s="279"/>
      <c r="H300" s="279"/>
      <c r="I300" s="279"/>
      <c r="J300" s="279"/>
      <c r="K300" s="279"/>
      <c r="L300" s="277"/>
      <c r="M300" s="283"/>
      <c r="N300" s="277"/>
      <c r="O300" s="277"/>
      <c r="P300" s="277"/>
      <c r="Q300" s="277"/>
      <c r="R300" s="283"/>
      <c r="S300" s="283"/>
      <c r="T300" s="425"/>
      <c r="U300" s="284"/>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84">
        <f>X300+AA300+AD300+AG300+AJ300+AM300+AP300</f>
        <v>0</v>
      </c>
      <c r="AR300" s="277"/>
      <c r="AS300" s="277"/>
      <c r="AT300" s="280"/>
      <c r="AU300" s="277"/>
      <c r="AV300" s="277"/>
      <c r="AW300" s="277"/>
      <c r="AX300" s="277"/>
      <c r="AY300" s="277"/>
      <c r="AZ300" s="280"/>
      <c r="BA300" s="284"/>
      <c r="BB300" s="284"/>
      <c r="BC300" s="284"/>
      <c r="BD300" s="286"/>
      <c r="BE300" s="286"/>
    </row>
    <row r="301" spans="1:67" s="316" customFormat="1" ht="20.25" customHeight="1" x14ac:dyDescent="0.25">
      <c r="A301" s="306"/>
      <c r="B301" s="372" t="s">
        <v>229</v>
      </c>
      <c r="C301" s="329">
        <f>SUM(C296:C300)</f>
        <v>12</v>
      </c>
      <c r="D301" s="309"/>
      <c r="E301" s="309"/>
      <c r="F301" s="309"/>
      <c r="G301" s="309"/>
      <c r="H301" s="309"/>
      <c r="I301" s="309"/>
      <c r="J301" s="309"/>
      <c r="K301" s="309"/>
      <c r="L301" s="309"/>
      <c r="M301" s="310"/>
      <c r="N301" s="309"/>
      <c r="O301" s="309"/>
      <c r="P301" s="309"/>
      <c r="Q301" s="309"/>
      <c r="R301" s="310"/>
      <c r="S301" s="310"/>
      <c r="T301" s="349">
        <f>U301/2</f>
        <v>150994</v>
      </c>
      <c r="U301" s="309">
        <f>SUM(U296:U300)</f>
        <v>301988</v>
      </c>
      <c r="V301" s="309"/>
      <c r="W301" s="309"/>
      <c r="X301" s="309">
        <f>SUM(X296:X300)</f>
        <v>40984.479999999996</v>
      </c>
      <c r="Y301" s="309"/>
      <c r="Z301" s="309"/>
      <c r="AA301" s="309">
        <f>SUM(AA296:AA300)</f>
        <v>9706.56</v>
      </c>
      <c r="AB301" s="309"/>
      <c r="AC301" s="309"/>
      <c r="AD301" s="309">
        <f>SUM(AD296:AD300)</f>
        <v>7533.4023741097089</v>
      </c>
      <c r="AE301" s="309"/>
      <c r="AF301" s="309"/>
      <c r="AG301" s="309">
        <f>SUM(AG296:AG300)</f>
        <v>26366.90830938398</v>
      </c>
      <c r="AH301" s="309"/>
      <c r="AI301" s="309"/>
      <c r="AJ301" s="309">
        <f>SUM(AJ296:AJ300)</f>
        <v>60033.668374359615</v>
      </c>
      <c r="AK301" s="309"/>
      <c r="AL301" s="309"/>
      <c r="AM301" s="309">
        <f>SUM(AM296:AM300)</f>
        <v>31900.34</v>
      </c>
      <c r="AN301" s="309"/>
      <c r="AO301" s="309"/>
      <c r="AP301" s="309">
        <f>SUM(AP296:AP300)</f>
        <v>0</v>
      </c>
      <c r="AQ301" s="309">
        <f>SUM(AQ296:AQ300)</f>
        <v>176525.35905785332</v>
      </c>
      <c r="AR301" s="309"/>
      <c r="AS301" s="309">
        <f>SUM(AS296:AS300)</f>
        <v>22122.400000000001</v>
      </c>
      <c r="AT301" s="309">
        <f>SUM(AT296:AT300)</f>
        <v>60397.599999999999</v>
      </c>
      <c r="AU301" s="309">
        <f>SUM(AU296:AU300)</f>
        <v>2</v>
      </c>
      <c r="AV301" s="309"/>
      <c r="AW301" s="309">
        <f>SUM(AW296:AW300)</f>
        <v>23922</v>
      </c>
      <c r="AX301" s="309"/>
      <c r="AY301" s="309">
        <f>SUM(AY296:AY300)</f>
        <v>0</v>
      </c>
      <c r="AZ301" s="309">
        <f>SUM(AZ296:AZ300)</f>
        <v>0</v>
      </c>
      <c r="BA301" s="309">
        <f>SUM(BA296:BA300)</f>
        <v>84319.6</v>
      </c>
      <c r="BB301" s="309">
        <f>BC301/C301</f>
        <v>46902.746588154441</v>
      </c>
      <c r="BC301" s="309">
        <f>SUM(BC296:BC300)</f>
        <v>562832.95905785332</v>
      </c>
      <c r="BD301" s="286">
        <f t="shared" si="180"/>
        <v>15634.248862718146</v>
      </c>
      <c r="BE301" s="287"/>
    </row>
    <row r="302" spans="1:67" s="316" customFormat="1" ht="28.5" x14ac:dyDescent="0.25">
      <c r="A302" s="306"/>
      <c r="B302" s="307" t="s">
        <v>285</v>
      </c>
      <c r="C302" s="329">
        <f>C272+C283+C294+C301</f>
        <v>51</v>
      </c>
      <c r="D302" s="309"/>
      <c r="E302" s="309"/>
      <c r="F302" s="309"/>
      <c r="G302" s="309"/>
      <c r="H302" s="309"/>
      <c r="I302" s="309"/>
      <c r="J302" s="309"/>
      <c r="K302" s="309"/>
      <c r="L302" s="309"/>
      <c r="M302" s="310"/>
      <c r="N302" s="309"/>
      <c r="O302" s="309"/>
      <c r="P302" s="309"/>
      <c r="Q302" s="309"/>
      <c r="R302" s="310"/>
      <c r="S302" s="310"/>
      <c r="T302" s="349">
        <f>U302/2</f>
        <v>717804</v>
      </c>
      <c r="U302" s="329">
        <f>U272+U283+U294+U301</f>
        <v>1435608</v>
      </c>
      <c r="V302" s="309"/>
      <c r="W302" s="309"/>
      <c r="X302" s="329">
        <f>X272+X283+X294+X301</f>
        <v>227638</v>
      </c>
      <c r="Y302" s="329"/>
      <c r="Z302" s="329">
        <f>Z272+Z283+Z294+Z301</f>
        <v>0</v>
      </c>
      <c r="AA302" s="329">
        <f>AA272+AA283+AA294+AA301</f>
        <v>37860.639999999999</v>
      </c>
      <c r="AB302" s="329"/>
      <c r="AC302" s="329"/>
      <c r="AD302" s="329">
        <f>AD272+AD283+AD294+AD301</f>
        <v>24950.1046440918</v>
      </c>
      <c r="AE302" s="329"/>
      <c r="AF302" s="329">
        <f>AF272+AF283+AF294+AF301</f>
        <v>0</v>
      </c>
      <c r="AG302" s="329">
        <f>AG272+AG283+AG294+AG301</f>
        <v>87325.366254321299</v>
      </c>
      <c r="AH302" s="329"/>
      <c r="AI302" s="329">
        <f>AI272+AI283+AI294+AI301</f>
        <v>0</v>
      </c>
      <c r="AJ302" s="329">
        <f>AJ272+AJ283+AJ294+AJ301</f>
        <v>182573.46395101838</v>
      </c>
      <c r="AK302" s="329"/>
      <c r="AL302" s="329">
        <f>AL272+AL283+AL294+AL301</f>
        <v>0</v>
      </c>
      <c r="AM302" s="329">
        <f>AM272+AM283+AM294+AM301</f>
        <v>108441.28</v>
      </c>
      <c r="AN302" s="329"/>
      <c r="AO302" s="329">
        <f>AO272+AO283+AO294+AO301</f>
        <v>0</v>
      </c>
      <c r="AP302" s="329">
        <f>AP272+AP283+AP294+AP301</f>
        <v>11082.5</v>
      </c>
      <c r="AQ302" s="329">
        <f>AQ272+AQ283+AQ294+AQ301</f>
        <v>679871.35484943155</v>
      </c>
      <c r="AR302" s="329"/>
      <c r="AS302" s="329">
        <f>AS272+AS283+AS294+AS301</f>
        <v>129526</v>
      </c>
      <c r="AT302" s="329">
        <f>AT272+AT283+AT294+AT301</f>
        <v>287121.60000000003</v>
      </c>
      <c r="AU302" s="329">
        <f>AU272+AU283+AU294+AU301</f>
        <v>12</v>
      </c>
      <c r="AV302" s="329"/>
      <c r="AW302" s="329">
        <f>AW272+AW283+AW294+AW301</f>
        <v>167920</v>
      </c>
      <c r="AX302" s="329"/>
      <c r="AY302" s="329">
        <f>AY272+AY283+AY294+AY301</f>
        <v>0</v>
      </c>
      <c r="AZ302" s="329">
        <f>AZ272+AZ283+AZ294+AZ301</f>
        <v>0</v>
      </c>
      <c r="BA302" s="329">
        <f>BA272+BA283+BA294+BA301</f>
        <v>455041.6</v>
      </c>
      <c r="BB302" s="329">
        <f>BB272+BB283+BB294+BB301</f>
        <v>861517.82012066315</v>
      </c>
      <c r="BC302" s="329">
        <f>BC272+BC283+BC294+BC301</f>
        <v>2570520.9548494313</v>
      </c>
      <c r="BD302" s="286">
        <f t="shared" si="180"/>
        <v>16800.790554571446</v>
      </c>
      <c r="BE302" s="378"/>
      <c r="BF302" s="379">
        <f t="shared" ref="BF302:BM302" si="253">BF272+BF294+BF301</f>
        <v>0</v>
      </c>
      <c r="BG302" s="379">
        <f t="shared" si="253"/>
        <v>0</v>
      </c>
      <c r="BH302" s="379">
        <f t="shared" si="253"/>
        <v>0</v>
      </c>
      <c r="BI302" s="379">
        <f t="shared" si="253"/>
        <v>0</v>
      </c>
      <c r="BJ302" s="379">
        <f t="shared" si="253"/>
        <v>120009.12</v>
      </c>
      <c r="BK302" s="379">
        <f t="shared" si="253"/>
        <v>0</v>
      </c>
      <c r="BL302" s="379">
        <f t="shared" si="253"/>
        <v>0</v>
      </c>
      <c r="BM302" s="379">
        <f t="shared" si="253"/>
        <v>0</v>
      </c>
    </row>
    <row r="303" spans="1:67" s="287" customFormat="1" ht="1.5" customHeight="1" x14ac:dyDescent="0.25">
      <c r="A303" s="380"/>
      <c r="B303" s="274"/>
      <c r="C303" s="381"/>
      <c r="M303" s="382"/>
      <c r="R303" s="382"/>
      <c r="S303" s="382"/>
      <c r="T303" s="323"/>
      <c r="U303" s="323"/>
      <c r="X303" s="323"/>
      <c r="Y303" s="323"/>
      <c r="Z303" s="323"/>
      <c r="AA303" s="323"/>
      <c r="AB303" s="323"/>
      <c r="AC303" s="323"/>
      <c r="AD303" s="323"/>
      <c r="AE303" s="323"/>
      <c r="AF303" s="323"/>
      <c r="AG303" s="323"/>
      <c r="AH303" s="323"/>
      <c r="AI303" s="323"/>
      <c r="AJ303" s="323"/>
      <c r="AK303" s="323"/>
      <c r="AL303" s="323"/>
      <c r="AM303" s="323"/>
      <c r="AN303" s="323"/>
      <c r="AO303" s="323"/>
      <c r="AP303" s="323"/>
      <c r="AQ303" s="323"/>
      <c r="AT303" s="382"/>
      <c r="AZ303" s="382"/>
      <c r="BA303" s="323"/>
      <c r="BB303" s="323"/>
      <c r="BC303" s="323"/>
      <c r="BD303" s="286"/>
      <c r="BE303" s="323"/>
    </row>
    <row r="304" spans="1:67" s="275" customFormat="1" ht="26.45" customHeight="1" x14ac:dyDescent="0.25">
      <c r="A304" s="270" t="s">
        <v>258</v>
      </c>
      <c r="B304" s="271" t="s">
        <v>99</v>
      </c>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272"/>
      <c r="AG304" s="272"/>
      <c r="AH304" s="272"/>
      <c r="AI304" s="272"/>
      <c r="AJ304" s="272"/>
      <c r="AK304" s="272"/>
      <c r="AL304" s="272"/>
      <c r="AM304" s="272"/>
      <c r="AN304" s="272"/>
      <c r="AO304" s="272"/>
      <c r="AP304" s="272"/>
      <c r="AQ304" s="272"/>
      <c r="AR304" s="272"/>
      <c r="AS304" s="272"/>
      <c r="AT304" s="272"/>
      <c r="AU304" s="272"/>
      <c r="AV304" s="272"/>
      <c r="AW304" s="272"/>
      <c r="AX304" s="272"/>
      <c r="AY304" s="272"/>
      <c r="AZ304" s="272"/>
      <c r="BA304" s="272"/>
      <c r="BB304" s="272"/>
      <c r="BC304" s="273"/>
      <c r="BD304" s="286"/>
      <c r="BE304" s="274"/>
    </row>
    <row r="305" spans="1:65" s="388" customFormat="1" ht="22.15" customHeight="1" x14ac:dyDescent="0.25">
      <c r="A305" s="383"/>
      <c r="B305" s="384" t="s">
        <v>259</v>
      </c>
      <c r="C305" s="385"/>
      <c r="D305" s="384"/>
      <c r="E305" s="384"/>
      <c r="F305" s="384"/>
      <c r="G305" s="384"/>
      <c r="H305" s="384"/>
      <c r="I305" s="384"/>
      <c r="J305" s="384"/>
      <c r="K305" s="384"/>
      <c r="L305" s="384"/>
      <c r="M305" s="386"/>
      <c r="N305" s="384"/>
      <c r="O305" s="384"/>
      <c r="P305" s="384"/>
      <c r="Q305" s="384"/>
      <c r="R305" s="386"/>
      <c r="S305" s="386"/>
      <c r="T305" s="385"/>
      <c r="U305" s="384"/>
      <c r="V305" s="384"/>
      <c r="W305" s="384"/>
      <c r="X305" s="384"/>
      <c r="Y305" s="384"/>
      <c r="Z305" s="384"/>
      <c r="AA305" s="384"/>
      <c r="AB305" s="384"/>
      <c r="AC305" s="384"/>
      <c r="AD305" s="384"/>
      <c r="AE305" s="384"/>
      <c r="AF305" s="384"/>
      <c r="AG305" s="384"/>
      <c r="AH305" s="384"/>
      <c r="AI305" s="384"/>
      <c r="AJ305" s="384"/>
      <c r="AK305" s="384"/>
      <c r="AL305" s="384"/>
      <c r="AM305" s="384"/>
      <c r="AN305" s="384"/>
      <c r="AO305" s="384"/>
      <c r="AP305" s="384"/>
      <c r="AQ305" s="387"/>
      <c r="AR305" s="384"/>
      <c r="AS305" s="384"/>
      <c r="AT305" s="386"/>
      <c r="AU305" s="384"/>
      <c r="AV305" s="384"/>
      <c r="AW305" s="384"/>
      <c r="AX305" s="384"/>
      <c r="AY305" s="384"/>
      <c r="AZ305" s="386"/>
      <c r="BA305" s="384"/>
      <c r="BB305" s="384"/>
      <c r="BC305" s="387"/>
      <c r="BD305" s="286"/>
      <c r="BE305" s="371"/>
    </row>
    <row r="306" spans="1:65" s="287" customFormat="1" x14ac:dyDescent="0.25">
      <c r="A306" s="276"/>
      <c r="B306" s="277" t="s">
        <v>260</v>
      </c>
      <c r="C306" s="425">
        <f>1</f>
        <v>1</v>
      </c>
      <c r="D306" s="279"/>
      <c r="E306" s="279"/>
      <c r="F306" s="279"/>
      <c r="G306" s="279"/>
      <c r="H306" s="279"/>
      <c r="I306" s="279"/>
      <c r="J306" s="279">
        <v>1</v>
      </c>
      <c r="K306" s="279"/>
      <c r="L306" s="277"/>
      <c r="M306" s="280">
        <f>M$248</f>
        <v>3028</v>
      </c>
      <c r="N306" s="281">
        <f>N$244</f>
        <v>2</v>
      </c>
      <c r="O306" s="282">
        <v>2.35</v>
      </c>
      <c r="P306" s="282">
        <f>P$244</f>
        <v>1.58</v>
      </c>
      <c r="Q306" s="282"/>
      <c r="R306" s="283">
        <f>$R$244</f>
        <v>477</v>
      </c>
      <c r="S306" s="280">
        <f>T306/(R306/1)</f>
        <v>47.140461215932916</v>
      </c>
      <c r="T306" s="425">
        <f>ROUND(M306*N306*O306*P306,0)</f>
        <v>22486</v>
      </c>
      <c r="U306" s="284">
        <f>T306*C306*2</f>
        <v>44972</v>
      </c>
      <c r="V306" s="277">
        <v>30</v>
      </c>
      <c r="W306" s="285"/>
      <c r="X306" s="285">
        <f>U306*V306%</f>
        <v>13491.6</v>
      </c>
      <c r="Y306" s="277"/>
      <c r="Z306" s="277"/>
      <c r="AA306" s="277"/>
      <c r="AB306" s="277"/>
      <c r="AC306" s="277"/>
      <c r="AD306" s="277"/>
      <c r="AE306" s="277"/>
      <c r="AF306" s="277"/>
      <c r="AG306" s="277"/>
      <c r="AH306" s="277"/>
      <c r="AI306" s="277"/>
      <c r="AJ306" s="277"/>
      <c r="AK306" s="277">
        <v>15</v>
      </c>
      <c r="AL306" s="277"/>
      <c r="AM306" s="285">
        <f>T306*AK306%*2</f>
        <v>6745.8</v>
      </c>
      <c r="AN306" s="277"/>
      <c r="AO306" s="277"/>
      <c r="AP306" s="277"/>
      <c r="AQ306" s="284">
        <f t="shared" ref="AQ306:AQ312" si="254">X306+AA306+AD306+AG306+AJ306+AM306+AP306</f>
        <v>20237.400000000001</v>
      </c>
      <c r="AR306" s="277">
        <f>AR$29</f>
        <v>20</v>
      </c>
      <c r="AS306" s="277">
        <f>AT306/C306</f>
        <v>8994.4</v>
      </c>
      <c r="AT306" s="280">
        <f>(U306)*AR306%</f>
        <v>8994.4</v>
      </c>
      <c r="AU306" s="277"/>
      <c r="AV306" s="277">
        <v>100</v>
      </c>
      <c r="AW306" s="277">
        <f>AU306*T306</f>
        <v>0</v>
      </c>
      <c r="AX306" s="277"/>
      <c r="AY306" s="277"/>
      <c r="AZ306" s="280"/>
      <c r="BA306" s="284">
        <f>AT306+AW306+AZ306</f>
        <v>8994.4</v>
      </c>
      <c r="BB306" s="284">
        <f>BC306/C306</f>
        <v>74203.8</v>
      </c>
      <c r="BC306" s="284">
        <f>BA306+AQ306+U306</f>
        <v>74203.8</v>
      </c>
      <c r="BD306" s="286">
        <f t="shared" si="180"/>
        <v>24734.600000000002</v>
      </c>
      <c r="BE306" s="286"/>
      <c r="BF306" s="251">
        <f>IF(D306=1,BC306,0)</f>
        <v>0</v>
      </c>
      <c r="BG306" s="251">
        <f>IF(E306=1,BC306,0)</f>
        <v>0</v>
      </c>
      <c r="BH306" s="251">
        <f>IF(F306=1,BC306,0)</f>
        <v>0</v>
      </c>
      <c r="BI306" s="251">
        <f>IF(G306=1,BC306,0)</f>
        <v>0</v>
      </c>
      <c r="BJ306" s="251">
        <f>IF(H306=1,BC306,0)</f>
        <v>0</v>
      </c>
      <c r="BK306" s="251">
        <f>IF(I306=1,BC306,0)</f>
        <v>0</v>
      </c>
      <c r="BL306" s="251">
        <f>IF(J306=1,BC306,0)</f>
        <v>74203.8</v>
      </c>
      <c r="BM306" s="251">
        <f>IF(K306=1,BC306,0)</f>
        <v>0</v>
      </c>
    </row>
    <row r="307" spans="1:65" s="287" customFormat="1" x14ac:dyDescent="0.25">
      <c r="A307" s="276"/>
      <c r="B307" s="288" t="s">
        <v>238</v>
      </c>
      <c r="C307" s="425">
        <v>2</v>
      </c>
      <c r="D307" s="279"/>
      <c r="E307" s="279"/>
      <c r="F307" s="279"/>
      <c r="G307" s="279"/>
      <c r="H307" s="279"/>
      <c r="I307" s="279"/>
      <c r="J307" s="279">
        <v>1</v>
      </c>
      <c r="K307" s="279"/>
      <c r="L307" s="277"/>
      <c r="M307" s="280">
        <f>M$248</f>
        <v>3028</v>
      </c>
      <c r="N307" s="281">
        <f>N$244</f>
        <v>2</v>
      </c>
      <c r="O307" s="282">
        <v>1.8</v>
      </c>
      <c r="P307" s="282">
        <f>P$244</f>
        <v>1.58</v>
      </c>
      <c r="Q307" s="282"/>
      <c r="R307" s="283">
        <f>$R$244</f>
        <v>477</v>
      </c>
      <c r="S307" s="280">
        <f>T307/(R307/1)</f>
        <v>36.106918238993714</v>
      </c>
      <c r="T307" s="425">
        <f>ROUND(M307*N307*O307*P307,0)</f>
        <v>17223</v>
      </c>
      <c r="U307" s="284">
        <f>T307*C307*2</f>
        <v>68892</v>
      </c>
      <c r="V307" s="277">
        <v>20</v>
      </c>
      <c r="W307" s="285"/>
      <c r="X307" s="285">
        <f>U307*V307%</f>
        <v>13778.400000000001</v>
      </c>
      <c r="Y307" s="277"/>
      <c r="Z307" s="277"/>
      <c r="AA307" s="277"/>
      <c r="AB307" s="277"/>
      <c r="AC307" s="277"/>
      <c r="AD307" s="277"/>
      <c r="AE307" s="277"/>
      <c r="AF307" s="277"/>
      <c r="AG307" s="277"/>
      <c r="AH307" s="277"/>
      <c r="AI307" s="277"/>
      <c r="AJ307" s="277"/>
      <c r="AK307" s="277">
        <f>(15+15)/2</f>
        <v>15</v>
      </c>
      <c r="AL307" s="277"/>
      <c r="AM307" s="342">
        <f>2*T307*AK307%*2</f>
        <v>10333.799999999999</v>
      </c>
      <c r="AN307" s="277"/>
      <c r="AO307" s="277"/>
      <c r="AP307" s="277"/>
      <c r="AQ307" s="284">
        <f t="shared" si="254"/>
        <v>24112.2</v>
      </c>
      <c r="AR307" s="277">
        <f>AR$29</f>
        <v>20</v>
      </c>
      <c r="AS307" s="285">
        <f>AT307/C307</f>
        <v>6889.2000000000007</v>
      </c>
      <c r="AT307" s="280">
        <f>(U307)*AR307%</f>
        <v>13778.400000000001</v>
      </c>
      <c r="AU307" s="277"/>
      <c r="AV307" s="277">
        <v>100</v>
      </c>
      <c r="AW307" s="277">
        <f>AU307*T307</f>
        <v>0</v>
      </c>
      <c r="AX307" s="277"/>
      <c r="AY307" s="285"/>
      <c r="AZ307" s="280"/>
      <c r="BA307" s="284">
        <f>AT307+AW307+AZ307</f>
        <v>13778.400000000001</v>
      </c>
      <c r="BB307" s="284">
        <f>BC307/C307</f>
        <v>53391.3</v>
      </c>
      <c r="BC307" s="284">
        <f>BA307+AQ307+U307</f>
        <v>106782.6</v>
      </c>
      <c r="BD307" s="286">
        <f t="shared" si="180"/>
        <v>17797.100000000002</v>
      </c>
      <c r="BE307" s="286"/>
      <c r="BF307" s="251">
        <f>IF(D307=1,BC307,0)</f>
        <v>0</v>
      </c>
      <c r="BG307" s="251">
        <f>IF(E307=1,BC307,0)</f>
        <v>0</v>
      </c>
      <c r="BH307" s="251">
        <f>IF(F307=1,BC307,0)</f>
        <v>0</v>
      </c>
      <c r="BI307" s="251">
        <f>IF(G307=1,BC307,0)</f>
        <v>0</v>
      </c>
      <c r="BJ307" s="251">
        <f>IF(H307=1,BC307,0)</f>
        <v>0</v>
      </c>
      <c r="BK307" s="251">
        <f>IF(I307=1,BC307,0)</f>
        <v>0</v>
      </c>
      <c r="BL307" s="251">
        <f>IF(J307=1,BC307,0)</f>
        <v>106782.6</v>
      </c>
      <c r="BM307" s="251">
        <f>IF(K307=1,BC307,0)</f>
        <v>0</v>
      </c>
    </row>
    <row r="308" spans="1:65" s="287" customFormat="1" ht="28.5" x14ac:dyDescent="0.25">
      <c r="A308" s="276"/>
      <c r="B308" s="288" t="s">
        <v>261</v>
      </c>
      <c r="C308" s="278">
        <v>1</v>
      </c>
      <c r="D308" s="279"/>
      <c r="E308" s="279"/>
      <c r="F308" s="279"/>
      <c r="G308" s="279"/>
      <c r="H308" s="279">
        <v>1</v>
      </c>
      <c r="I308" s="279"/>
      <c r="J308" s="279"/>
      <c r="K308" s="279"/>
      <c r="L308" s="277"/>
      <c r="M308" s="280">
        <f>M$248</f>
        <v>3028</v>
      </c>
      <c r="N308" s="281">
        <f>N$244</f>
        <v>2</v>
      </c>
      <c r="O308" s="282">
        <v>1.32</v>
      </c>
      <c r="P308" s="282">
        <f>P$244</f>
        <v>1.58</v>
      </c>
      <c r="Q308" s="282"/>
      <c r="R308" s="283">
        <f>$R$244</f>
        <v>477</v>
      </c>
      <c r="S308" s="280">
        <f>T308/(R308/1)</f>
        <v>26.477987421383649</v>
      </c>
      <c r="T308" s="425">
        <f>ROUND(M308*N308*O308*P308,0)</f>
        <v>12630</v>
      </c>
      <c r="U308" s="284">
        <f>T308*C308*2</f>
        <v>25260</v>
      </c>
      <c r="V308" s="277">
        <v>12</v>
      </c>
      <c r="W308" s="285"/>
      <c r="X308" s="285">
        <f>U308*V308%</f>
        <v>3031.2</v>
      </c>
      <c r="Y308" s="277"/>
      <c r="Z308" s="277"/>
      <c r="AA308" s="277"/>
      <c r="AB308" s="277"/>
      <c r="AC308" s="277"/>
      <c r="AD308" s="277"/>
      <c r="AE308" s="277"/>
      <c r="AF308" s="277"/>
      <c r="AG308" s="277"/>
      <c r="AH308" s="277"/>
      <c r="AI308" s="277"/>
      <c r="AJ308" s="277"/>
      <c r="AK308" s="277">
        <v>20</v>
      </c>
      <c r="AL308" s="277"/>
      <c r="AM308" s="342">
        <f>1*T308*AK308%*2</f>
        <v>5052</v>
      </c>
      <c r="AN308" s="277"/>
      <c r="AO308" s="277"/>
      <c r="AP308" s="277"/>
      <c r="AQ308" s="284">
        <f>X308+AA308+AD308+AG308+AJ308+AM308+AP308</f>
        <v>8083.2</v>
      </c>
      <c r="AR308" s="277">
        <f>AR$29</f>
        <v>20</v>
      </c>
      <c r="AS308" s="285">
        <f>AT308/C308</f>
        <v>5052</v>
      </c>
      <c r="AT308" s="280">
        <f>(U308)*AR308%</f>
        <v>5052</v>
      </c>
      <c r="AU308" s="277"/>
      <c r="AV308" s="277">
        <v>100</v>
      </c>
      <c r="AW308" s="277">
        <f>AU308*T308</f>
        <v>0</v>
      </c>
      <c r="AX308" s="277"/>
      <c r="AY308" s="285"/>
      <c r="AZ308" s="280"/>
      <c r="BA308" s="284">
        <f>AT308+AW308+AZ308</f>
        <v>5052</v>
      </c>
      <c r="BB308" s="284">
        <f>BC308/C308</f>
        <v>38395.199999999997</v>
      </c>
      <c r="BC308" s="284">
        <f>BA308+AQ308+U308</f>
        <v>38395.199999999997</v>
      </c>
      <c r="BD308" s="286">
        <f>BC308/C308/3</f>
        <v>12798.4</v>
      </c>
      <c r="BE308" s="286"/>
      <c r="BF308" s="251">
        <f>IF(D308=1,BC308,0)</f>
        <v>0</v>
      </c>
      <c r="BG308" s="251">
        <f>IF(E308=1,BC308,0)</f>
        <v>0</v>
      </c>
      <c r="BH308" s="251">
        <f>IF(F308=1,BC308,0)</f>
        <v>0</v>
      </c>
      <c r="BI308" s="251">
        <f>IF(G308=1,BC308,0)</f>
        <v>0</v>
      </c>
      <c r="BJ308" s="251">
        <f>IF(H308=1,BC308,0)</f>
        <v>38395.199999999997</v>
      </c>
      <c r="BK308" s="251">
        <f>IF(I308=1,BC308,0)</f>
        <v>0</v>
      </c>
      <c r="BL308" s="251">
        <f>IF(J308=1,BC308,0)</f>
        <v>0</v>
      </c>
      <c r="BM308" s="251">
        <f>IF(K308=1,BC308,0)</f>
        <v>0</v>
      </c>
    </row>
    <row r="309" spans="1:65" s="287" customFormat="1" ht="21.75" customHeight="1" x14ac:dyDescent="0.25">
      <c r="A309" s="276"/>
      <c r="B309" s="288" t="s">
        <v>262</v>
      </c>
      <c r="C309" s="278">
        <f>4</f>
        <v>4</v>
      </c>
      <c r="D309" s="279"/>
      <c r="E309" s="279"/>
      <c r="F309" s="279"/>
      <c r="G309" s="279"/>
      <c r="H309" s="279">
        <v>1</v>
      </c>
      <c r="I309" s="279"/>
      <c r="J309" s="279"/>
      <c r="K309" s="279"/>
      <c r="L309" s="277"/>
      <c r="M309" s="280">
        <f>M$248</f>
        <v>3028</v>
      </c>
      <c r="N309" s="281">
        <f>N$244</f>
        <v>2</v>
      </c>
      <c r="O309" s="282">
        <v>1.2</v>
      </c>
      <c r="P309" s="282">
        <f>P$244</f>
        <v>1.58</v>
      </c>
      <c r="Q309" s="282"/>
      <c r="R309" s="283">
        <f>$R$244</f>
        <v>477</v>
      </c>
      <c r="S309" s="280">
        <f>T309/(R309/1)</f>
        <v>24.071278825995808</v>
      </c>
      <c r="T309" s="425">
        <f>ROUND(M309*N309*O309*P309,0)</f>
        <v>11482</v>
      </c>
      <c r="U309" s="284">
        <f>T309*C309*2</f>
        <v>91856</v>
      </c>
      <c r="V309" s="277">
        <v>12</v>
      </c>
      <c r="W309" s="285"/>
      <c r="X309" s="285">
        <f>U309*V309%</f>
        <v>11022.72</v>
      </c>
      <c r="Y309" s="277"/>
      <c r="Z309" s="277"/>
      <c r="AA309" s="277"/>
      <c r="AB309" s="277"/>
      <c r="AC309" s="277"/>
      <c r="AD309" s="277"/>
      <c r="AE309" s="277"/>
      <c r="AF309" s="277"/>
      <c r="AG309" s="277"/>
      <c r="AH309" s="277"/>
      <c r="AI309" s="277"/>
      <c r="AJ309" s="277"/>
      <c r="AK309" s="277">
        <f>(15+20+10+10)/4</f>
        <v>13.75</v>
      </c>
      <c r="AL309" s="277"/>
      <c r="AM309" s="342">
        <f>4*T309*AK309%*2</f>
        <v>12630.2</v>
      </c>
      <c r="AN309" s="277"/>
      <c r="AO309" s="277"/>
      <c r="AP309" s="277"/>
      <c r="AQ309" s="284">
        <f t="shared" si="254"/>
        <v>23652.92</v>
      </c>
      <c r="AR309" s="277">
        <f>AR$29</f>
        <v>20</v>
      </c>
      <c r="AS309" s="285">
        <f>AT309/C309</f>
        <v>4592.8</v>
      </c>
      <c r="AT309" s="280">
        <f>(U309)*AR309%</f>
        <v>18371.2</v>
      </c>
      <c r="AU309" s="339">
        <v>2</v>
      </c>
      <c r="AV309" s="277">
        <v>100</v>
      </c>
      <c r="AW309" s="277">
        <f>AU309*T309</f>
        <v>22964</v>
      </c>
      <c r="AX309" s="277"/>
      <c r="AY309" s="285"/>
      <c r="AZ309" s="280"/>
      <c r="BA309" s="284">
        <f>AT309+AW309+AZ309</f>
        <v>41335.199999999997</v>
      </c>
      <c r="BB309" s="284">
        <f>BC309/C309</f>
        <v>39211.03</v>
      </c>
      <c r="BC309" s="284">
        <f>BA309+AQ309+U309</f>
        <v>156844.12</v>
      </c>
      <c r="BD309" s="286">
        <f t="shared" si="180"/>
        <v>13070.343333333332</v>
      </c>
      <c r="BE309" s="286"/>
      <c r="BF309" s="251">
        <f>IF(D309=1,BC309,0)</f>
        <v>0</v>
      </c>
      <c r="BG309" s="251">
        <f>IF(E309=1,BC309,0)</f>
        <v>0</v>
      </c>
      <c r="BH309" s="251">
        <f>IF(F309=1,BC309,0)</f>
        <v>0</v>
      </c>
      <c r="BI309" s="251">
        <f>IF(G309=1,BC309,0)</f>
        <v>0</v>
      </c>
      <c r="BJ309" s="251">
        <f>IF(H309=1,BC309,0)</f>
        <v>156844.12</v>
      </c>
      <c r="BK309" s="251">
        <f>IF(I309=1,BC309,0)</f>
        <v>0</v>
      </c>
      <c r="BL309" s="251">
        <f>IF(J309=1,BC309,0)</f>
        <v>0</v>
      </c>
      <c r="BM309" s="251">
        <f>IF(K309=1,BC309,0)</f>
        <v>0</v>
      </c>
    </row>
    <row r="310" spans="1:65" s="301" customFormat="1" ht="20.25" customHeight="1" x14ac:dyDescent="0.25">
      <c r="A310" s="289"/>
      <c r="B310" s="290" t="s">
        <v>262</v>
      </c>
      <c r="C310" s="376">
        <v>6</v>
      </c>
      <c r="D310" s="292"/>
      <c r="E310" s="292"/>
      <c r="F310" s="292"/>
      <c r="G310" s="292"/>
      <c r="H310" s="292"/>
      <c r="I310" s="292">
        <v>1</v>
      </c>
      <c r="J310" s="292"/>
      <c r="K310" s="292"/>
      <c r="L310" s="293"/>
      <c r="M310" s="294">
        <f>M$248</f>
        <v>3028</v>
      </c>
      <c r="N310" s="429">
        <f>N$244</f>
        <v>2</v>
      </c>
      <c r="O310" s="295">
        <v>1.2</v>
      </c>
      <c r="P310" s="295">
        <f>P$244</f>
        <v>1.58</v>
      </c>
      <c r="Q310" s="295"/>
      <c r="R310" s="296">
        <f>$R$244</f>
        <v>477</v>
      </c>
      <c r="S310" s="294">
        <f>T310/(R310/1)</f>
        <v>24.071278825995808</v>
      </c>
      <c r="T310" s="291">
        <f>ROUND(M310*N310*O310*P310,0)</f>
        <v>11482</v>
      </c>
      <c r="U310" s="297">
        <f>T310*C310*2</f>
        <v>137784</v>
      </c>
      <c r="V310" s="293">
        <v>12</v>
      </c>
      <c r="W310" s="298"/>
      <c r="X310" s="298">
        <f>U310*V310%</f>
        <v>16534.079999999998</v>
      </c>
      <c r="Y310" s="293"/>
      <c r="Z310" s="293"/>
      <c r="AA310" s="293"/>
      <c r="AB310" s="293"/>
      <c r="AC310" s="293"/>
      <c r="AD310" s="293"/>
      <c r="AE310" s="293"/>
      <c r="AF310" s="293"/>
      <c r="AG310" s="293"/>
      <c r="AH310" s="293"/>
      <c r="AI310" s="293"/>
      <c r="AJ310" s="293"/>
      <c r="AK310" s="277">
        <f>(10+10)/2</f>
        <v>10</v>
      </c>
      <c r="AL310" s="293"/>
      <c r="AM310" s="298">
        <f>2*T310*AK310%*2</f>
        <v>4592.8</v>
      </c>
      <c r="AN310" s="293"/>
      <c r="AO310" s="293"/>
      <c r="AP310" s="293"/>
      <c r="AQ310" s="297">
        <f t="shared" si="254"/>
        <v>21126.879999999997</v>
      </c>
      <c r="AR310" s="293">
        <f>AR$29</f>
        <v>20</v>
      </c>
      <c r="AS310" s="298">
        <f>AT310/C310</f>
        <v>4592.8</v>
      </c>
      <c r="AT310" s="294">
        <f>(U310)*AR310%</f>
        <v>27556.800000000003</v>
      </c>
      <c r="AU310" s="293">
        <f>1+1+1</f>
        <v>3</v>
      </c>
      <c r="AV310" s="293">
        <v>100</v>
      </c>
      <c r="AW310" s="293">
        <f>AU310*T310</f>
        <v>34446</v>
      </c>
      <c r="AX310" s="293"/>
      <c r="AY310" s="298"/>
      <c r="AZ310" s="294"/>
      <c r="BA310" s="297">
        <f>AT310+AW310+AZ310</f>
        <v>62002.8</v>
      </c>
      <c r="BB310" s="297">
        <f>BC310/C310</f>
        <v>36818.946666666663</v>
      </c>
      <c r="BC310" s="297">
        <f>BA310+AQ310+U310</f>
        <v>220913.68</v>
      </c>
      <c r="BD310" s="299">
        <f t="shared" si="180"/>
        <v>12272.982222222221</v>
      </c>
      <c r="BE310" s="299"/>
      <c r="BF310" s="300">
        <f>IF(D310=1,BC310,0)</f>
        <v>0</v>
      </c>
      <c r="BG310" s="300">
        <f>IF(E310=1,BC310,0)</f>
        <v>0</v>
      </c>
      <c r="BH310" s="300">
        <f>IF(F310=1,BC310,0)</f>
        <v>0</v>
      </c>
      <c r="BI310" s="300">
        <f>IF(G310=1,BC310,0)</f>
        <v>0</v>
      </c>
      <c r="BJ310" s="300">
        <f>IF(H310=1,BC310,0)</f>
        <v>0</v>
      </c>
      <c r="BK310" s="300">
        <f>IF(I310=1,BC310,0)</f>
        <v>220913.68</v>
      </c>
      <c r="BL310" s="300">
        <f>IF(J310=1,BC310,0)</f>
        <v>0</v>
      </c>
      <c r="BM310" s="300">
        <f>IF(K310=1,BC310,0)</f>
        <v>0</v>
      </c>
    </row>
    <row r="311" spans="1:65" s="301" customFormat="1" ht="9" customHeight="1" x14ac:dyDescent="0.25">
      <c r="A311" s="289"/>
      <c r="B311" s="290"/>
      <c r="C311" s="291"/>
      <c r="D311" s="292"/>
      <c r="E311" s="292"/>
      <c r="F311" s="292"/>
      <c r="G311" s="292"/>
      <c r="H311" s="292"/>
      <c r="I311" s="292"/>
      <c r="J311" s="292"/>
      <c r="K311" s="292"/>
      <c r="L311" s="293"/>
      <c r="M311" s="294"/>
      <c r="N311" s="429"/>
      <c r="O311" s="295"/>
      <c r="P311" s="430"/>
      <c r="Q311" s="295"/>
      <c r="R311" s="296"/>
      <c r="S311" s="294"/>
      <c r="T311" s="291"/>
      <c r="U311" s="297"/>
      <c r="V311" s="293"/>
      <c r="W311" s="298"/>
      <c r="X311" s="298"/>
      <c r="Y311" s="293"/>
      <c r="Z311" s="293"/>
      <c r="AA311" s="293"/>
      <c r="AB311" s="293"/>
      <c r="AC311" s="293"/>
      <c r="AD311" s="293"/>
      <c r="AE311" s="293"/>
      <c r="AF311" s="293"/>
      <c r="AG311" s="293"/>
      <c r="AH311" s="293"/>
      <c r="AI311" s="293"/>
      <c r="AJ311" s="293"/>
      <c r="AK311" s="277"/>
      <c r="AL311" s="293"/>
      <c r="AM311" s="298"/>
      <c r="AN311" s="293"/>
      <c r="AO311" s="293"/>
      <c r="AP311" s="293"/>
      <c r="AQ311" s="297"/>
      <c r="AR311" s="293"/>
      <c r="AS311" s="298"/>
      <c r="AT311" s="294"/>
      <c r="AU311" s="293"/>
      <c r="AV311" s="293"/>
      <c r="AW311" s="293"/>
      <c r="AX311" s="293"/>
      <c r="AY311" s="298"/>
      <c r="AZ311" s="431"/>
      <c r="BA311" s="297"/>
      <c r="BB311" s="297"/>
      <c r="BC311" s="297"/>
      <c r="BD311" s="299"/>
      <c r="BE311" s="299"/>
      <c r="BF311" s="300"/>
      <c r="BG311" s="300"/>
      <c r="BH311" s="300"/>
      <c r="BI311" s="300"/>
      <c r="BJ311" s="300"/>
      <c r="BK311" s="300"/>
      <c r="BL311" s="300"/>
      <c r="BM311" s="300"/>
    </row>
    <row r="312" spans="1:65" s="287" customFormat="1" hidden="1" x14ac:dyDescent="0.25">
      <c r="A312" s="276"/>
      <c r="B312" s="288"/>
      <c r="C312" s="425"/>
      <c r="D312" s="279"/>
      <c r="E312" s="279"/>
      <c r="F312" s="279"/>
      <c r="G312" s="279"/>
      <c r="H312" s="279"/>
      <c r="I312" s="279"/>
      <c r="J312" s="279"/>
      <c r="K312" s="279"/>
      <c r="L312" s="277"/>
      <c r="M312" s="280"/>
      <c r="N312" s="281"/>
      <c r="O312" s="282"/>
      <c r="P312" s="282"/>
      <c r="Q312" s="282"/>
      <c r="R312" s="283"/>
      <c r="S312" s="280"/>
      <c r="T312" s="425"/>
      <c r="U312" s="284"/>
      <c r="V312" s="277"/>
      <c r="W312" s="285"/>
      <c r="X312" s="285"/>
      <c r="Y312" s="277"/>
      <c r="Z312" s="277"/>
      <c r="AA312" s="277"/>
      <c r="AB312" s="277"/>
      <c r="AC312" s="277"/>
      <c r="AD312" s="285"/>
      <c r="AE312" s="277"/>
      <c r="AF312" s="285"/>
      <c r="AG312" s="285"/>
      <c r="AH312" s="277"/>
      <c r="AI312" s="285"/>
      <c r="AJ312" s="285"/>
      <c r="AK312" s="277"/>
      <c r="AL312" s="277"/>
      <c r="AM312" s="285"/>
      <c r="AN312" s="277"/>
      <c r="AO312" s="277"/>
      <c r="AP312" s="277"/>
      <c r="AQ312" s="284">
        <f t="shared" si="254"/>
        <v>0</v>
      </c>
      <c r="AR312" s="277"/>
      <c r="AS312" s="285"/>
      <c r="AT312" s="280"/>
      <c r="AU312" s="277"/>
      <c r="AV312" s="277"/>
      <c r="AW312" s="277"/>
      <c r="AX312" s="277"/>
      <c r="AY312" s="285"/>
      <c r="AZ312" s="280"/>
      <c r="BA312" s="284"/>
      <c r="BB312" s="284"/>
      <c r="BC312" s="284"/>
      <c r="BD312" s="286"/>
      <c r="BE312" s="286"/>
      <c r="BF312" s="251"/>
      <c r="BG312" s="251"/>
      <c r="BH312" s="251"/>
      <c r="BI312" s="251"/>
      <c r="BJ312" s="251"/>
      <c r="BK312" s="251"/>
      <c r="BL312" s="251"/>
      <c r="BM312" s="251"/>
    </row>
    <row r="313" spans="1:65" s="316" customFormat="1" ht="14.25" x14ac:dyDescent="0.25">
      <c r="A313" s="306"/>
      <c r="B313" s="307" t="s">
        <v>229</v>
      </c>
      <c r="C313" s="329">
        <f>SUM(C306:C312)</f>
        <v>14</v>
      </c>
      <c r="D313" s="309"/>
      <c r="E313" s="309"/>
      <c r="F313" s="309"/>
      <c r="G313" s="309"/>
      <c r="H313" s="309"/>
      <c r="I313" s="309"/>
      <c r="J313" s="309"/>
      <c r="K313" s="309"/>
      <c r="L313" s="309"/>
      <c r="M313" s="310"/>
      <c r="N313" s="309"/>
      <c r="O313" s="309"/>
      <c r="P313" s="309"/>
      <c r="Q313" s="309"/>
      <c r="R313" s="310"/>
      <c r="S313" s="310"/>
      <c r="T313" s="349">
        <f>U313/2</f>
        <v>184382</v>
      </c>
      <c r="U313" s="312">
        <f>SUM(U306:U312)</f>
        <v>368764</v>
      </c>
      <c r="V313" s="309"/>
      <c r="W313" s="309"/>
      <c r="X313" s="312">
        <f>SUM(X306:X312)</f>
        <v>57858</v>
      </c>
      <c r="Y313" s="312"/>
      <c r="Z313" s="312"/>
      <c r="AA313" s="312">
        <f>SUM(AA306:AA312)</f>
        <v>0</v>
      </c>
      <c r="AB313" s="312"/>
      <c r="AC313" s="312"/>
      <c r="AD313" s="312">
        <f>SUM(AD306:AD312)</f>
        <v>0</v>
      </c>
      <c r="AE313" s="312"/>
      <c r="AF313" s="312"/>
      <c r="AG313" s="312">
        <f>SUM(AG306:AG312)</f>
        <v>0</v>
      </c>
      <c r="AH313" s="312"/>
      <c r="AI313" s="312"/>
      <c r="AJ313" s="312">
        <f>SUM(AJ306:AJ312)</f>
        <v>0</v>
      </c>
      <c r="AK313" s="312"/>
      <c r="AL313" s="312"/>
      <c r="AM313" s="312">
        <f>SUM(AM306:AM312)</f>
        <v>39354.600000000006</v>
      </c>
      <c r="AN313" s="312"/>
      <c r="AO313" s="312"/>
      <c r="AP313" s="312">
        <f>SUM(AP306:AP312)</f>
        <v>0</v>
      </c>
      <c r="AQ313" s="312">
        <f>SUM(AQ306:AQ312)</f>
        <v>97212.6</v>
      </c>
      <c r="AR313" s="312"/>
      <c r="AS313" s="312">
        <f>SUM(AS306:AS312)</f>
        <v>30121.199999999997</v>
      </c>
      <c r="AT313" s="312">
        <f>SUM(AT306:AT312)</f>
        <v>73752.800000000003</v>
      </c>
      <c r="AU313" s="312">
        <f>SUM(AU306:AU312)</f>
        <v>5</v>
      </c>
      <c r="AV313" s="312"/>
      <c r="AW313" s="312">
        <f>SUM(AW306:AW312)</f>
        <v>57410</v>
      </c>
      <c r="AX313" s="312"/>
      <c r="AY313" s="312">
        <f>SUM(AY306:AY312)</f>
        <v>0</v>
      </c>
      <c r="AZ313" s="312">
        <f>SUM(AZ306:AZ312)</f>
        <v>0</v>
      </c>
      <c r="BA313" s="312">
        <f>SUM(BA306:BA312)</f>
        <v>131162.79999999999</v>
      </c>
      <c r="BB313" s="312">
        <f>BC313/C313</f>
        <v>42652.814285714288</v>
      </c>
      <c r="BC313" s="312">
        <f>SUM(BC306:BC312)</f>
        <v>597139.4</v>
      </c>
      <c r="BD313" s="286">
        <f t="shared" ref="BD313:BD333" si="255">BC313/C313/3</f>
        <v>14217.604761904762</v>
      </c>
      <c r="BE313" s="286"/>
    </row>
    <row r="314" spans="1:65" s="287" customFormat="1" ht="8.25" hidden="1" customHeight="1" x14ac:dyDescent="0.25">
      <c r="A314" s="380"/>
      <c r="B314" s="274"/>
      <c r="C314" s="258"/>
      <c r="D314" s="274"/>
      <c r="E314" s="274"/>
      <c r="F314" s="274"/>
      <c r="G314" s="274"/>
      <c r="H314" s="274"/>
      <c r="I314" s="274"/>
      <c r="J314" s="274"/>
      <c r="K314" s="274"/>
      <c r="L314" s="274"/>
      <c r="M314" s="389"/>
      <c r="N314" s="390"/>
      <c r="O314" s="390"/>
      <c r="P314" s="390"/>
      <c r="Q314" s="390"/>
      <c r="R314" s="391"/>
      <c r="S314" s="392"/>
      <c r="T314" s="258"/>
      <c r="U314" s="274"/>
      <c r="V314" s="274"/>
      <c r="W314" s="371"/>
      <c r="X314" s="371"/>
      <c r="Y314" s="274"/>
      <c r="Z314" s="274"/>
      <c r="AA314" s="274"/>
      <c r="AB314" s="274"/>
      <c r="AC314" s="274"/>
      <c r="AD314" s="371"/>
      <c r="AE314" s="274"/>
      <c r="AF314" s="371"/>
      <c r="AG314" s="371"/>
      <c r="AH314" s="274"/>
      <c r="AI314" s="371"/>
      <c r="AJ314" s="371"/>
      <c r="AK314" s="274"/>
      <c r="AL314" s="274"/>
      <c r="AM314" s="274"/>
      <c r="AN314" s="274"/>
      <c r="AO314" s="274"/>
      <c r="AP314" s="274"/>
      <c r="AQ314" s="274"/>
      <c r="AR314" s="274"/>
      <c r="AS314" s="371"/>
      <c r="AT314" s="389"/>
      <c r="AU314" s="274"/>
      <c r="AV314" s="274"/>
      <c r="AW314" s="274"/>
      <c r="AX314" s="274"/>
      <c r="AY314" s="371"/>
      <c r="AZ314" s="389"/>
      <c r="BA314" s="274"/>
      <c r="BB314" s="274"/>
      <c r="BC314" s="274"/>
      <c r="BD314" s="286"/>
      <c r="BE314" s="274"/>
      <c r="BF314" s="251"/>
      <c r="BG314" s="251"/>
      <c r="BH314" s="251"/>
      <c r="BI314" s="251"/>
      <c r="BJ314" s="251"/>
      <c r="BK314" s="251"/>
      <c r="BL314" s="251"/>
      <c r="BM314" s="251"/>
    </row>
    <row r="315" spans="1:65" s="275" customFormat="1" ht="26.45" customHeight="1" x14ac:dyDescent="0.25">
      <c r="A315" s="270" t="s">
        <v>263</v>
      </c>
      <c r="B315" s="324" t="s">
        <v>264</v>
      </c>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2"/>
      <c r="AR315" s="272"/>
      <c r="AS315" s="272"/>
      <c r="AT315" s="272"/>
      <c r="AU315" s="272"/>
      <c r="AV315" s="272"/>
      <c r="AW315" s="272"/>
      <c r="AX315" s="272"/>
      <c r="AY315" s="272"/>
      <c r="AZ315" s="272"/>
      <c r="BA315" s="272"/>
      <c r="BB315" s="272"/>
      <c r="BC315" s="273"/>
      <c r="BD315" s="286"/>
      <c r="BE315" s="274"/>
    </row>
    <row r="316" spans="1:65" s="377" customFormat="1" ht="30" customHeight="1" x14ac:dyDescent="0.25">
      <c r="A316" s="375"/>
      <c r="B316" s="288" t="s">
        <v>265</v>
      </c>
      <c r="C316" s="376">
        <v>1</v>
      </c>
      <c r="D316" s="292"/>
      <c r="E316" s="292"/>
      <c r="F316" s="292"/>
      <c r="G316" s="292"/>
      <c r="H316" s="292"/>
      <c r="I316" s="292">
        <v>1</v>
      </c>
      <c r="J316" s="292"/>
      <c r="K316" s="292"/>
      <c r="L316" s="293"/>
      <c r="M316" s="294">
        <f>M$35</f>
        <v>3028</v>
      </c>
      <c r="N316" s="281">
        <f>N$29</f>
        <v>2</v>
      </c>
      <c r="O316" s="293">
        <v>1.9</v>
      </c>
      <c r="P316" s="295">
        <f>P$244</f>
        <v>1.58</v>
      </c>
      <c r="Q316" s="293"/>
      <c r="R316" s="296">
        <f>$R$244</f>
        <v>477</v>
      </c>
      <c r="S316" s="294">
        <f>T316/(R316/1)</f>
        <v>38.113207547169814</v>
      </c>
      <c r="T316" s="291">
        <f>ROUND(M316*N316*O316*P316,0)</f>
        <v>18180</v>
      </c>
      <c r="U316" s="297">
        <f>T316*C316*2</f>
        <v>36360</v>
      </c>
      <c r="V316" s="293">
        <v>20</v>
      </c>
      <c r="W316" s="298"/>
      <c r="X316" s="298">
        <f>U316*V316%</f>
        <v>7272</v>
      </c>
      <c r="Y316" s="293"/>
      <c r="Z316" s="293"/>
      <c r="AA316" s="293"/>
      <c r="AB316" s="293"/>
      <c r="AC316" s="293"/>
      <c r="AD316" s="293"/>
      <c r="AE316" s="293"/>
      <c r="AF316" s="293"/>
      <c r="AG316" s="293"/>
      <c r="AH316" s="293"/>
      <c r="AI316" s="293"/>
      <c r="AJ316" s="293"/>
      <c r="AK316" s="293">
        <v>15</v>
      </c>
      <c r="AL316" s="293"/>
      <c r="AM316" s="298">
        <f>T316*AK316%*2</f>
        <v>5454</v>
      </c>
      <c r="AN316" s="293"/>
      <c r="AO316" s="293"/>
      <c r="AP316" s="293"/>
      <c r="AQ316" s="297">
        <f>X316+AA316+AD316+AG316+AJ316+AM316+AP316</f>
        <v>12726</v>
      </c>
      <c r="AR316" s="293">
        <v>20</v>
      </c>
      <c r="AS316" s="298">
        <f>AT316/C316</f>
        <v>7272</v>
      </c>
      <c r="AT316" s="294">
        <f>(U316)*AR316%</f>
        <v>7272</v>
      </c>
      <c r="AU316" s="293"/>
      <c r="AV316" s="293">
        <v>100</v>
      </c>
      <c r="AW316" s="293">
        <f>AU316*T316</f>
        <v>0</v>
      </c>
      <c r="AX316" s="293"/>
      <c r="AY316" s="298"/>
      <c r="AZ316" s="294"/>
      <c r="BA316" s="297">
        <f>AT316+AW316+AZ316</f>
        <v>7272</v>
      </c>
      <c r="BB316" s="297">
        <f t="shared" ref="BB316:BB323" si="256">BC316/C316</f>
        <v>56358</v>
      </c>
      <c r="BC316" s="297">
        <f>BA316+AQ316+U316</f>
        <v>56358</v>
      </c>
      <c r="BD316" s="299">
        <f t="shared" si="255"/>
        <v>18786</v>
      </c>
      <c r="BE316" s="299"/>
      <c r="BF316" s="377">
        <f>IF(D316=1,BC316,0)</f>
        <v>0</v>
      </c>
      <c r="BG316" s="377">
        <f>IF(E316=1,BC316,0)</f>
        <v>0</v>
      </c>
      <c r="BH316" s="377">
        <f>IF(F316=1,BC316,0)</f>
        <v>0</v>
      </c>
      <c r="BI316" s="377">
        <f>IF(G316=1,BC316,0)</f>
        <v>0</v>
      </c>
      <c r="BJ316" s="300">
        <f>IF(H316=1,BC316,0)</f>
        <v>0</v>
      </c>
      <c r="BK316" s="300">
        <f>IF(I316=1,BC316,0)</f>
        <v>56358</v>
      </c>
      <c r="BL316" s="300">
        <f>IF(J316=1,BC316,0)</f>
        <v>0</v>
      </c>
      <c r="BM316" s="377">
        <f>IF(K316=1,BC316,0)</f>
        <v>0</v>
      </c>
    </row>
    <row r="317" spans="1:65" ht="33.75" customHeight="1" x14ac:dyDescent="0.25">
      <c r="A317" s="344"/>
      <c r="B317" s="288" t="s">
        <v>266</v>
      </c>
      <c r="C317" s="393">
        <v>2.25</v>
      </c>
      <c r="D317" s="279"/>
      <c r="E317" s="279"/>
      <c r="F317" s="279"/>
      <c r="G317" s="279"/>
      <c r="H317" s="279"/>
      <c r="I317" s="279">
        <v>1</v>
      </c>
      <c r="J317" s="279"/>
      <c r="K317" s="279"/>
      <c r="L317" s="277">
        <v>4</v>
      </c>
      <c r="M317" s="280">
        <f>M$35</f>
        <v>3028</v>
      </c>
      <c r="N317" s="281">
        <f>N$29</f>
        <v>2</v>
      </c>
      <c r="O317" s="277">
        <v>1.43</v>
      </c>
      <c r="P317" s="282">
        <v>1.58</v>
      </c>
      <c r="Q317" s="277"/>
      <c r="R317" s="283">
        <f>$R$244</f>
        <v>477</v>
      </c>
      <c r="S317" s="280">
        <f>T317/(R317/1)</f>
        <v>28.685534591194969</v>
      </c>
      <c r="T317" s="425">
        <f>ROUND(M317*N317*O317*P317,0)</f>
        <v>13683</v>
      </c>
      <c r="U317" s="284">
        <f>T317*C317*2</f>
        <v>61573.5</v>
      </c>
      <c r="V317" s="277">
        <v>16</v>
      </c>
      <c r="W317" s="285"/>
      <c r="X317" s="285">
        <f>U317*V317%</f>
        <v>9851.76</v>
      </c>
      <c r="Y317" s="277"/>
      <c r="Z317" s="277"/>
      <c r="AA317" s="277"/>
      <c r="AB317" s="277"/>
      <c r="AC317" s="277"/>
      <c r="AD317" s="277"/>
      <c r="AE317" s="277"/>
      <c r="AF317" s="277"/>
      <c r="AG317" s="277"/>
      <c r="AH317" s="277"/>
      <c r="AI317" s="277"/>
      <c r="AJ317" s="277"/>
      <c r="AK317" s="277">
        <v>7</v>
      </c>
      <c r="AL317" s="277"/>
      <c r="AM317" s="298">
        <f>T317*AK317%*2</f>
        <v>1915.6200000000001</v>
      </c>
      <c r="AN317" s="277"/>
      <c r="AO317" s="277"/>
      <c r="AP317" s="277"/>
      <c r="AQ317" s="284">
        <f>X317+AA317+AD317+AG317+AJ317+AM317+AP317</f>
        <v>11767.380000000001</v>
      </c>
      <c r="AR317" s="277">
        <v>20</v>
      </c>
      <c r="AS317" s="285">
        <f>AT317/C317</f>
        <v>5473.2000000000007</v>
      </c>
      <c r="AT317" s="280">
        <f>(U317)*AR317%</f>
        <v>12314.7</v>
      </c>
      <c r="AU317" s="277"/>
      <c r="AV317" s="277">
        <v>100</v>
      </c>
      <c r="AW317" s="277">
        <f>AU317*T317</f>
        <v>0</v>
      </c>
      <c r="AX317" s="277"/>
      <c r="AY317" s="285"/>
      <c r="AZ317" s="280"/>
      <c r="BA317" s="284">
        <f>AT317+AW317+AZ317</f>
        <v>12314.7</v>
      </c>
      <c r="BB317" s="284">
        <f t="shared" si="256"/>
        <v>38069.146666666667</v>
      </c>
      <c r="BC317" s="284">
        <f>BA317+AQ317+U317</f>
        <v>85655.58</v>
      </c>
      <c r="BD317" s="286">
        <f t="shared" si="255"/>
        <v>12689.715555555556</v>
      </c>
      <c r="BE317" s="286"/>
      <c r="BF317" s="241">
        <f>IF(D317=1,BC317,0)</f>
        <v>0</v>
      </c>
      <c r="BG317" s="241">
        <f>IF(E317=1,BC317,0)</f>
        <v>0</v>
      </c>
      <c r="BH317" s="251">
        <f>IF(F317=1,BC317,0)</f>
        <v>0</v>
      </c>
      <c r="BI317" s="241">
        <f>IF(G317=1,BC317,0)</f>
        <v>0</v>
      </c>
      <c r="BJ317" s="251">
        <f>IF(H317=1,BC317,0)</f>
        <v>0</v>
      </c>
      <c r="BK317" s="251">
        <f>IF(I317=1,BC317,0)</f>
        <v>85655.58</v>
      </c>
      <c r="BL317" s="251">
        <f>IF(J317=1,BC317,0)</f>
        <v>0</v>
      </c>
      <c r="BM317" s="241">
        <f>IF(K317=1,BC317,0)</f>
        <v>0</v>
      </c>
    </row>
    <row r="318" spans="1:65" x14ac:dyDescent="0.25">
      <c r="A318" s="344"/>
      <c r="B318" s="288" t="s">
        <v>240</v>
      </c>
      <c r="C318" s="393">
        <v>0.25</v>
      </c>
      <c r="D318" s="279"/>
      <c r="E318" s="279"/>
      <c r="F318" s="279"/>
      <c r="G318" s="279"/>
      <c r="H318" s="279"/>
      <c r="I318" s="279">
        <v>1</v>
      </c>
      <c r="J318" s="279"/>
      <c r="K318" s="279"/>
      <c r="L318" s="277">
        <v>4</v>
      </c>
      <c r="M318" s="280">
        <f>M$35</f>
        <v>3028</v>
      </c>
      <c r="N318" s="281">
        <f>N$29</f>
        <v>2</v>
      </c>
      <c r="O318" s="277">
        <v>1.43</v>
      </c>
      <c r="P318" s="282">
        <v>1.58</v>
      </c>
      <c r="Q318" s="277"/>
      <c r="R318" s="283">
        <f>$R$244</f>
        <v>477</v>
      </c>
      <c r="S318" s="280">
        <f>T318/(R318/1)</f>
        <v>28.685534591194969</v>
      </c>
      <c r="T318" s="425">
        <f>ROUND(M318*N318*O318*P318,0)</f>
        <v>13683</v>
      </c>
      <c r="U318" s="284">
        <f>T318*C318*2</f>
        <v>6841.5</v>
      </c>
      <c r="V318" s="277">
        <v>16</v>
      </c>
      <c r="W318" s="285"/>
      <c r="X318" s="285">
        <f>U318*V318%</f>
        <v>1094.6400000000001</v>
      </c>
      <c r="Y318" s="277">
        <v>4</v>
      </c>
      <c r="Z318" s="285"/>
      <c r="AA318" s="285">
        <f>U318*Y318%</f>
        <v>273.66000000000003</v>
      </c>
      <c r="AB318" s="277"/>
      <c r="AC318" s="277"/>
      <c r="AD318" s="277"/>
      <c r="AE318" s="277"/>
      <c r="AF318" s="277"/>
      <c r="AG318" s="277"/>
      <c r="AH318" s="277"/>
      <c r="AI318" s="277"/>
      <c r="AJ318" s="277"/>
      <c r="AK318" s="277"/>
      <c r="AL318" s="277"/>
      <c r="AM318" s="285">
        <f>T318*AK318%*3</f>
        <v>0</v>
      </c>
      <c r="AN318" s="277"/>
      <c r="AO318" s="277"/>
      <c r="AP318" s="277"/>
      <c r="AQ318" s="284">
        <f>X318+AA318+AD318+AG318+AJ318+AM318+AP318</f>
        <v>1368.3000000000002</v>
      </c>
      <c r="AR318" s="277">
        <v>20</v>
      </c>
      <c r="AS318" s="285">
        <f>AT318/C318</f>
        <v>5473.2000000000007</v>
      </c>
      <c r="AT318" s="280">
        <f>(U318)*AR318%</f>
        <v>1368.3000000000002</v>
      </c>
      <c r="AU318" s="277"/>
      <c r="AV318" s="277">
        <v>100</v>
      </c>
      <c r="AW318" s="277">
        <f>AU318*T318</f>
        <v>0</v>
      </c>
      <c r="AX318" s="277"/>
      <c r="AY318" s="285"/>
      <c r="AZ318" s="280"/>
      <c r="BA318" s="284">
        <f>AT318+AW318+AZ318</f>
        <v>1368.3000000000002</v>
      </c>
      <c r="BB318" s="284">
        <f t="shared" si="256"/>
        <v>38312.400000000001</v>
      </c>
      <c r="BC318" s="284">
        <f>BA318+AQ318+U318</f>
        <v>9578.1</v>
      </c>
      <c r="BD318" s="286">
        <f>BC318/C318/3</f>
        <v>12770.800000000001</v>
      </c>
      <c r="BE318" s="286"/>
      <c r="BF318" s="241">
        <f>IF(D318=1,BC318,0)</f>
        <v>0</v>
      </c>
      <c r="BG318" s="241">
        <f>IF(E318=1,BC318,0)</f>
        <v>0</v>
      </c>
      <c r="BH318" s="251">
        <f>IF(F318=1,BC318,0)</f>
        <v>0</v>
      </c>
      <c r="BI318" s="241">
        <f>IF(G318=1,BC318,0)</f>
        <v>0</v>
      </c>
      <c r="BJ318" s="251">
        <f>IF(H318=1,BC318,0)</f>
        <v>0</v>
      </c>
      <c r="BK318" s="251">
        <f>IF(I318=1,BC318,0)</f>
        <v>9578.1</v>
      </c>
      <c r="BL318" s="251">
        <f>IF(J318=1,BC318,0)</f>
        <v>0</v>
      </c>
      <c r="BM318" s="241">
        <f>IF(K318=1,BC318,0)</f>
        <v>0</v>
      </c>
    </row>
    <row r="319" spans="1:65" x14ac:dyDescent="0.25">
      <c r="A319" s="344"/>
      <c r="B319" s="288" t="s">
        <v>267</v>
      </c>
      <c r="C319" s="446">
        <v>0.75</v>
      </c>
      <c r="D319" s="279"/>
      <c r="E319" s="279"/>
      <c r="F319" s="279"/>
      <c r="G319" s="279"/>
      <c r="H319" s="279"/>
      <c r="I319" s="279">
        <v>1</v>
      </c>
      <c r="J319" s="279"/>
      <c r="K319" s="279"/>
      <c r="L319" s="277"/>
      <c r="M319" s="280">
        <f>M$35</f>
        <v>3028</v>
      </c>
      <c r="N319" s="281">
        <f>N$29</f>
        <v>2</v>
      </c>
      <c r="O319" s="339">
        <v>1.95</v>
      </c>
      <c r="P319" s="282">
        <v>1</v>
      </c>
      <c r="Q319" s="277"/>
      <c r="R319" s="283">
        <f>$R$244</f>
        <v>477</v>
      </c>
      <c r="S319" s="280">
        <f>T319/(R319/1)</f>
        <v>24.756813417190777</v>
      </c>
      <c r="T319" s="425">
        <f>ROUND(M319*N319*O319*P319,0)</f>
        <v>11809</v>
      </c>
      <c r="U319" s="284">
        <f>T319*C319*2</f>
        <v>17713.5</v>
      </c>
      <c r="V319" s="277"/>
      <c r="W319" s="285"/>
      <c r="X319" s="285">
        <f>U319*V319%</f>
        <v>0</v>
      </c>
      <c r="Y319" s="277"/>
      <c r="Z319" s="277"/>
      <c r="AA319" s="277"/>
      <c r="AB319" s="277"/>
      <c r="AC319" s="277"/>
      <c r="AD319" s="277"/>
      <c r="AE319" s="277"/>
      <c r="AF319" s="277"/>
      <c r="AG319" s="277"/>
      <c r="AH319" s="277"/>
      <c r="AI319" s="277"/>
      <c r="AJ319" s="277"/>
      <c r="AK319" s="277"/>
      <c r="AL319" s="277"/>
      <c r="AM319" s="285">
        <f>T319*AK319%*3</f>
        <v>0</v>
      </c>
      <c r="AN319" s="277">
        <v>25</v>
      </c>
      <c r="AO319" s="285"/>
      <c r="AP319" s="285">
        <f>U319*AN319%</f>
        <v>4428.375</v>
      </c>
      <c r="AQ319" s="284">
        <f>X319+AA319+AD319+AG319+AJ319+AM319+AP319</f>
        <v>4428.375</v>
      </c>
      <c r="AR319" s="277">
        <v>20</v>
      </c>
      <c r="AS319" s="285">
        <f>AT319/C319</f>
        <v>4723.6000000000004</v>
      </c>
      <c r="AT319" s="280">
        <f>(U319)*AR319%</f>
        <v>3542.7000000000003</v>
      </c>
      <c r="AU319" s="277"/>
      <c r="AV319" s="277">
        <v>100</v>
      </c>
      <c r="AW319" s="277">
        <f>AU319*T319</f>
        <v>0</v>
      </c>
      <c r="AX319" s="277"/>
      <c r="AY319" s="285"/>
      <c r="AZ319" s="280"/>
      <c r="BA319" s="284">
        <f>AT319+AW319+AZ319</f>
        <v>3542.7000000000003</v>
      </c>
      <c r="BB319" s="284">
        <f t="shared" si="256"/>
        <v>34246.1</v>
      </c>
      <c r="BC319" s="284">
        <f>BA319+AQ319+U319</f>
        <v>25684.575000000001</v>
      </c>
      <c r="BD319" s="286">
        <f t="shared" si="255"/>
        <v>11415.366666666667</v>
      </c>
      <c r="BE319" s="286"/>
      <c r="BF319" s="241">
        <f>IF(D319=1,BC319,0)</f>
        <v>0</v>
      </c>
      <c r="BG319" s="241">
        <f>IF(E319=1,BC319,0)</f>
        <v>0</v>
      </c>
      <c r="BH319" s="251">
        <f>IF(F319=1,BC319,0)</f>
        <v>0</v>
      </c>
      <c r="BI319" s="241">
        <f>IF(G319=1,BC319,0)</f>
        <v>0</v>
      </c>
      <c r="BJ319" s="251">
        <f>IF(H319=1,BC319,0)</f>
        <v>0</v>
      </c>
      <c r="BK319" s="251">
        <f>IF(I319=1,BC319,0)</f>
        <v>25684.575000000001</v>
      </c>
      <c r="BL319" s="251">
        <f>IF(J319=1,BC319,0)</f>
        <v>0</v>
      </c>
      <c r="BM319" s="241">
        <f>IF(K319=1,BC319,0)</f>
        <v>0</v>
      </c>
    </row>
    <row r="320" spans="1:65" x14ac:dyDescent="0.25">
      <c r="A320" s="344"/>
      <c r="B320" s="288"/>
      <c r="C320" s="393"/>
      <c r="D320" s="279"/>
      <c r="E320" s="279"/>
      <c r="F320" s="279"/>
      <c r="G320" s="279"/>
      <c r="H320" s="279"/>
      <c r="I320" s="279"/>
      <c r="J320" s="279"/>
      <c r="K320" s="279"/>
      <c r="L320" s="277"/>
      <c r="M320" s="280"/>
      <c r="N320" s="281"/>
      <c r="O320" s="277"/>
      <c r="P320" s="282"/>
      <c r="Q320" s="277"/>
      <c r="R320" s="283"/>
      <c r="S320" s="280"/>
      <c r="T320" s="425"/>
      <c r="U320" s="284"/>
      <c r="V320" s="277"/>
      <c r="W320" s="285"/>
      <c r="X320" s="285"/>
      <c r="Y320" s="277"/>
      <c r="Z320" s="277"/>
      <c r="AA320" s="277"/>
      <c r="AB320" s="277"/>
      <c r="AC320" s="277"/>
      <c r="AD320" s="277"/>
      <c r="AE320" s="277"/>
      <c r="AF320" s="277"/>
      <c r="AG320" s="277"/>
      <c r="AH320" s="277"/>
      <c r="AI320" s="277"/>
      <c r="AJ320" s="277"/>
      <c r="AK320" s="277"/>
      <c r="AL320" s="277"/>
      <c r="AM320" s="285"/>
      <c r="AN320" s="277"/>
      <c r="AO320" s="277"/>
      <c r="AP320" s="277"/>
      <c r="AQ320" s="284"/>
      <c r="AR320" s="277"/>
      <c r="AS320" s="285"/>
      <c r="AT320" s="280"/>
      <c r="AU320" s="277"/>
      <c r="AV320" s="277"/>
      <c r="AW320" s="277"/>
      <c r="AX320" s="277"/>
      <c r="AY320" s="285"/>
      <c r="AZ320" s="280"/>
      <c r="BA320" s="284"/>
      <c r="BB320" s="284"/>
      <c r="BC320" s="284"/>
      <c r="BD320" s="286"/>
      <c r="BE320" s="286"/>
      <c r="BH320" s="251"/>
      <c r="BJ320" s="251"/>
      <c r="BK320" s="251"/>
      <c r="BL320" s="251"/>
    </row>
    <row r="321" spans="1:65" s="316" customFormat="1" ht="14.25" x14ac:dyDescent="0.25">
      <c r="A321" s="306"/>
      <c r="B321" s="372" t="s">
        <v>229</v>
      </c>
      <c r="C321" s="329">
        <f>SUM(C316:C319)</f>
        <v>4.25</v>
      </c>
      <c r="D321" s="309"/>
      <c r="E321" s="309"/>
      <c r="F321" s="309"/>
      <c r="G321" s="309"/>
      <c r="H321" s="309"/>
      <c r="I321" s="309"/>
      <c r="J321" s="309"/>
      <c r="K321" s="309"/>
      <c r="L321" s="309"/>
      <c r="M321" s="310"/>
      <c r="N321" s="309"/>
      <c r="O321" s="309"/>
      <c r="P321" s="309"/>
      <c r="Q321" s="309"/>
      <c r="R321" s="310"/>
      <c r="S321" s="310"/>
      <c r="T321" s="349">
        <f>U321/2</f>
        <v>61244.25</v>
      </c>
      <c r="U321" s="329">
        <f>SUM(U316:U319)</f>
        <v>122488.5</v>
      </c>
      <c r="V321" s="309"/>
      <c r="W321" s="309"/>
      <c r="X321" s="329">
        <f>SUM(X316:X319)</f>
        <v>18218.400000000001</v>
      </c>
      <c r="Y321" s="329"/>
      <c r="Z321" s="329"/>
      <c r="AA321" s="329">
        <f>SUM(AA316:AA319)</f>
        <v>273.66000000000003</v>
      </c>
      <c r="AB321" s="329"/>
      <c r="AC321" s="329"/>
      <c r="AD321" s="329">
        <f>SUM(AD316:AD319)</f>
        <v>0</v>
      </c>
      <c r="AE321" s="329"/>
      <c r="AF321" s="329"/>
      <c r="AG321" s="329">
        <f>SUM(AG316:AG319)</f>
        <v>0</v>
      </c>
      <c r="AH321" s="329"/>
      <c r="AI321" s="329"/>
      <c r="AJ321" s="329">
        <f>SUM(AJ316:AJ319)</f>
        <v>0</v>
      </c>
      <c r="AK321" s="329"/>
      <c r="AL321" s="329"/>
      <c r="AM321" s="329">
        <f>SUM(AM316:AM319)</f>
        <v>7369.62</v>
      </c>
      <c r="AN321" s="329"/>
      <c r="AO321" s="329"/>
      <c r="AP321" s="329">
        <f>SUM(AP316:AP319)</f>
        <v>4428.375</v>
      </c>
      <c r="AQ321" s="329">
        <f>SUM(AQ316:AQ319)</f>
        <v>30290.055</v>
      </c>
      <c r="AR321" s="329"/>
      <c r="AS321" s="329">
        <f>SUM(AS316:AS319)</f>
        <v>22942</v>
      </c>
      <c r="AT321" s="329">
        <f>SUM(AT316:AT319)</f>
        <v>24497.7</v>
      </c>
      <c r="AU321" s="329">
        <f>SUM(AU316:AU319)</f>
        <v>0</v>
      </c>
      <c r="AV321" s="329"/>
      <c r="AW321" s="329">
        <f>SUM(AW316:AW319)</f>
        <v>0</v>
      </c>
      <c r="AX321" s="329"/>
      <c r="AY321" s="329">
        <f>SUM(AY316:AY319)</f>
        <v>0</v>
      </c>
      <c r="AZ321" s="329">
        <f>SUM(AZ316:AZ319)</f>
        <v>0</v>
      </c>
      <c r="BA321" s="329">
        <f>SUM(BA316:BA319)</f>
        <v>24497.7</v>
      </c>
      <c r="BB321" s="329">
        <f t="shared" si="256"/>
        <v>41712.060000000005</v>
      </c>
      <c r="BC321" s="329">
        <f>SUM(BC316:BC319)</f>
        <v>177276.25500000003</v>
      </c>
      <c r="BD321" s="286">
        <f t="shared" si="255"/>
        <v>13904.020000000002</v>
      </c>
      <c r="BE321" s="323">
        <f>BC321/3</f>
        <v>59092.085000000014</v>
      </c>
    </row>
    <row r="322" spans="1:65" s="316" customFormat="1" ht="14.25" hidden="1" x14ac:dyDescent="0.25">
      <c r="A322" s="306"/>
      <c r="B322" s="372"/>
      <c r="C322" s="329"/>
      <c r="D322" s="309"/>
      <c r="E322" s="309"/>
      <c r="F322" s="309"/>
      <c r="G322" s="309"/>
      <c r="H322" s="309"/>
      <c r="I322" s="309"/>
      <c r="J322" s="309"/>
      <c r="K322" s="309"/>
      <c r="L322" s="309"/>
      <c r="M322" s="310"/>
      <c r="N322" s="309"/>
      <c r="O322" s="309"/>
      <c r="P322" s="309"/>
      <c r="Q322" s="309"/>
      <c r="R322" s="310"/>
      <c r="S322" s="310"/>
      <c r="T322" s="349"/>
      <c r="U322" s="329"/>
      <c r="V322" s="309"/>
      <c r="W322" s="309"/>
      <c r="X322" s="329"/>
      <c r="Y322" s="329"/>
      <c r="Z322" s="329"/>
      <c r="AA322" s="329"/>
      <c r="AB322" s="329"/>
      <c r="AC322" s="329"/>
      <c r="AD322" s="329"/>
      <c r="AE322" s="329"/>
      <c r="AF322" s="329"/>
      <c r="AG322" s="329"/>
      <c r="AH322" s="329"/>
      <c r="AI322" s="329"/>
      <c r="AJ322" s="329"/>
      <c r="AK322" s="329"/>
      <c r="AL322" s="329"/>
      <c r="AM322" s="329"/>
      <c r="AN322" s="329"/>
      <c r="AO322" s="329"/>
      <c r="AP322" s="329"/>
      <c r="AQ322" s="329"/>
      <c r="AR322" s="329"/>
      <c r="AS322" s="329"/>
      <c r="AT322" s="329"/>
      <c r="AU322" s="329"/>
      <c r="AV322" s="329"/>
      <c r="AW322" s="329"/>
      <c r="AX322" s="329"/>
      <c r="AY322" s="329"/>
      <c r="AZ322" s="329"/>
      <c r="BA322" s="329"/>
      <c r="BB322" s="329"/>
      <c r="BC322" s="329"/>
      <c r="BD322" s="286"/>
      <c r="BE322" s="323"/>
    </row>
    <row r="323" spans="1:65" s="316" customFormat="1" ht="14.25" hidden="1" x14ac:dyDescent="0.25">
      <c r="A323" s="306"/>
      <c r="B323" s="307" t="s">
        <v>229</v>
      </c>
      <c r="C323" s="329">
        <f>+C313+C321</f>
        <v>18.25</v>
      </c>
      <c r="D323" s="309"/>
      <c r="E323" s="309"/>
      <c r="F323" s="309"/>
      <c r="G323" s="309"/>
      <c r="H323" s="309"/>
      <c r="I323" s="309"/>
      <c r="J323" s="309"/>
      <c r="K323" s="309"/>
      <c r="L323" s="309"/>
      <c r="M323" s="310"/>
      <c r="N323" s="309"/>
      <c r="O323" s="309"/>
      <c r="P323" s="309"/>
      <c r="Q323" s="309"/>
      <c r="R323" s="310"/>
      <c r="S323" s="310"/>
      <c r="T323" s="349">
        <f>U323/2</f>
        <v>245626.25</v>
      </c>
      <c r="U323" s="329">
        <f>+U313+U321</f>
        <v>491252.5</v>
      </c>
      <c r="V323" s="309"/>
      <c r="W323" s="309"/>
      <c r="X323" s="329">
        <f>+X313+X321</f>
        <v>76076.399999999994</v>
      </c>
      <c r="Y323" s="329"/>
      <c r="Z323" s="329"/>
      <c r="AA323" s="329">
        <f>+AA313+AA321</f>
        <v>273.66000000000003</v>
      </c>
      <c r="AB323" s="329"/>
      <c r="AC323" s="329"/>
      <c r="AD323" s="329">
        <f>+AD313+AD321</f>
        <v>0</v>
      </c>
      <c r="AE323" s="329"/>
      <c r="AF323" s="329"/>
      <c r="AG323" s="329">
        <f>+AG313+AG321</f>
        <v>0</v>
      </c>
      <c r="AH323" s="329"/>
      <c r="AI323" s="329"/>
      <c r="AJ323" s="329">
        <f>+AJ313+AJ321</f>
        <v>0</v>
      </c>
      <c r="AK323" s="329"/>
      <c r="AL323" s="329"/>
      <c r="AM323" s="329">
        <f>+AM313+AM321</f>
        <v>46724.220000000008</v>
      </c>
      <c r="AN323" s="329"/>
      <c r="AO323" s="329"/>
      <c r="AP323" s="329">
        <f>+AP313+AP321</f>
        <v>4428.375</v>
      </c>
      <c r="AQ323" s="329">
        <f>+AQ313+AQ321</f>
        <v>127502.655</v>
      </c>
      <c r="AR323" s="329"/>
      <c r="AS323" s="329">
        <f>+AS313+AS321</f>
        <v>53063.199999999997</v>
      </c>
      <c r="AT323" s="329">
        <f>+AT313+AT321</f>
        <v>98250.5</v>
      </c>
      <c r="AU323" s="329">
        <f>+AU313+AU321</f>
        <v>5</v>
      </c>
      <c r="AV323" s="329"/>
      <c r="AW323" s="329">
        <f>+AW313+AW321</f>
        <v>57410</v>
      </c>
      <c r="AX323" s="329"/>
      <c r="AY323" s="329">
        <f>+AY313+AY321</f>
        <v>0</v>
      </c>
      <c r="AZ323" s="329">
        <f>+AZ313+AZ321</f>
        <v>0</v>
      </c>
      <c r="BA323" s="329">
        <f>+BA313+BA321</f>
        <v>155660.5</v>
      </c>
      <c r="BB323" s="329">
        <f t="shared" si="256"/>
        <v>42433.734520547943</v>
      </c>
      <c r="BC323" s="329">
        <f>+BC313+BC321</f>
        <v>774415.65500000003</v>
      </c>
      <c r="BD323" s="286">
        <f t="shared" si="255"/>
        <v>14144.578173515982</v>
      </c>
      <c r="BE323" s="323"/>
      <c r="BF323" s="315">
        <f t="shared" ref="BF323:BM323" si="257">SUM(BF306:BF321)</f>
        <v>0</v>
      </c>
      <c r="BG323" s="315">
        <f t="shared" si="257"/>
        <v>0</v>
      </c>
      <c r="BH323" s="315">
        <f t="shared" si="257"/>
        <v>0</v>
      </c>
      <c r="BI323" s="315">
        <f t="shared" si="257"/>
        <v>0</v>
      </c>
      <c r="BJ323" s="315">
        <f t="shared" si="257"/>
        <v>195239.32</v>
      </c>
      <c r="BK323" s="315">
        <f t="shared" si="257"/>
        <v>398189.935</v>
      </c>
      <c r="BL323" s="315">
        <f t="shared" si="257"/>
        <v>180986.40000000002</v>
      </c>
      <c r="BM323" s="315">
        <f t="shared" si="257"/>
        <v>0</v>
      </c>
    </row>
    <row r="324" spans="1:65" s="287" customFormat="1" ht="6.75" customHeight="1" x14ac:dyDescent="0.25">
      <c r="A324" s="276"/>
      <c r="B324" s="277"/>
      <c r="C324" s="394"/>
      <c r="D324" s="395"/>
      <c r="E324" s="395"/>
      <c r="F324" s="395"/>
      <c r="G324" s="395"/>
      <c r="H324" s="395"/>
      <c r="I324" s="395"/>
      <c r="J324" s="395"/>
      <c r="K324" s="395"/>
      <c r="L324" s="395"/>
      <c r="M324" s="396"/>
      <c r="N324" s="395"/>
      <c r="O324" s="395"/>
      <c r="P324" s="395"/>
      <c r="Q324" s="395"/>
      <c r="R324" s="396"/>
      <c r="S324" s="396"/>
      <c r="T324" s="395"/>
      <c r="U324" s="394"/>
      <c r="V324" s="395"/>
      <c r="W324" s="395"/>
      <c r="X324" s="394"/>
      <c r="Y324" s="394"/>
      <c r="Z324" s="394"/>
      <c r="AA324" s="394"/>
      <c r="AB324" s="394"/>
      <c r="AC324" s="394"/>
      <c r="AD324" s="394"/>
      <c r="AE324" s="394"/>
      <c r="AF324" s="394"/>
      <c r="AG324" s="394"/>
      <c r="AH324" s="394"/>
      <c r="AI324" s="394"/>
      <c r="AJ324" s="394"/>
      <c r="AK324" s="394"/>
      <c r="AL324" s="394"/>
      <c r="AM324" s="394"/>
      <c r="AN324" s="394"/>
      <c r="AO324" s="394"/>
      <c r="AP324" s="394"/>
      <c r="AQ324" s="394"/>
      <c r="AR324" s="394"/>
      <c r="AS324" s="394"/>
      <c r="AT324" s="394"/>
      <c r="AU324" s="394"/>
      <c r="AV324" s="394"/>
      <c r="AW324" s="394"/>
      <c r="AX324" s="394"/>
      <c r="AY324" s="394"/>
      <c r="AZ324" s="394"/>
      <c r="BA324" s="394"/>
      <c r="BB324" s="394"/>
      <c r="BC324" s="394"/>
      <c r="BD324" s="286"/>
      <c r="BE324" s="323"/>
      <c r="BF324" s="323"/>
      <c r="BG324" s="323"/>
      <c r="BH324" s="323"/>
      <c r="BI324" s="323"/>
      <c r="BJ324" s="323"/>
      <c r="BK324" s="323"/>
      <c r="BL324" s="323"/>
      <c r="BM324" s="323"/>
    </row>
    <row r="325" spans="1:65" s="275" customFormat="1" ht="26.45" customHeight="1" x14ac:dyDescent="0.25">
      <c r="A325" s="270" t="s">
        <v>280</v>
      </c>
      <c r="B325" s="324" t="s">
        <v>281</v>
      </c>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2"/>
      <c r="AR325" s="272"/>
      <c r="AS325" s="272"/>
      <c r="AT325" s="272"/>
      <c r="AU325" s="272"/>
      <c r="AV325" s="272"/>
      <c r="AW325" s="272"/>
      <c r="AX325" s="272"/>
      <c r="AY325" s="272"/>
      <c r="AZ325" s="272"/>
      <c r="BA325" s="272"/>
      <c r="BB325" s="272"/>
      <c r="BC325" s="273"/>
      <c r="BD325" s="286"/>
      <c r="BE325" s="274"/>
    </row>
    <row r="326" spans="1:65" s="377" customFormat="1" ht="28.5" customHeight="1" x14ac:dyDescent="0.25">
      <c r="A326" s="375"/>
      <c r="B326" s="293" t="s">
        <v>265</v>
      </c>
      <c r="C326" s="376">
        <v>1</v>
      </c>
      <c r="D326" s="292"/>
      <c r="E326" s="292"/>
      <c r="F326" s="292"/>
      <c r="G326" s="292"/>
      <c r="H326" s="292"/>
      <c r="I326" s="292">
        <v>1</v>
      </c>
      <c r="J326" s="292"/>
      <c r="K326" s="292"/>
      <c r="L326" s="293"/>
      <c r="M326" s="294">
        <f>M$248</f>
        <v>3028</v>
      </c>
      <c r="N326" s="429">
        <f>N$244</f>
        <v>2</v>
      </c>
      <c r="O326" s="293">
        <v>1.9</v>
      </c>
      <c r="P326" s="295">
        <f>P$244</f>
        <v>1.58</v>
      </c>
      <c r="Q326" s="293"/>
      <c r="R326" s="296">
        <f>$R$352</f>
        <v>686</v>
      </c>
      <c r="S326" s="294">
        <f>T326/(R326/4)</f>
        <v>106.00583090379008</v>
      </c>
      <c r="T326" s="291">
        <f>ROUND(M326*N326*O326*P326,0)</f>
        <v>18180</v>
      </c>
      <c r="U326" s="297">
        <f>T326*C326*2</f>
        <v>36360</v>
      </c>
      <c r="V326" s="293">
        <v>0</v>
      </c>
      <c r="W326" s="298"/>
      <c r="X326" s="298">
        <f>U326*V326%</f>
        <v>0</v>
      </c>
      <c r="Y326" s="293"/>
      <c r="Z326" s="293"/>
      <c r="AA326" s="293"/>
      <c r="AB326" s="293"/>
      <c r="AC326" s="293"/>
      <c r="AD326" s="293"/>
      <c r="AE326" s="293"/>
      <c r="AF326" s="293"/>
      <c r="AG326" s="293"/>
      <c r="AH326" s="293"/>
      <c r="AI326" s="293"/>
      <c r="AJ326" s="293"/>
      <c r="AK326" s="277"/>
      <c r="AL326" s="293"/>
      <c r="AM326" s="293"/>
      <c r="AN326" s="293"/>
      <c r="AO326" s="293"/>
      <c r="AP326" s="293"/>
      <c r="AQ326" s="297">
        <f>X326+AA326+AD326+AG326+AJ326+AM326+AP326</f>
        <v>0</v>
      </c>
      <c r="AR326" s="293"/>
      <c r="AS326" s="298">
        <f>AT326/C326</f>
        <v>0</v>
      </c>
      <c r="AT326" s="294">
        <f>(U326)*AR326%</f>
        <v>0</v>
      </c>
      <c r="AU326" s="293"/>
      <c r="AV326" s="293">
        <v>100</v>
      </c>
      <c r="AW326" s="293">
        <f>AU326*T326</f>
        <v>0</v>
      </c>
      <c r="AX326" s="293"/>
      <c r="AY326" s="298"/>
      <c r="AZ326" s="294"/>
      <c r="BA326" s="297">
        <f>AT326+AW326+AZ326</f>
        <v>0</v>
      </c>
      <c r="BB326" s="297">
        <f>BC326/C326</f>
        <v>36360</v>
      </c>
      <c r="BC326" s="297">
        <f>BA326+AQ326+U326</f>
        <v>36360</v>
      </c>
      <c r="BD326" s="299">
        <f t="shared" si="255"/>
        <v>12120</v>
      </c>
      <c r="BE326" s="299"/>
      <c r="BF326" s="377">
        <f>IF(D326=1,BC326,0)</f>
        <v>0</v>
      </c>
      <c r="BG326" s="377">
        <f>IF(E326=1,BC326,0)</f>
        <v>0</v>
      </c>
      <c r="BH326" s="377">
        <f>IF(F326=1,BC326,0)</f>
        <v>0</v>
      </c>
      <c r="BI326" s="377">
        <f>IF(G326=1,BC326,0)</f>
        <v>0</v>
      </c>
      <c r="BJ326" s="300">
        <f>IF(H326=1,BC326,0)</f>
        <v>0</v>
      </c>
      <c r="BK326" s="300">
        <f>IF(I326=1,BC326,0)</f>
        <v>36360</v>
      </c>
      <c r="BL326" s="300">
        <f>IF(J326=1,BC326,0)</f>
        <v>0</v>
      </c>
      <c r="BM326" s="377">
        <f>IF(K326=1,BC326,0)</f>
        <v>0</v>
      </c>
    </row>
    <row r="327" spans="1:65" s="287" customFormat="1" x14ac:dyDescent="0.25">
      <c r="A327" s="276"/>
      <c r="B327" s="288" t="s">
        <v>240</v>
      </c>
      <c r="C327" s="278">
        <v>5</v>
      </c>
      <c r="D327" s="279"/>
      <c r="E327" s="279"/>
      <c r="F327" s="328"/>
      <c r="G327" s="328"/>
      <c r="H327" s="279">
        <v>1</v>
      </c>
      <c r="I327" s="328"/>
      <c r="J327" s="328"/>
      <c r="K327" s="279"/>
      <c r="L327" s="277">
        <v>4</v>
      </c>
      <c r="M327" s="280">
        <f>M$248</f>
        <v>3028</v>
      </c>
      <c r="N327" s="281">
        <f>N$244</f>
        <v>2</v>
      </c>
      <c r="O327" s="277">
        <v>1.43</v>
      </c>
      <c r="P327" s="282">
        <f>P$244</f>
        <v>1.58</v>
      </c>
      <c r="Q327" s="277"/>
      <c r="R327" s="283">
        <f>$R$352</f>
        <v>686</v>
      </c>
      <c r="S327" s="280">
        <f>T327/(R327/4)</f>
        <v>79.78425655976676</v>
      </c>
      <c r="T327" s="425">
        <f>ROUND(M327*N327*O327*P327,0)</f>
        <v>13683</v>
      </c>
      <c r="U327" s="284">
        <f>T327*C327*2</f>
        <v>136830</v>
      </c>
      <c r="V327" s="277">
        <v>16</v>
      </c>
      <c r="W327" s="285"/>
      <c r="X327" s="285">
        <f>U327*V327%</f>
        <v>21892.799999999999</v>
      </c>
      <c r="Y327" s="277">
        <v>4</v>
      </c>
      <c r="Z327" s="285"/>
      <c r="AA327" s="285">
        <f>U327*Y327%</f>
        <v>5473.2</v>
      </c>
      <c r="AB327" s="277"/>
      <c r="AC327" s="277"/>
      <c r="AD327" s="277"/>
      <c r="AE327" s="277"/>
      <c r="AF327" s="277"/>
      <c r="AG327" s="277"/>
      <c r="AH327" s="277"/>
      <c r="AI327" s="277"/>
      <c r="AJ327" s="277"/>
      <c r="AK327" s="277"/>
      <c r="AL327" s="277"/>
      <c r="AM327" s="285"/>
      <c r="AN327" s="277"/>
      <c r="AO327" s="277"/>
      <c r="AP327" s="285">
        <f>U327*AN327%</f>
        <v>0</v>
      </c>
      <c r="AQ327" s="284">
        <f>X327+AA327+AD327+AG327+AJ327+AM327+AP327</f>
        <v>27366</v>
      </c>
      <c r="AR327" s="277">
        <v>10</v>
      </c>
      <c r="AS327" s="277">
        <f>AT327/C327</f>
        <v>2736.6</v>
      </c>
      <c r="AT327" s="280">
        <f>(U327)*AR327%</f>
        <v>13683</v>
      </c>
      <c r="AU327" s="277"/>
      <c r="AV327" s="277">
        <v>100</v>
      </c>
      <c r="AW327" s="277">
        <f>AU327*T327</f>
        <v>0</v>
      </c>
      <c r="AX327" s="277"/>
      <c r="AY327" s="277"/>
      <c r="AZ327" s="283"/>
      <c r="BA327" s="284">
        <f>AT327+AW327+AZ327</f>
        <v>13683</v>
      </c>
      <c r="BB327" s="284">
        <f>BC327/C327</f>
        <v>35575.800000000003</v>
      </c>
      <c r="BC327" s="284">
        <f>BA327+AQ327+U327</f>
        <v>177879</v>
      </c>
      <c r="BD327" s="286">
        <f t="shared" si="255"/>
        <v>11858.6</v>
      </c>
      <c r="BE327" s="286"/>
      <c r="BF327" s="241">
        <f>IF(D327=1,BC327,0)</f>
        <v>0</v>
      </c>
      <c r="BG327" s="241">
        <f>IF(E327=1,BC327,0)</f>
        <v>0</v>
      </c>
      <c r="BH327" s="241">
        <f>IF(F327=1,BC327,0)</f>
        <v>0</v>
      </c>
      <c r="BI327" s="241">
        <f>IF(G327=1,BC327,0)</f>
        <v>0</v>
      </c>
      <c r="BJ327" s="251">
        <f>IF(H327=1,BC327,0)</f>
        <v>177879</v>
      </c>
      <c r="BK327" s="241">
        <f>IF(I327=1,BC327,0)</f>
        <v>0</v>
      </c>
      <c r="BL327" s="241">
        <f>IF(J327=1,BC327,0)</f>
        <v>0</v>
      </c>
      <c r="BM327" s="241">
        <f>IF(K327=1,BC327,0)</f>
        <v>0</v>
      </c>
    </row>
    <row r="328" spans="1:65" s="301" customFormat="1" x14ac:dyDescent="0.25">
      <c r="A328" s="289"/>
      <c r="B328" s="290" t="s">
        <v>217</v>
      </c>
      <c r="C328" s="448">
        <v>0.25</v>
      </c>
      <c r="D328" s="292"/>
      <c r="E328" s="292"/>
      <c r="F328" s="292"/>
      <c r="G328" s="292"/>
      <c r="H328" s="292"/>
      <c r="I328" s="292"/>
      <c r="J328" s="292">
        <v>1</v>
      </c>
      <c r="K328" s="292"/>
      <c r="L328" s="293"/>
      <c r="M328" s="294">
        <f>M$248</f>
        <v>3028</v>
      </c>
      <c r="N328" s="429">
        <f>N$244</f>
        <v>2</v>
      </c>
      <c r="O328" s="295">
        <v>2</v>
      </c>
      <c r="P328" s="295">
        <f>P$244</f>
        <v>1.58</v>
      </c>
      <c r="Q328" s="295"/>
      <c r="R328" s="296">
        <f>$R$352</f>
        <v>686</v>
      </c>
      <c r="S328" s="294">
        <f>T328/(R328/4)</f>
        <v>111.58600583090379</v>
      </c>
      <c r="T328" s="291">
        <f>ROUND(M328*N328*O328*P328,0)</f>
        <v>19137</v>
      </c>
      <c r="U328" s="297">
        <f>T328*C328*2</f>
        <v>9568.5</v>
      </c>
      <c r="V328" s="293"/>
      <c r="W328" s="298"/>
      <c r="X328" s="298">
        <f>U328*V328%</f>
        <v>0</v>
      </c>
      <c r="Y328" s="293"/>
      <c r="Z328" s="293"/>
      <c r="AA328" s="293"/>
      <c r="AB328" s="293"/>
      <c r="AC328" s="293"/>
      <c r="AD328" s="293"/>
      <c r="AE328" s="293"/>
      <c r="AF328" s="293"/>
      <c r="AG328" s="293"/>
      <c r="AH328" s="293"/>
      <c r="AI328" s="293"/>
      <c r="AJ328" s="293"/>
      <c r="AK328" s="277"/>
      <c r="AL328" s="293"/>
      <c r="AM328" s="293"/>
      <c r="AN328" s="293"/>
      <c r="AO328" s="293"/>
      <c r="AP328" s="293"/>
      <c r="AQ328" s="297">
        <f>X328+AA328+AD328+AG328+AJ328+AM328+AP328</f>
        <v>0</v>
      </c>
      <c r="AR328" s="293"/>
      <c r="AS328" s="293">
        <f>AT328/C328</f>
        <v>0</v>
      </c>
      <c r="AT328" s="294">
        <f>(U328)*AR328%</f>
        <v>0</v>
      </c>
      <c r="AU328" s="293"/>
      <c r="AV328" s="293">
        <v>100</v>
      </c>
      <c r="AW328" s="293">
        <f>AU328*T328</f>
        <v>0</v>
      </c>
      <c r="AX328" s="293"/>
      <c r="AY328" s="293"/>
      <c r="AZ328" s="296"/>
      <c r="BA328" s="297">
        <f>AT328+AW328+AZ328</f>
        <v>0</v>
      </c>
      <c r="BB328" s="297">
        <f>BC328/C328</f>
        <v>38274</v>
      </c>
      <c r="BC328" s="297">
        <f>BA328+AQ328+U328</f>
        <v>9568.5</v>
      </c>
      <c r="BD328" s="299">
        <f t="shared" si="255"/>
        <v>12758</v>
      </c>
      <c r="BE328" s="299"/>
      <c r="BF328" s="300">
        <f>IF(D328=1,BC328,0)</f>
        <v>0</v>
      </c>
      <c r="BG328" s="300">
        <f>IF(E328=1,BC328,0)</f>
        <v>0</v>
      </c>
      <c r="BH328" s="300">
        <f>IF(F328=1,BC328,0)</f>
        <v>0</v>
      </c>
      <c r="BI328" s="300">
        <f>IF(G328=1,BC328,0)</f>
        <v>0</v>
      </c>
      <c r="BJ328" s="300">
        <f>IF(H328=1,BC328,0)</f>
        <v>0</v>
      </c>
      <c r="BK328" s="300">
        <f>IF(I328=1,BC328,0)</f>
        <v>0</v>
      </c>
      <c r="BL328" s="300">
        <f>IF(J328=1,BC328,0)</f>
        <v>9568.5</v>
      </c>
      <c r="BM328" s="300">
        <f>IF(K328=1,BC328,0)</f>
        <v>0</v>
      </c>
    </row>
    <row r="329" spans="1:65" ht="21" customHeight="1" x14ac:dyDescent="0.25">
      <c r="A329" s="344"/>
      <c r="B329" s="288" t="s">
        <v>243</v>
      </c>
      <c r="C329" s="393">
        <v>0.25</v>
      </c>
      <c r="D329" s="279"/>
      <c r="E329" s="279"/>
      <c r="F329" s="328"/>
      <c r="G329" s="328"/>
      <c r="H329" s="279">
        <v>1</v>
      </c>
      <c r="I329" s="328"/>
      <c r="J329" s="328"/>
      <c r="K329" s="279"/>
      <c r="L329" s="277"/>
      <c r="M329" s="280">
        <f>M$248</f>
        <v>3028</v>
      </c>
      <c r="N329" s="281">
        <f>N$244</f>
        <v>2</v>
      </c>
      <c r="O329" s="339">
        <v>1.95</v>
      </c>
      <c r="P329" s="282">
        <v>1</v>
      </c>
      <c r="Q329" s="277"/>
      <c r="R329" s="283">
        <f>$R$352</f>
        <v>686</v>
      </c>
      <c r="S329" s="280">
        <f>T329/(R329/4)</f>
        <v>68.857142857142861</v>
      </c>
      <c r="T329" s="425">
        <f>ROUND(M329*N329*O329*P329,0)</f>
        <v>11809</v>
      </c>
      <c r="U329" s="284">
        <f>T329*C329*2</f>
        <v>5904.5</v>
      </c>
      <c r="V329" s="277"/>
      <c r="W329" s="285"/>
      <c r="X329" s="285">
        <f>U329*V329%</f>
        <v>0</v>
      </c>
      <c r="Y329" s="277"/>
      <c r="Z329" s="277"/>
      <c r="AA329" s="277"/>
      <c r="AB329" s="345"/>
      <c r="AC329" s="345"/>
      <c r="AD329" s="345"/>
      <c r="AE329" s="345"/>
      <c r="AF329" s="345"/>
      <c r="AG329" s="345"/>
      <c r="AH329" s="345"/>
      <c r="AI329" s="345"/>
      <c r="AJ329" s="345"/>
      <c r="AK329" s="277"/>
      <c r="AL329" s="285"/>
      <c r="AM329" s="285"/>
      <c r="AN329" s="277">
        <f>25+12</f>
        <v>37</v>
      </c>
      <c r="AO329" s="285"/>
      <c r="AP329" s="285">
        <f>U329*AN329%</f>
        <v>2184.665</v>
      </c>
      <c r="AQ329" s="284">
        <f>X329+AA329+AD329+AG329+AJ329+AM329+AP329</f>
        <v>2184.665</v>
      </c>
      <c r="AR329" s="277">
        <v>10</v>
      </c>
      <c r="AS329" s="277">
        <f>AT329/C329</f>
        <v>2361.8000000000002</v>
      </c>
      <c r="AT329" s="280">
        <f>(U329)*AR329%</f>
        <v>590.45000000000005</v>
      </c>
      <c r="AU329" s="277"/>
      <c r="AV329" s="277">
        <v>100</v>
      </c>
      <c r="AW329" s="277">
        <f>AU329*T329</f>
        <v>0</v>
      </c>
      <c r="AX329" s="277"/>
      <c r="AY329" s="277"/>
      <c r="AZ329" s="304"/>
      <c r="BA329" s="284">
        <f>AT329+AW329+AZ329</f>
        <v>590.45000000000005</v>
      </c>
      <c r="BB329" s="284">
        <f>BC329/C329</f>
        <v>34718.46</v>
      </c>
      <c r="BC329" s="284">
        <f>BA329+AQ329+U329</f>
        <v>8679.6149999999998</v>
      </c>
      <c r="BD329" s="286">
        <f t="shared" si="255"/>
        <v>11572.82</v>
      </c>
      <c r="BE329" s="286"/>
      <c r="BF329" s="251">
        <f>IF(D329=1,BC329,0)</f>
        <v>0</v>
      </c>
      <c r="BG329" s="251">
        <f>IF(E329=1,BC329,0)</f>
        <v>0</v>
      </c>
      <c r="BH329" s="251">
        <f>IF(F329=1,BC329,0)</f>
        <v>0</v>
      </c>
      <c r="BI329" s="251">
        <f>IF(G329=1,BC329,0)</f>
        <v>0</v>
      </c>
      <c r="BJ329" s="251">
        <f>IF(H329=1,BC329,0)</f>
        <v>8679.6149999999998</v>
      </c>
      <c r="BK329" s="251">
        <f>IF(I329=1,BC329,0)</f>
        <v>0</v>
      </c>
      <c r="BL329" s="251">
        <f>IF(J329=1,BC329,0)</f>
        <v>0</v>
      </c>
      <c r="BM329" s="251">
        <f>IF(K329=1,BC329,0)</f>
        <v>0</v>
      </c>
    </row>
    <row r="330" spans="1:65" s="316" customFormat="1" ht="18.75" customHeight="1" x14ac:dyDescent="0.25">
      <c r="A330" s="306"/>
      <c r="B330" s="307" t="s">
        <v>229</v>
      </c>
      <c r="C330" s="436">
        <f>SUM(C326:C329)</f>
        <v>6.5</v>
      </c>
      <c r="D330" s="309"/>
      <c r="E330" s="309"/>
      <c r="F330" s="309"/>
      <c r="G330" s="309"/>
      <c r="H330" s="309"/>
      <c r="I330" s="309"/>
      <c r="J330" s="309"/>
      <c r="K330" s="309"/>
      <c r="L330" s="309"/>
      <c r="M330" s="310"/>
      <c r="N330" s="309"/>
      <c r="O330" s="309"/>
      <c r="P330" s="309"/>
      <c r="Q330" s="309"/>
      <c r="R330" s="310"/>
      <c r="S330" s="310"/>
      <c r="T330" s="349">
        <f>U330/2</f>
        <v>94331.5</v>
      </c>
      <c r="U330" s="329">
        <f>SUM(U326:U329)</f>
        <v>188663</v>
      </c>
      <c r="V330" s="309"/>
      <c r="W330" s="309"/>
      <c r="X330" s="329">
        <f>SUM(X326:X329)</f>
        <v>21892.799999999999</v>
      </c>
      <c r="Y330" s="329"/>
      <c r="Z330" s="329"/>
      <c r="AA330" s="329">
        <f>SUM(AA326:AA329)</f>
        <v>5473.2</v>
      </c>
      <c r="AB330" s="329"/>
      <c r="AC330" s="329"/>
      <c r="AD330" s="329">
        <f>SUM(AD326:AD329)</f>
        <v>0</v>
      </c>
      <c r="AE330" s="329"/>
      <c r="AF330" s="329"/>
      <c r="AG330" s="329">
        <f>SUM(AG326:AG329)</f>
        <v>0</v>
      </c>
      <c r="AH330" s="329"/>
      <c r="AI330" s="329"/>
      <c r="AJ330" s="329">
        <f>SUM(AJ326:AJ329)</f>
        <v>0</v>
      </c>
      <c r="AK330" s="329"/>
      <c r="AL330" s="329"/>
      <c r="AM330" s="329">
        <f>SUM(AM326:AM329)</f>
        <v>0</v>
      </c>
      <c r="AN330" s="329"/>
      <c r="AO330" s="329"/>
      <c r="AP330" s="329">
        <f>SUM(AP326:AP329)</f>
        <v>2184.665</v>
      </c>
      <c r="AQ330" s="329">
        <f>SUM(AQ326:AQ329)</f>
        <v>29550.665000000001</v>
      </c>
      <c r="AR330" s="329"/>
      <c r="AS330" s="329">
        <f>SUM(AS326:AS329)</f>
        <v>5098.3999999999996</v>
      </c>
      <c r="AT330" s="329">
        <f>SUM(AT326:AT329)</f>
        <v>14273.45</v>
      </c>
      <c r="AU330" s="329">
        <f>SUM(AU326:AU329)</f>
        <v>0</v>
      </c>
      <c r="AV330" s="329"/>
      <c r="AW330" s="329">
        <f>SUM(AW326:AW329)</f>
        <v>0</v>
      </c>
      <c r="AX330" s="329"/>
      <c r="AY330" s="329">
        <f>SUM(AY326:AY329)</f>
        <v>0</v>
      </c>
      <c r="AZ330" s="329">
        <f>SUM(AZ326:AZ329)</f>
        <v>0</v>
      </c>
      <c r="BA330" s="329">
        <f>SUM(BA326:BA329)</f>
        <v>14273.45</v>
      </c>
      <c r="BB330" s="329">
        <f>BC330/C330</f>
        <v>35767.24846153846</v>
      </c>
      <c r="BC330" s="329">
        <f>SUM(BC326:BC329)</f>
        <v>232487.11499999999</v>
      </c>
      <c r="BD330" s="286">
        <f t="shared" si="255"/>
        <v>11922.416153846154</v>
      </c>
      <c r="BE330" s="323"/>
    </row>
    <row r="331" spans="1:65" s="316" customFormat="1" ht="14.25" hidden="1" x14ac:dyDescent="0.25">
      <c r="A331" s="306"/>
      <c r="B331" s="307"/>
      <c r="C331" s="329"/>
      <c r="D331" s="309"/>
      <c r="E331" s="309"/>
      <c r="F331" s="309"/>
      <c r="G331" s="309"/>
      <c r="H331" s="309"/>
      <c r="I331" s="309"/>
      <c r="J331" s="309"/>
      <c r="K331" s="309"/>
      <c r="L331" s="309"/>
      <c r="M331" s="310"/>
      <c r="N331" s="309"/>
      <c r="O331" s="309"/>
      <c r="P331" s="309"/>
      <c r="Q331" s="309"/>
      <c r="R331" s="310"/>
      <c r="S331" s="310"/>
      <c r="T331" s="449"/>
      <c r="U331" s="329"/>
      <c r="V331" s="309"/>
      <c r="W331" s="309"/>
      <c r="X331" s="329"/>
      <c r="Y331" s="329"/>
      <c r="Z331" s="329"/>
      <c r="AA331" s="379"/>
      <c r="AB331" s="379"/>
      <c r="AC331" s="379"/>
      <c r="AD331" s="379"/>
      <c r="AE331" s="379"/>
      <c r="AF331" s="379"/>
      <c r="AG331" s="329"/>
      <c r="AH331" s="329"/>
      <c r="AI331" s="329"/>
      <c r="AJ331" s="329"/>
      <c r="AK331" s="329"/>
      <c r="AL331" s="329"/>
      <c r="AM331" s="329"/>
      <c r="AN331" s="329"/>
      <c r="AO331" s="329"/>
      <c r="AP331" s="329"/>
      <c r="AQ331" s="329"/>
      <c r="AR331" s="329"/>
      <c r="AS331" s="329"/>
      <c r="AT331" s="329"/>
      <c r="AU331" s="329"/>
      <c r="AV331" s="329"/>
      <c r="AW331" s="329"/>
      <c r="AX331" s="329"/>
      <c r="AY331" s="329"/>
      <c r="AZ331" s="329"/>
      <c r="BA331" s="329"/>
      <c r="BB331" s="329"/>
      <c r="BC331" s="329"/>
      <c r="BD331" s="286"/>
      <c r="BE331" s="323"/>
      <c r="BF331" s="315"/>
      <c r="BG331" s="315"/>
      <c r="BH331" s="315"/>
      <c r="BI331" s="315"/>
      <c r="BJ331" s="315"/>
      <c r="BK331" s="315"/>
      <c r="BL331" s="315"/>
      <c r="BM331" s="315"/>
    </row>
    <row r="332" spans="1:65" s="316" customFormat="1" ht="14.25" x14ac:dyDescent="0.25">
      <c r="A332" s="306"/>
      <c r="B332" s="307"/>
      <c r="C332" s="329"/>
      <c r="D332" s="309"/>
      <c r="E332" s="309"/>
      <c r="F332" s="309"/>
      <c r="G332" s="309"/>
      <c r="H332" s="309"/>
      <c r="I332" s="309"/>
      <c r="J332" s="309"/>
      <c r="K332" s="309"/>
      <c r="L332" s="309"/>
      <c r="M332" s="310"/>
      <c r="N332" s="309"/>
      <c r="O332" s="309"/>
      <c r="P332" s="309"/>
      <c r="Q332" s="309"/>
      <c r="R332" s="310"/>
      <c r="S332" s="310"/>
      <c r="T332" s="309"/>
      <c r="U332" s="329"/>
      <c r="V332" s="309"/>
      <c r="W332" s="309"/>
      <c r="X332" s="329"/>
      <c r="Y332" s="329"/>
      <c r="Z332" s="329"/>
      <c r="AA332" s="379"/>
      <c r="AB332" s="379"/>
      <c r="AC332" s="379"/>
      <c r="AD332" s="379"/>
      <c r="AE332" s="379"/>
      <c r="AF332" s="379"/>
      <c r="AG332" s="329"/>
      <c r="AH332" s="329"/>
      <c r="AI332" s="329"/>
      <c r="AJ332" s="329"/>
      <c r="AK332" s="329"/>
      <c r="AL332" s="329"/>
      <c r="AM332" s="329"/>
      <c r="AN332" s="329"/>
      <c r="AO332" s="329"/>
      <c r="AP332" s="329"/>
      <c r="AQ332" s="329"/>
      <c r="AR332" s="329"/>
      <c r="AS332" s="329"/>
      <c r="AT332" s="329"/>
      <c r="AU332" s="329"/>
      <c r="AV332" s="329"/>
      <c r="AW332" s="329"/>
      <c r="AX332" s="329"/>
      <c r="AY332" s="329"/>
      <c r="AZ332" s="329"/>
      <c r="BA332" s="329"/>
      <c r="BB332" s="329"/>
      <c r="BC332" s="329"/>
      <c r="BD332" s="286"/>
      <c r="BE332" s="323"/>
      <c r="BF332" s="315"/>
      <c r="BG332" s="315"/>
      <c r="BH332" s="315"/>
      <c r="BI332" s="315"/>
      <c r="BJ332" s="315"/>
      <c r="BK332" s="315"/>
      <c r="BL332" s="315"/>
      <c r="BM332" s="315"/>
    </row>
    <row r="333" spans="1:65" s="316" customFormat="1" ht="24.75" customHeight="1" thickBot="1" x14ac:dyDescent="0.3">
      <c r="A333" s="398"/>
      <c r="B333" s="399" t="s">
        <v>268</v>
      </c>
      <c r="C333" s="400">
        <f>C261+C302+C323+C330</f>
        <v>94.75</v>
      </c>
      <c r="D333" s="401"/>
      <c r="E333" s="401"/>
      <c r="F333" s="401"/>
      <c r="G333" s="401"/>
      <c r="H333" s="401"/>
      <c r="I333" s="401"/>
      <c r="J333" s="401"/>
      <c r="K333" s="401"/>
      <c r="L333" s="401"/>
      <c r="M333" s="402"/>
      <c r="N333" s="401"/>
      <c r="O333" s="401"/>
      <c r="P333" s="401"/>
      <c r="Q333" s="401"/>
      <c r="R333" s="402"/>
      <c r="S333" s="402"/>
      <c r="T333" s="451">
        <f>U333/2</f>
        <v>1487064.75</v>
      </c>
      <c r="U333" s="452">
        <f>U261+U302+U323+U330</f>
        <v>2974129.5</v>
      </c>
      <c r="V333" s="452"/>
      <c r="W333" s="452">
        <f>W261+W302+W323+W330</f>
        <v>0</v>
      </c>
      <c r="X333" s="452">
        <f>X261+X302+X323+X330</f>
        <v>503294.39999999997</v>
      </c>
      <c r="Y333" s="452"/>
      <c r="Z333" s="452">
        <f>Z261+Z302+Z323+Z330</f>
        <v>0</v>
      </c>
      <c r="AA333" s="452">
        <f>AA261+AA302+AA323+AA330</f>
        <v>43607.5</v>
      </c>
      <c r="AB333" s="452"/>
      <c r="AC333" s="452"/>
      <c r="AD333" s="452">
        <f>AD261+AD302+AD323+AD330</f>
        <v>24950.1046440918</v>
      </c>
      <c r="AE333" s="452"/>
      <c r="AF333" s="452">
        <f>AF261+AF302+AF323+AF330</f>
        <v>0</v>
      </c>
      <c r="AG333" s="452">
        <f>AG261+AG302+AG323+AG330</f>
        <v>87325.366254321299</v>
      </c>
      <c r="AH333" s="403"/>
      <c r="AI333" s="403">
        <f>AI261+AI302+AI323+AI330</f>
        <v>0</v>
      </c>
      <c r="AJ333" s="403">
        <f>AJ261+AJ302+AJ323+AJ330</f>
        <v>182573.46395101838</v>
      </c>
      <c r="AK333" s="403"/>
      <c r="AL333" s="403">
        <f>AL261+AL302+AL323+AL330</f>
        <v>0</v>
      </c>
      <c r="AM333" s="403">
        <f>AM261+AM302+AM323+AM330</f>
        <v>211128.56</v>
      </c>
      <c r="AN333" s="403"/>
      <c r="AO333" s="403">
        <f>AO261+AO302+AO323+AO330</f>
        <v>0</v>
      </c>
      <c r="AP333" s="403">
        <f>AP261+AP302+AP323+AP330</f>
        <v>17695.54</v>
      </c>
      <c r="AQ333" s="403">
        <f>AQ261+AQ302+AQ323+AQ330</f>
        <v>1070574.9348494315</v>
      </c>
      <c r="AR333" s="403"/>
      <c r="AS333" s="403">
        <f>AS261+AS302+AS323+AS330</f>
        <v>319221.2</v>
      </c>
      <c r="AT333" s="403">
        <f>AT261+AT302+AT323+AT330</f>
        <v>554143.54999999993</v>
      </c>
      <c r="AU333" s="403">
        <f>AU261+AU302+AU323+AU330</f>
        <v>22</v>
      </c>
      <c r="AV333" s="403"/>
      <c r="AW333" s="403">
        <f>AW261+AW302+AW323+AW330</f>
        <v>343979</v>
      </c>
      <c r="AX333" s="403"/>
      <c r="AY333" s="403">
        <f>AY261+AY302+AY323+AY330</f>
        <v>0</v>
      </c>
      <c r="AZ333" s="403">
        <f>AZ261+AZ302+AZ323+AZ330</f>
        <v>0</v>
      </c>
      <c r="BA333" s="403">
        <f>BA261+BA302+BA323+BA330</f>
        <v>898122.54999999981</v>
      </c>
      <c r="BB333" s="403">
        <f>BB261+BB302+BB323+BB330</f>
        <v>1011582.1325764337</v>
      </c>
      <c r="BC333" s="403">
        <f>BC261+BC302+BC323+BC330</f>
        <v>4942826.9848494316</v>
      </c>
      <c r="BD333" s="286">
        <f t="shared" si="255"/>
        <v>17389.013139311985</v>
      </c>
      <c r="BE333" s="323"/>
    </row>
    <row r="334" spans="1:65" x14ac:dyDescent="0.25">
      <c r="D334" s="241"/>
      <c r="E334" s="241"/>
      <c r="F334" s="241"/>
      <c r="G334" s="241"/>
      <c r="H334" s="241"/>
      <c r="I334" s="241"/>
      <c r="J334" s="241"/>
      <c r="K334" s="241"/>
      <c r="AQ334" s="251"/>
      <c r="BA334" s="251">
        <f>AT333+AW333+AZ333</f>
        <v>898122.54999999993</v>
      </c>
    </row>
    <row r="335" spans="1:65" x14ac:dyDescent="0.25">
      <c r="D335" s="241"/>
      <c r="E335" s="241"/>
      <c r="F335" s="241"/>
      <c r="G335" s="241"/>
      <c r="H335" s="241"/>
      <c r="I335" s="241"/>
      <c r="J335" s="241"/>
      <c r="K335" s="241"/>
      <c r="AQ335" s="269">
        <f>SUM(X332:AP332)</f>
        <v>0</v>
      </c>
    </row>
    <row r="336" spans="1:65" ht="16.5" x14ac:dyDescent="0.25">
      <c r="D336" s="241"/>
      <c r="E336" s="241"/>
      <c r="F336" s="241"/>
      <c r="G336" s="241"/>
      <c r="H336" s="241"/>
      <c r="I336" s="241"/>
      <c r="J336" s="241"/>
      <c r="K336" s="241"/>
      <c r="S336" s="120"/>
      <c r="T336" s="404"/>
      <c r="U336" s="120" t="s">
        <v>286</v>
      </c>
      <c r="V336" s="405"/>
      <c r="W336" s="405"/>
      <c r="AQ336" s="269">
        <f>SUM(X333:AP333)</f>
        <v>1070574.9348494315</v>
      </c>
      <c r="AT336" s="406">
        <f>C333</f>
        <v>94.75</v>
      </c>
      <c r="AZ336" s="407"/>
      <c r="BA336" s="251">
        <f>BC336/AT336/2</f>
        <v>26083.519708967975</v>
      </c>
      <c r="BC336" s="251">
        <f>BC333</f>
        <v>4942826.9848494316</v>
      </c>
      <c r="BD336" s="251"/>
      <c r="BE336" s="251"/>
      <c r="BF336" s="241">
        <f>BC336/12</f>
        <v>411902.24873745261</v>
      </c>
      <c r="BH336" s="252">
        <f>BA333/2</f>
        <v>449061.27499999991</v>
      </c>
    </row>
    <row r="337" spans="1:65" ht="17.25" x14ac:dyDescent="0.3">
      <c r="D337" s="241"/>
      <c r="E337" s="241"/>
      <c r="F337" s="241"/>
      <c r="G337" s="241"/>
      <c r="H337" s="241"/>
      <c r="I337" s="241"/>
      <c r="J337" s="241"/>
      <c r="K337" s="241"/>
      <c r="S337" s="148"/>
      <c r="T337" s="408"/>
      <c r="U337" s="148"/>
      <c r="V337" s="409" t="s">
        <v>270</v>
      </c>
      <c r="W337" s="410"/>
      <c r="AT337" s="406"/>
    </row>
    <row r="338" spans="1:65" ht="17.25" x14ac:dyDescent="0.3">
      <c r="D338" s="241"/>
      <c r="E338" s="241"/>
      <c r="F338" s="241"/>
      <c r="G338" s="241"/>
      <c r="H338" s="241"/>
      <c r="I338" s="241"/>
      <c r="J338" s="241"/>
      <c r="K338" s="241"/>
      <c r="S338" s="411"/>
      <c r="T338" s="412"/>
      <c r="U338" s="411" t="s">
        <v>271</v>
      </c>
      <c r="V338" s="413"/>
      <c r="W338" s="414"/>
      <c r="X338" s="415"/>
      <c r="Y338" s="415"/>
      <c r="Z338" s="415"/>
      <c r="AA338" s="415"/>
      <c r="AB338" s="415"/>
      <c r="AC338" s="415"/>
      <c r="AE338" s="415"/>
      <c r="AT338" s="406">
        <f>C261-C259+C272+C306+C307+C316+C326+C328</f>
        <v>29.25</v>
      </c>
      <c r="AZ338" s="407"/>
      <c r="BA338" s="251">
        <f>BC338/AT338/2</f>
        <v>34102.115213675213</v>
      </c>
      <c r="BC338" s="251">
        <f>BC261-BC259-BC260+BC272+BC306+BC307+BC316+BC326+BC328</f>
        <v>1994973.74</v>
      </c>
      <c r="BD338" s="251"/>
      <c r="BE338" s="251"/>
      <c r="BF338" s="241">
        <f>BC338/12</f>
        <v>166247.81166666668</v>
      </c>
    </row>
    <row r="339" spans="1:65" ht="16.5" x14ac:dyDescent="0.25">
      <c r="D339" s="241"/>
      <c r="E339" s="241"/>
      <c r="F339" s="241"/>
      <c r="G339" s="241"/>
      <c r="H339" s="241"/>
      <c r="I339" s="241"/>
      <c r="J339" s="241"/>
      <c r="K339" s="241"/>
      <c r="S339" s="148"/>
      <c r="T339" s="408"/>
      <c r="U339" s="148"/>
      <c r="V339" s="410"/>
      <c r="W339" s="410"/>
      <c r="AT339" s="406"/>
    </row>
    <row r="340" spans="1:65" ht="17.25" x14ac:dyDescent="0.3">
      <c r="D340" s="241"/>
      <c r="E340" s="241"/>
      <c r="F340" s="241"/>
      <c r="G340" s="241"/>
      <c r="H340" s="241"/>
      <c r="I340" s="241"/>
      <c r="J340" s="241"/>
      <c r="K340" s="241"/>
      <c r="S340" s="416"/>
      <c r="T340" s="412"/>
      <c r="U340" s="416" t="s">
        <v>272</v>
      </c>
      <c r="V340" s="409"/>
      <c r="W340" s="409"/>
      <c r="AT340" s="406">
        <f>C259+C283+C294+C301+C308+C309+C310+C311+C317+C318+C319+C327+C329</f>
        <v>65.5</v>
      </c>
      <c r="AZ340" s="407"/>
      <c r="BA340" s="251">
        <f>BC340/AT340/2</f>
        <v>22502.696525568186</v>
      </c>
      <c r="BC340" s="251">
        <f>BC259+BC283+BC294+BC301+BC308+BC309+BC310+BC311+BC317+BC318+BC319+BC327+BC329</f>
        <v>2947853.2448494323</v>
      </c>
      <c r="BD340" s="251"/>
      <c r="BE340" s="251"/>
      <c r="BF340" s="241">
        <f>BC340/12</f>
        <v>245654.43707078602</v>
      </c>
    </row>
    <row r="341" spans="1:65" x14ac:dyDescent="0.25">
      <c r="D341" s="241"/>
      <c r="E341" s="241"/>
      <c r="F341" s="241"/>
      <c r="G341" s="241"/>
      <c r="H341" s="241"/>
      <c r="I341" s="241"/>
      <c r="J341" s="241"/>
      <c r="K341" s="241"/>
      <c r="AT341" s="406">
        <f>SUM(AT338:AT340)</f>
        <v>94.75</v>
      </c>
      <c r="BC341" s="417">
        <f>SUM(BC338:BC340)</f>
        <v>4942826.9848494325</v>
      </c>
    </row>
    <row r="342" spans="1:65" hidden="1" x14ac:dyDescent="0.25">
      <c r="D342" s="241"/>
      <c r="E342" s="241"/>
      <c r="F342" s="241"/>
      <c r="G342" s="241"/>
      <c r="H342" s="241"/>
      <c r="I342" s="241"/>
      <c r="J342" s="241"/>
      <c r="K342" s="241"/>
      <c r="AT342" s="418">
        <f>SUM(AT338:AT340)</f>
        <v>94.75</v>
      </c>
      <c r="AU342" s="418"/>
      <c r="AV342" s="418"/>
      <c r="AW342" s="418"/>
      <c r="AX342" s="419"/>
      <c r="AY342" s="419"/>
      <c r="AZ342" s="418"/>
      <c r="BA342" s="418"/>
      <c r="BB342" s="418">
        <f>SUM(BB338:BB340)</f>
        <v>0</v>
      </c>
      <c r="BC342" s="418">
        <f>BC333-BC341</f>
        <v>0</v>
      </c>
    </row>
    <row r="343" spans="1:65" ht="19.5" hidden="1" customHeight="1" x14ac:dyDescent="0.25">
      <c r="B343" s="420"/>
      <c r="C343" s="420"/>
      <c r="D343" s="241"/>
      <c r="E343" s="241"/>
      <c r="F343" s="241"/>
      <c r="G343" s="241"/>
      <c r="H343" s="241"/>
      <c r="I343" s="241"/>
      <c r="J343" s="241"/>
      <c r="K343" s="241"/>
      <c r="X343" s="420"/>
      <c r="Y343" s="416"/>
      <c r="Z343" s="416"/>
      <c r="AT343" s="453"/>
      <c r="AU343" s="419"/>
      <c r="AV343" s="419"/>
      <c r="AW343" s="419"/>
      <c r="AX343" s="419"/>
      <c r="AY343" s="419"/>
      <c r="AZ343" s="453"/>
      <c r="BA343" s="419"/>
      <c r="BB343" s="419"/>
      <c r="BC343" s="419"/>
    </row>
    <row r="344" spans="1:65" ht="15" hidden="1" customHeight="1" x14ac:dyDescent="0.25">
      <c r="B344" s="421"/>
      <c r="C344" s="422"/>
      <c r="D344" s="241"/>
      <c r="E344" s="241"/>
      <c r="F344" s="241"/>
      <c r="G344" s="241"/>
      <c r="H344" s="241"/>
      <c r="I344" s="241"/>
      <c r="J344" s="241"/>
      <c r="K344" s="241"/>
      <c r="X344" s="420"/>
      <c r="Y344" s="420"/>
      <c r="Z344" s="420"/>
    </row>
    <row r="345" spans="1:65" ht="15.75" hidden="1" x14ac:dyDescent="0.25">
      <c r="B345" s="421"/>
      <c r="C345" s="422"/>
      <c r="D345" s="241"/>
      <c r="E345" s="241"/>
      <c r="F345" s="241"/>
      <c r="G345" s="241"/>
      <c r="H345" s="241"/>
      <c r="I345" s="241"/>
      <c r="J345" s="241"/>
      <c r="K345" s="241"/>
      <c r="X345" s="420"/>
      <c r="Y345" s="420"/>
      <c r="Z345" s="420"/>
    </row>
    <row r="346" spans="1:65" ht="21" customHeight="1" thickBot="1" x14ac:dyDescent="0.3">
      <c r="B346" s="257" t="s">
        <v>287</v>
      </c>
      <c r="D346" s="241"/>
      <c r="E346" s="241"/>
      <c r="F346" s="241"/>
      <c r="G346" s="241"/>
      <c r="H346" s="241"/>
      <c r="I346" s="241"/>
      <c r="J346" s="241"/>
      <c r="K346" s="241"/>
      <c r="M346" s="257">
        <f>[3]тар!B25</f>
        <v>3028</v>
      </c>
      <c r="N346" s="257" t="s">
        <v>173</v>
      </c>
      <c r="O346" s="257"/>
    </row>
    <row r="347" spans="1:65" ht="70.5" customHeight="1" x14ac:dyDescent="0.25">
      <c r="A347" s="2019" t="s">
        <v>174</v>
      </c>
      <c r="B347" s="2021" t="s">
        <v>175</v>
      </c>
      <c r="C347" s="2024"/>
      <c r="D347" s="2027" t="s">
        <v>177</v>
      </c>
      <c r="E347" s="2028"/>
      <c r="F347" s="2028"/>
      <c r="G347" s="2028"/>
      <c r="H347" s="2028"/>
      <c r="I347" s="2028"/>
      <c r="J347" s="2028"/>
      <c r="K347" s="2029"/>
      <c r="L347" s="2030" t="s">
        <v>178</v>
      </c>
      <c r="M347" s="2033" t="s">
        <v>179</v>
      </c>
      <c r="N347" s="2013" t="s">
        <v>180</v>
      </c>
      <c r="O347" s="2013" t="s">
        <v>181</v>
      </c>
      <c r="P347" s="2013" t="s">
        <v>182</v>
      </c>
      <c r="Q347" s="2013" t="s">
        <v>183</v>
      </c>
      <c r="R347" s="2013" t="s">
        <v>184</v>
      </c>
      <c r="S347" s="2015" t="s">
        <v>274</v>
      </c>
      <c r="T347" s="2016"/>
      <c r="U347" s="2010" t="s">
        <v>186</v>
      </c>
      <c r="V347" s="1991" t="s">
        <v>275</v>
      </c>
      <c r="W347" s="1992"/>
      <c r="X347" s="1993"/>
      <c r="Y347" s="1994" t="s">
        <v>188</v>
      </c>
      <c r="Z347" s="1992"/>
      <c r="AA347" s="1993"/>
      <c r="AB347" s="2036" t="s">
        <v>189</v>
      </c>
      <c r="AC347" s="2037"/>
      <c r="AD347" s="2038"/>
      <c r="AE347" s="1994" t="s">
        <v>190</v>
      </c>
      <c r="AF347" s="1992"/>
      <c r="AG347" s="1993"/>
      <c r="AH347" s="1994" t="s">
        <v>191</v>
      </c>
      <c r="AI347" s="1992"/>
      <c r="AJ347" s="1993"/>
      <c r="AK347" s="2036" t="s">
        <v>192</v>
      </c>
      <c r="AL347" s="2037"/>
      <c r="AM347" s="2038"/>
      <c r="AN347" s="1994" t="s">
        <v>193</v>
      </c>
      <c r="AO347" s="1992"/>
      <c r="AP347" s="1993"/>
      <c r="AQ347" s="2010" t="s">
        <v>194</v>
      </c>
      <c r="AR347" s="1991" t="s">
        <v>195</v>
      </c>
      <c r="AS347" s="1992"/>
      <c r="AT347" s="1993"/>
      <c r="AU347" s="1994" t="s">
        <v>196</v>
      </c>
      <c r="AV347" s="1992"/>
      <c r="AW347" s="1992"/>
      <c r="AX347" s="1992"/>
      <c r="AY347" s="1992"/>
      <c r="AZ347" s="1993"/>
      <c r="BA347" s="2039" t="s">
        <v>197</v>
      </c>
      <c r="BB347" s="1998" t="s">
        <v>198</v>
      </c>
      <c r="BC347" s="1999"/>
      <c r="BD347" s="258"/>
      <c r="BE347" s="258"/>
      <c r="BF347" s="251">
        <f>BC369-BA352</f>
        <v>2738175.5199999996</v>
      </c>
    </row>
    <row r="348" spans="1:65" ht="10.9" customHeight="1" x14ac:dyDescent="0.25">
      <c r="A348" s="2020"/>
      <c r="B348" s="2022"/>
      <c r="C348" s="2025"/>
      <c r="D348" s="2004" t="s">
        <v>199</v>
      </c>
      <c r="E348" s="2005"/>
      <c r="F348" s="2005"/>
      <c r="G348" s="2005"/>
      <c r="H348" s="2005"/>
      <c r="I348" s="2005"/>
      <c r="J348" s="2005"/>
      <c r="K348" s="2006"/>
      <c r="L348" s="2031"/>
      <c r="M348" s="2034"/>
      <c r="N348" s="2014"/>
      <c r="O348" s="2014"/>
      <c r="P348" s="2014"/>
      <c r="Q348" s="2014"/>
      <c r="R348" s="2014"/>
      <c r="S348" s="2017"/>
      <c r="T348" s="2018"/>
      <c r="U348" s="2011"/>
      <c r="V348" s="1989" t="s">
        <v>200</v>
      </c>
      <c r="W348" s="1979" t="s">
        <v>201</v>
      </c>
      <c r="X348" s="1980"/>
      <c r="Y348" s="1983" t="s">
        <v>200</v>
      </c>
      <c r="Z348" s="1979" t="s">
        <v>201</v>
      </c>
      <c r="AA348" s="1980"/>
      <c r="AB348" s="1983" t="s">
        <v>200</v>
      </c>
      <c r="AC348" s="259"/>
      <c r="AD348" s="1985" t="s">
        <v>201</v>
      </c>
      <c r="AE348" s="1983" t="s">
        <v>200</v>
      </c>
      <c r="AF348" s="1979" t="s">
        <v>201</v>
      </c>
      <c r="AG348" s="1980"/>
      <c r="AH348" s="1983" t="s">
        <v>200</v>
      </c>
      <c r="AI348" s="1979" t="s">
        <v>201</v>
      </c>
      <c r="AJ348" s="1980"/>
      <c r="AK348" s="1983" t="s">
        <v>200</v>
      </c>
      <c r="AL348" s="1979" t="s">
        <v>201</v>
      </c>
      <c r="AM348" s="1980"/>
      <c r="AN348" s="1983" t="s">
        <v>200</v>
      </c>
      <c r="AO348" s="1979" t="s">
        <v>201</v>
      </c>
      <c r="AP348" s="1980"/>
      <c r="AQ348" s="2011"/>
      <c r="AR348" s="1989" t="s">
        <v>200</v>
      </c>
      <c r="AS348" s="1979" t="s">
        <v>201</v>
      </c>
      <c r="AT348" s="1980"/>
      <c r="AU348" s="1983" t="s">
        <v>277</v>
      </c>
      <c r="AV348" s="1985" t="s">
        <v>200</v>
      </c>
      <c r="AW348" s="1987" t="s">
        <v>201</v>
      </c>
      <c r="AX348" s="1989" t="s">
        <v>200</v>
      </c>
      <c r="AY348" s="1979" t="s">
        <v>201</v>
      </c>
      <c r="AZ348" s="1980"/>
      <c r="BA348" s="2040"/>
      <c r="BB348" s="2000"/>
      <c r="BC348" s="2001"/>
      <c r="BD348" s="258"/>
      <c r="BE348" s="258"/>
    </row>
    <row r="349" spans="1:65" ht="24.75" customHeight="1" x14ac:dyDescent="0.25">
      <c r="A349" s="1990"/>
      <c r="B349" s="2023"/>
      <c r="C349" s="2026"/>
      <c r="D349" s="260" t="s">
        <v>203</v>
      </c>
      <c r="E349" s="261" t="s">
        <v>204</v>
      </c>
      <c r="F349" s="261" t="s">
        <v>205</v>
      </c>
      <c r="G349" s="261" t="s">
        <v>206</v>
      </c>
      <c r="H349" s="261" t="s">
        <v>207</v>
      </c>
      <c r="I349" s="261" t="s">
        <v>208</v>
      </c>
      <c r="J349" s="261" t="s">
        <v>209</v>
      </c>
      <c r="K349" s="262" t="s">
        <v>210</v>
      </c>
      <c r="L349" s="2032"/>
      <c r="M349" s="2035"/>
      <c r="N349" s="1986"/>
      <c r="O349" s="1986"/>
      <c r="P349" s="1986"/>
      <c r="Q349" s="1986"/>
      <c r="R349" s="1986"/>
      <c r="S349" s="263" t="s">
        <v>211</v>
      </c>
      <c r="T349" s="424" t="s">
        <v>212</v>
      </c>
      <c r="U349" s="2012"/>
      <c r="V349" s="1990"/>
      <c r="W349" s="1981"/>
      <c r="X349" s="1982"/>
      <c r="Y349" s="1984"/>
      <c r="Z349" s="1981"/>
      <c r="AA349" s="1982"/>
      <c r="AB349" s="1984"/>
      <c r="AC349" s="264"/>
      <c r="AD349" s="1986"/>
      <c r="AE349" s="1984"/>
      <c r="AF349" s="1981"/>
      <c r="AG349" s="1982"/>
      <c r="AH349" s="1984"/>
      <c r="AI349" s="1981"/>
      <c r="AJ349" s="1982"/>
      <c r="AK349" s="1984"/>
      <c r="AL349" s="1981"/>
      <c r="AM349" s="1982"/>
      <c r="AN349" s="1984"/>
      <c r="AO349" s="1981"/>
      <c r="AP349" s="1982"/>
      <c r="AQ349" s="2012"/>
      <c r="AR349" s="1990"/>
      <c r="AS349" s="1981"/>
      <c r="AT349" s="1982"/>
      <c r="AU349" s="1984"/>
      <c r="AV349" s="1986"/>
      <c r="AW349" s="1988"/>
      <c r="AX349" s="1990" t="s">
        <v>200</v>
      </c>
      <c r="AY349" s="1981"/>
      <c r="AZ349" s="1982"/>
      <c r="BA349" s="2041"/>
      <c r="BB349" s="2002"/>
      <c r="BC349" s="2003"/>
      <c r="BD349" s="265"/>
      <c r="BE349" s="265"/>
      <c r="BF349" s="260" t="s">
        <v>203</v>
      </c>
      <c r="BG349" s="261" t="s">
        <v>204</v>
      </c>
      <c r="BH349" s="261" t="s">
        <v>205</v>
      </c>
      <c r="BI349" s="261" t="s">
        <v>206</v>
      </c>
      <c r="BJ349" s="261" t="s">
        <v>207</v>
      </c>
      <c r="BK349" s="261" t="s">
        <v>208</v>
      </c>
      <c r="BL349" s="261" t="s">
        <v>209</v>
      </c>
      <c r="BM349" s="262" t="s">
        <v>210</v>
      </c>
    </row>
    <row r="350" spans="1:65" s="251" customFormat="1" x14ac:dyDescent="0.25">
      <c r="A350" s="427">
        <v>1</v>
      </c>
      <c r="B350" s="428">
        <v>2</v>
      </c>
      <c r="C350" s="345">
        <v>3</v>
      </c>
      <c r="D350" s="428">
        <v>5</v>
      </c>
      <c r="E350" s="345">
        <v>6</v>
      </c>
      <c r="F350" s="345">
        <v>7</v>
      </c>
      <c r="G350" s="428">
        <v>8</v>
      </c>
      <c r="H350" s="345">
        <v>9</v>
      </c>
      <c r="I350" s="345">
        <v>10</v>
      </c>
      <c r="J350" s="428">
        <v>11</v>
      </c>
      <c r="K350" s="345">
        <v>12</v>
      </c>
      <c r="L350" s="345">
        <v>4</v>
      </c>
      <c r="M350" s="428">
        <v>5</v>
      </c>
      <c r="N350" s="345">
        <v>6</v>
      </c>
      <c r="O350" s="345">
        <v>7</v>
      </c>
      <c r="P350" s="428">
        <v>8</v>
      </c>
      <c r="Q350" s="345">
        <v>9</v>
      </c>
      <c r="R350" s="345">
        <v>10</v>
      </c>
      <c r="S350" s="428">
        <v>11</v>
      </c>
      <c r="T350" s="345">
        <v>12</v>
      </c>
      <c r="U350" s="345">
        <v>13</v>
      </c>
      <c r="V350" s="428">
        <v>14</v>
      </c>
      <c r="W350" s="345">
        <v>24</v>
      </c>
      <c r="X350" s="345">
        <v>15</v>
      </c>
      <c r="Y350" s="428">
        <v>16</v>
      </c>
      <c r="Z350" s="345">
        <v>30</v>
      </c>
      <c r="AA350" s="345">
        <v>17</v>
      </c>
      <c r="AB350" s="428">
        <v>18</v>
      </c>
      <c r="AC350" s="428"/>
      <c r="AD350" s="345">
        <v>19</v>
      </c>
      <c r="AE350" s="428">
        <v>18</v>
      </c>
      <c r="AF350" s="345">
        <v>33</v>
      </c>
      <c r="AG350" s="345">
        <v>19</v>
      </c>
      <c r="AH350" s="428">
        <v>20</v>
      </c>
      <c r="AI350" s="345">
        <v>36</v>
      </c>
      <c r="AJ350" s="345">
        <v>21</v>
      </c>
      <c r="AK350" s="428">
        <v>22</v>
      </c>
      <c r="AL350" s="345">
        <v>39</v>
      </c>
      <c r="AM350" s="345">
        <v>23</v>
      </c>
      <c r="AN350" s="428">
        <v>22</v>
      </c>
      <c r="AO350" s="345">
        <v>39</v>
      </c>
      <c r="AP350" s="345">
        <v>23</v>
      </c>
      <c r="AQ350" s="428">
        <v>24</v>
      </c>
      <c r="AR350" s="345">
        <v>25</v>
      </c>
      <c r="AS350" s="345">
        <v>43</v>
      </c>
      <c r="AT350" s="428">
        <v>26</v>
      </c>
      <c r="AU350" s="345">
        <v>27</v>
      </c>
      <c r="AV350" s="345">
        <v>28</v>
      </c>
      <c r="AW350" s="428">
        <v>29</v>
      </c>
      <c r="AX350" s="345">
        <v>30</v>
      </c>
      <c r="AY350" s="345">
        <v>43</v>
      </c>
      <c r="AZ350" s="428">
        <v>31</v>
      </c>
      <c r="BA350" s="345">
        <v>32</v>
      </c>
      <c r="BB350" s="345">
        <v>49</v>
      </c>
      <c r="BC350" s="428">
        <v>33</v>
      </c>
    </row>
    <row r="351" spans="1:65" s="275" customFormat="1" ht="21" customHeight="1" x14ac:dyDescent="0.25">
      <c r="A351" s="270" t="s">
        <v>213</v>
      </c>
      <c r="B351" s="271" t="s">
        <v>97</v>
      </c>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2"/>
      <c r="AR351" s="272"/>
      <c r="AS351" s="272"/>
      <c r="AT351" s="272"/>
      <c r="AU351" s="272"/>
      <c r="AV351" s="272"/>
      <c r="AW351" s="272"/>
      <c r="AX351" s="272"/>
      <c r="AY351" s="272"/>
      <c r="AZ351" s="272"/>
      <c r="BA351" s="272"/>
      <c r="BB351" s="272"/>
      <c r="BC351" s="273"/>
      <c r="BD351" s="274"/>
      <c r="BE351" s="274"/>
    </row>
    <row r="352" spans="1:65" s="287" customFormat="1" ht="18.75" customHeight="1" x14ac:dyDescent="0.25">
      <c r="A352" s="276"/>
      <c r="B352" s="277" t="s">
        <v>146</v>
      </c>
      <c r="C352" s="278">
        <v>1</v>
      </c>
      <c r="D352" s="279"/>
      <c r="E352" s="279"/>
      <c r="F352" s="279"/>
      <c r="G352" s="279"/>
      <c r="H352" s="279"/>
      <c r="I352" s="279"/>
      <c r="J352" s="279">
        <v>1</v>
      </c>
      <c r="K352" s="279"/>
      <c r="L352" s="277"/>
      <c r="M352" s="304">
        <f>M244</f>
        <v>3028</v>
      </c>
      <c r="N352" s="281">
        <f t="shared" ref="N352:N366" si="258">N$244</f>
        <v>2</v>
      </c>
      <c r="O352" s="282">
        <v>4.5</v>
      </c>
      <c r="P352" s="282">
        <f t="shared" ref="P352:P366" si="259">P$244</f>
        <v>1.58</v>
      </c>
      <c r="Q352" s="282"/>
      <c r="R352" s="283">
        <f>[3]тар!K11</f>
        <v>686</v>
      </c>
      <c r="S352" s="280">
        <f>T352/(R352/4)</f>
        <v>251.067055393586</v>
      </c>
      <c r="T352" s="425">
        <f t="shared" ref="T352:T367" si="260">ROUND(M352*N352*O352*P352,0)</f>
        <v>43058</v>
      </c>
      <c r="U352" s="284">
        <f>T352*C352*4</f>
        <v>172232</v>
      </c>
      <c r="V352" s="277"/>
      <c r="W352" s="285"/>
      <c r="X352" s="285">
        <f>U352*V352%</f>
        <v>0</v>
      </c>
      <c r="Y352" s="277"/>
      <c r="Z352" s="277"/>
      <c r="AA352" s="277"/>
      <c r="AB352" s="277"/>
      <c r="AC352" s="277"/>
      <c r="AD352" s="277"/>
      <c r="AE352" s="277"/>
      <c r="AF352" s="277"/>
      <c r="AG352" s="277"/>
      <c r="AH352" s="277"/>
      <c r="AI352" s="277"/>
      <c r="AJ352" s="277"/>
      <c r="AK352" s="277"/>
      <c r="AL352" s="277"/>
      <c r="AM352" s="285">
        <f t="shared" ref="AM352:AM368" si="261">T352*AK352%*4</f>
        <v>0</v>
      </c>
      <c r="AN352" s="277"/>
      <c r="AO352" s="277"/>
      <c r="AP352" s="285"/>
      <c r="AQ352" s="284">
        <f t="shared" ref="AQ352:AQ368" si="262">X352+AA352+AD352+AG352+AJ352+AM352+AP352</f>
        <v>0</v>
      </c>
      <c r="AR352" s="285"/>
      <c r="AS352" s="285">
        <f t="shared" ref="AS352:AS366" si="263">AT352/C352</f>
        <v>86116</v>
      </c>
      <c r="AT352" s="280">
        <f>T352*2</f>
        <v>86116</v>
      </c>
      <c r="AU352" s="277"/>
      <c r="AV352" s="277">
        <v>100</v>
      </c>
      <c r="AW352" s="277">
        <f t="shared" ref="AW352:AW366" si="264">AU352*T352</f>
        <v>0</v>
      </c>
      <c r="AX352" s="285"/>
      <c r="AY352" s="285"/>
      <c r="AZ352" s="280"/>
      <c r="BA352" s="284">
        <f t="shared" ref="BA352:BA367" si="265">AT352+AW352+AZ352</f>
        <v>86116</v>
      </c>
      <c r="BB352" s="284">
        <f t="shared" ref="BB352:BB366" si="266">BC352/C352</f>
        <v>258348</v>
      </c>
      <c r="BC352" s="284">
        <f t="shared" ref="BC352:BC366" si="267">BA352+AQ352+U352</f>
        <v>258348</v>
      </c>
      <c r="BD352" s="286">
        <f>BC352/C352/5</f>
        <v>51669.599999999999</v>
      </c>
      <c r="BE352" s="286"/>
      <c r="BF352" s="251">
        <f>IF(D352=1,BC352,0)</f>
        <v>0</v>
      </c>
      <c r="BG352" s="251">
        <f>IF(E352=1,BC352,0)</f>
        <v>0</v>
      </c>
      <c r="BH352" s="251">
        <f>IF(F352=1,BC352,0)</f>
        <v>0</v>
      </c>
      <c r="BI352" s="251">
        <f>IF(G352=1,BC352,0)</f>
        <v>0</v>
      </c>
      <c r="BJ352" s="251">
        <f>IF(H352=1,BC352,0)</f>
        <v>0</v>
      </c>
      <c r="BK352" s="251">
        <f>IF(I352=1,BC352,0)</f>
        <v>0</v>
      </c>
      <c r="BL352" s="251">
        <f>IF(J352=1,BC352,0)</f>
        <v>258348</v>
      </c>
      <c r="BM352" s="251">
        <f>IF(K352=1,BC352,0)</f>
        <v>0</v>
      </c>
    </row>
    <row r="353" spans="1:65" s="287" customFormat="1" x14ac:dyDescent="0.25">
      <c r="A353" s="276"/>
      <c r="B353" s="288" t="s">
        <v>214</v>
      </c>
      <c r="C353" s="278">
        <v>1</v>
      </c>
      <c r="D353" s="279"/>
      <c r="E353" s="279"/>
      <c r="F353" s="279"/>
      <c r="G353" s="279"/>
      <c r="H353" s="279"/>
      <c r="I353" s="279"/>
      <c r="J353" s="279">
        <v>1</v>
      </c>
      <c r="K353" s="279"/>
      <c r="L353" s="277"/>
      <c r="M353" s="280">
        <f>M$359</f>
        <v>3028</v>
      </c>
      <c r="N353" s="281">
        <f t="shared" si="258"/>
        <v>2</v>
      </c>
      <c r="O353" s="282">
        <f>O352*80%</f>
        <v>3.6</v>
      </c>
      <c r="P353" s="282">
        <f t="shared" si="259"/>
        <v>1.58</v>
      </c>
      <c r="Q353" s="282"/>
      <c r="R353" s="283">
        <f>$R$352</f>
        <v>686</v>
      </c>
      <c r="S353" s="280">
        <f t="shared" ref="S353:S367" si="268">T353/(R353/4)</f>
        <v>200.85714285714286</v>
      </c>
      <c r="T353" s="425">
        <f>ROUND(M353*N353*O353*P353,0)</f>
        <v>34447</v>
      </c>
      <c r="U353" s="284">
        <f t="shared" ref="U353:U367" si="269">T353*C353*4</f>
        <v>137788</v>
      </c>
      <c r="V353" s="277">
        <v>30</v>
      </c>
      <c r="W353" s="285"/>
      <c r="X353" s="285">
        <f>U353*V353%</f>
        <v>41336.400000000001</v>
      </c>
      <c r="Y353" s="277"/>
      <c r="Z353" s="277"/>
      <c r="AA353" s="277"/>
      <c r="AB353" s="277"/>
      <c r="AC353" s="277"/>
      <c r="AD353" s="277"/>
      <c r="AE353" s="277"/>
      <c r="AF353" s="277"/>
      <c r="AG353" s="277"/>
      <c r="AH353" s="277"/>
      <c r="AI353" s="277"/>
      <c r="AJ353" s="277"/>
      <c r="AK353" s="277">
        <v>7</v>
      </c>
      <c r="AL353" s="277"/>
      <c r="AM353" s="285">
        <f t="shared" si="261"/>
        <v>9645.1600000000017</v>
      </c>
      <c r="AN353" s="277"/>
      <c r="AO353" s="277"/>
      <c r="AP353" s="277"/>
      <c r="AQ353" s="284">
        <f t="shared" si="262"/>
        <v>50981.560000000005</v>
      </c>
      <c r="AR353" s="277">
        <f t="shared" ref="AR353:AR367" si="270">AR$29</f>
        <v>20</v>
      </c>
      <c r="AS353" s="277">
        <f t="shared" si="263"/>
        <v>27557.600000000002</v>
      </c>
      <c r="AT353" s="283">
        <f t="shared" ref="AT353:AT366" si="271">(U353)*AR353%</f>
        <v>27557.600000000002</v>
      </c>
      <c r="AU353" s="277">
        <v>1</v>
      </c>
      <c r="AV353" s="277">
        <v>100</v>
      </c>
      <c r="AW353" s="277">
        <f t="shared" si="264"/>
        <v>34447</v>
      </c>
      <c r="AX353" s="277"/>
      <c r="AY353" s="277"/>
      <c r="AZ353" s="283"/>
      <c r="BA353" s="284">
        <f t="shared" si="265"/>
        <v>62004.600000000006</v>
      </c>
      <c r="BB353" s="284">
        <f t="shared" si="266"/>
        <v>250774.16</v>
      </c>
      <c r="BC353" s="284">
        <f t="shared" si="267"/>
        <v>250774.16</v>
      </c>
      <c r="BD353" s="286">
        <f t="shared" ref="BD353:BD421" si="272">BC353/C353/5</f>
        <v>50154.832000000002</v>
      </c>
      <c r="BE353" s="286"/>
      <c r="BF353" s="251">
        <f>IF(D353=1,BC353,0)</f>
        <v>0</v>
      </c>
      <c r="BG353" s="251">
        <f>IF(E353=1,BC353,0)</f>
        <v>0</v>
      </c>
      <c r="BH353" s="251">
        <f>IF(F353=1,BC353,0)</f>
        <v>0</v>
      </c>
      <c r="BI353" s="251">
        <f>IF(G353=1,BC353,0)</f>
        <v>0</v>
      </c>
      <c r="BJ353" s="251">
        <f>IF(H353=1,BC353,0)</f>
        <v>0</v>
      </c>
      <c r="BK353" s="251">
        <f>IF(I353=1,BC353,0)</f>
        <v>0</v>
      </c>
      <c r="BL353" s="251">
        <f>IF(J353=1,BC353,0)</f>
        <v>250774.16</v>
      </c>
      <c r="BM353" s="251">
        <f>IF(K353=1,BC353,0)</f>
        <v>0</v>
      </c>
    </row>
    <row r="354" spans="1:65" s="301" customFormat="1" x14ac:dyDescent="0.25">
      <c r="A354" s="289"/>
      <c r="B354" s="290" t="s">
        <v>215</v>
      </c>
      <c r="C354" s="376">
        <v>1</v>
      </c>
      <c r="D354" s="292"/>
      <c r="E354" s="292"/>
      <c r="F354" s="292"/>
      <c r="G354" s="292"/>
      <c r="H354" s="292"/>
      <c r="I354" s="292"/>
      <c r="J354" s="292">
        <v>1</v>
      </c>
      <c r="K354" s="292"/>
      <c r="L354" s="293"/>
      <c r="M354" s="280">
        <f>M$359</f>
        <v>3028</v>
      </c>
      <c r="N354" s="429">
        <f t="shared" si="258"/>
        <v>2</v>
      </c>
      <c r="O354" s="295">
        <v>3.38</v>
      </c>
      <c r="P354" s="295">
        <f t="shared" si="259"/>
        <v>1.58</v>
      </c>
      <c r="Q354" s="295"/>
      <c r="R354" s="296">
        <f>$R$352</f>
        <v>686</v>
      </c>
      <c r="S354" s="294">
        <f>T354/(R354/4)</f>
        <v>188.57725947521865</v>
      </c>
      <c r="T354" s="291">
        <f>ROUND(M354*N354*O354*P354,0)</f>
        <v>32341</v>
      </c>
      <c r="U354" s="297">
        <f>T354*C354*4</f>
        <v>129364</v>
      </c>
      <c r="V354" s="293">
        <v>30</v>
      </c>
      <c r="W354" s="298"/>
      <c r="X354" s="298">
        <f>U354*V354%</f>
        <v>38809.199999999997</v>
      </c>
      <c r="Y354" s="293"/>
      <c r="Z354" s="293"/>
      <c r="AA354" s="293"/>
      <c r="AB354" s="293"/>
      <c r="AC354" s="293"/>
      <c r="AD354" s="293"/>
      <c r="AE354" s="293"/>
      <c r="AF354" s="293"/>
      <c r="AG354" s="293"/>
      <c r="AH354" s="293"/>
      <c r="AI354" s="293"/>
      <c r="AJ354" s="293"/>
      <c r="AK354" s="293">
        <v>7</v>
      </c>
      <c r="AL354" s="293"/>
      <c r="AM354" s="298">
        <f>T354*AK354%*4</f>
        <v>9055.4800000000014</v>
      </c>
      <c r="AN354" s="293"/>
      <c r="AO354" s="293"/>
      <c r="AP354" s="293"/>
      <c r="AQ354" s="297">
        <f>X354+AA354+AD354+AG354+AJ354+AM354+AP354</f>
        <v>47864.68</v>
      </c>
      <c r="AR354" s="293">
        <f t="shared" si="270"/>
        <v>20</v>
      </c>
      <c r="AS354" s="293">
        <f>AT354/C354</f>
        <v>25872.800000000003</v>
      </c>
      <c r="AT354" s="296">
        <f>(U354)*AR354%</f>
        <v>25872.800000000003</v>
      </c>
      <c r="AU354" s="293">
        <v>1</v>
      </c>
      <c r="AV354" s="293">
        <v>100</v>
      </c>
      <c r="AW354" s="293">
        <f>AU354*T354</f>
        <v>32341</v>
      </c>
      <c r="AX354" s="293"/>
      <c r="AY354" s="293"/>
      <c r="AZ354" s="296"/>
      <c r="BA354" s="297">
        <f>AT354+AW354+AZ354</f>
        <v>58213.8</v>
      </c>
      <c r="BB354" s="297">
        <f>BC354/C354</f>
        <v>235442.48</v>
      </c>
      <c r="BC354" s="297">
        <f>BA354+AQ354+U354</f>
        <v>235442.48</v>
      </c>
      <c r="BD354" s="299">
        <f>BC354/C354/5</f>
        <v>47088.495999999999</v>
      </c>
      <c r="BE354" s="299"/>
      <c r="BF354" s="300">
        <f>IF(D354=1,BC354,0)</f>
        <v>0</v>
      </c>
      <c r="BG354" s="300">
        <f>IF(E354=1,BC354,0)</f>
        <v>0</v>
      </c>
      <c r="BH354" s="300">
        <f>IF(F354=1,BC354,0)</f>
        <v>0</v>
      </c>
      <c r="BI354" s="300">
        <f>IF(G354=1,BC354,0)</f>
        <v>0</v>
      </c>
      <c r="BJ354" s="300">
        <f>IF(H354=1,BC354,0)</f>
        <v>0</v>
      </c>
      <c r="BK354" s="300">
        <f>IF(I354=1,BC354,0)</f>
        <v>0</v>
      </c>
      <c r="BL354" s="300">
        <f>IF(J354=1,BC354,0)</f>
        <v>235442.48</v>
      </c>
      <c r="BM354" s="300">
        <f>IF(K354=1,BC354,0)</f>
        <v>0</v>
      </c>
    </row>
    <row r="355" spans="1:65" s="287" customFormat="1" x14ac:dyDescent="0.25">
      <c r="A355" s="276"/>
      <c r="B355" s="288" t="s">
        <v>216</v>
      </c>
      <c r="C355" s="278">
        <v>1</v>
      </c>
      <c r="D355" s="279"/>
      <c r="E355" s="279"/>
      <c r="F355" s="279"/>
      <c r="G355" s="279"/>
      <c r="H355" s="279"/>
      <c r="I355" s="279"/>
      <c r="J355" s="279">
        <v>1</v>
      </c>
      <c r="K355" s="279"/>
      <c r="L355" s="277"/>
      <c r="M355" s="280">
        <f>M$359</f>
        <v>3028</v>
      </c>
      <c r="N355" s="281">
        <f t="shared" si="258"/>
        <v>2</v>
      </c>
      <c r="O355" s="282">
        <v>3.38</v>
      </c>
      <c r="P355" s="282">
        <f t="shared" si="259"/>
        <v>1.58</v>
      </c>
      <c r="Q355" s="282"/>
      <c r="R355" s="283">
        <f t="shared" ref="R355:R366" si="273">$R$352</f>
        <v>686</v>
      </c>
      <c r="S355" s="280">
        <f t="shared" si="268"/>
        <v>188.57725947521865</v>
      </c>
      <c r="T355" s="425">
        <f t="shared" si="260"/>
        <v>32341</v>
      </c>
      <c r="U355" s="284">
        <f t="shared" si="269"/>
        <v>129364</v>
      </c>
      <c r="V355" s="277">
        <v>30</v>
      </c>
      <c r="W355" s="285"/>
      <c r="X355" s="285">
        <f t="shared" ref="X355:X367" si="274">U355*V355%</f>
        <v>38809.199999999997</v>
      </c>
      <c r="Y355" s="277"/>
      <c r="Z355" s="277"/>
      <c r="AA355" s="277"/>
      <c r="AB355" s="277"/>
      <c r="AC355" s="277"/>
      <c r="AD355" s="277"/>
      <c r="AE355" s="277"/>
      <c r="AF355" s="277"/>
      <c r="AG355" s="277"/>
      <c r="AH355" s="277"/>
      <c r="AI355" s="277"/>
      <c r="AJ355" s="277"/>
      <c r="AK355" s="277">
        <v>15</v>
      </c>
      <c r="AL355" s="277"/>
      <c r="AM355" s="285">
        <f t="shared" si="261"/>
        <v>19404.599999999999</v>
      </c>
      <c r="AN355" s="277"/>
      <c r="AO355" s="277"/>
      <c r="AP355" s="277"/>
      <c r="AQ355" s="284">
        <f t="shared" si="262"/>
        <v>58213.799999999996</v>
      </c>
      <c r="AR355" s="277">
        <f t="shared" si="270"/>
        <v>20</v>
      </c>
      <c r="AS355" s="277">
        <f t="shared" si="263"/>
        <v>25872.800000000003</v>
      </c>
      <c r="AT355" s="283">
        <f t="shared" si="271"/>
        <v>25872.800000000003</v>
      </c>
      <c r="AU355" s="277">
        <v>1</v>
      </c>
      <c r="AV355" s="277">
        <v>100</v>
      </c>
      <c r="AW355" s="277">
        <f t="shared" si="264"/>
        <v>32341</v>
      </c>
      <c r="AX355" s="277"/>
      <c r="AY355" s="277"/>
      <c r="AZ355" s="283"/>
      <c r="BA355" s="284">
        <f t="shared" si="265"/>
        <v>58213.8</v>
      </c>
      <c r="BB355" s="284">
        <f t="shared" si="266"/>
        <v>245791.6</v>
      </c>
      <c r="BC355" s="284">
        <f t="shared" si="267"/>
        <v>245791.6</v>
      </c>
      <c r="BD355" s="286">
        <f t="shared" si="272"/>
        <v>49158.32</v>
      </c>
      <c r="BE355" s="286"/>
      <c r="BF355" s="251">
        <f t="shared" ref="BF355:BF366" si="275">IF(D355=1,BC355,0)</f>
        <v>0</v>
      </c>
      <c r="BG355" s="251">
        <f t="shared" ref="BG355:BG366" si="276">IF(E355=1,BC355,0)</f>
        <v>0</v>
      </c>
      <c r="BH355" s="251">
        <f t="shared" ref="BH355:BH366" si="277">IF(F355=1,BC355,0)</f>
        <v>0</v>
      </c>
      <c r="BI355" s="251">
        <f t="shared" ref="BI355:BI366" si="278">IF(G355=1,BC355,0)</f>
        <v>0</v>
      </c>
      <c r="BJ355" s="251">
        <f t="shared" ref="BJ355:BJ366" si="279">IF(H355=1,BC355,0)</f>
        <v>0</v>
      </c>
      <c r="BK355" s="251">
        <f t="shared" ref="BK355:BK366" si="280">IF(I355=1,BC355,0)</f>
        <v>0</v>
      </c>
      <c r="BL355" s="251">
        <f t="shared" ref="BL355:BL366" si="281">IF(J355=1,BC355,0)</f>
        <v>245791.6</v>
      </c>
      <c r="BM355" s="251">
        <f t="shared" ref="BM355:BM366" si="282">IF(K355=1,BC355,0)</f>
        <v>0</v>
      </c>
    </row>
    <row r="356" spans="1:65" s="287" customFormat="1" ht="16.5" customHeight="1" x14ac:dyDescent="0.25">
      <c r="A356" s="276"/>
      <c r="B356" s="288" t="s">
        <v>217</v>
      </c>
      <c r="C356" s="278">
        <v>4</v>
      </c>
      <c r="D356" s="279"/>
      <c r="E356" s="279"/>
      <c r="F356" s="279"/>
      <c r="G356" s="279"/>
      <c r="H356" s="279"/>
      <c r="I356" s="279"/>
      <c r="J356" s="279">
        <v>1</v>
      </c>
      <c r="K356" s="279"/>
      <c r="L356" s="277"/>
      <c r="M356" s="304">
        <f>M346</f>
        <v>3028</v>
      </c>
      <c r="N356" s="281">
        <f t="shared" si="258"/>
        <v>2</v>
      </c>
      <c r="O356" s="282">
        <v>2</v>
      </c>
      <c r="P356" s="282">
        <f t="shared" si="259"/>
        <v>1.58</v>
      </c>
      <c r="Q356" s="282"/>
      <c r="R356" s="283">
        <f t="shared" si="273"/>
        <v>686</v>
      </c>
      <c r="S356" s="280">
        <f>T356/(R356/4)</f>
        <v>111.58600583090379</v>
      </c>
      <c r="T356" s="425">
        <f>ROUND(M356*N356*O356*P356,0)</f>
        <v>19137</v>
      </c>
      <c r="U356" s="284">
        <f>T356*C356*4</f>
        <v>306192</v>
      </c>
      <c r="V356" s="277">
        <v>20</v>
      </c>
      <c r="W356" s="285"/>
      <c r="X356" s="285">
        <f>U356*V356%</f>
        <v>61238.400000000001</v>
      </c>
      <c r="Y356" s="277"/>
      <c r="Z356" s="277"/>
      <c r="AA356" s="277"/>
      <c r="AB356" s="277"/>
      <c r="AC356" s="277"/>
      <c r="AD356" s="277"/>
      <c r="AE356" s="277"/>
      <c r="AF356" s="277"/>
      <c r="AG356" s="277"/>
      <c r="AH356" s="277"/>
      <c r="AI356" s="277"/>
      <c r="AJ356" s="277"/>
      <c r="AK356" s="277">
        <f>(7)/1</f>
        <v>7</v>
      </c>
      <c r="AL356" s="277"/>
      <c r="AM356" s="342">
        <f>1*T356*AK356%*4</f>
        <v>5358.3600000000006</v>
      </c>
      <c r="AN356" s="277"/>
      <c r="AO356" s="277"/>
      <c r="AP356" s="277"/>
      <c r="AQ356" s="284">
        <f>X356+AA356+AD356+AG356+AJ356+AM356+AP356</f>
        <v>66596.760000000009</v>
      </c>
      <c r="AR356" s="277">
        <f t="shared" si="270"/>
        <v>20</v>
      </c>
      <c r="AS356" s="277">
        <f>AT356/C356</f>
        <v>15309.6</v>
      </c>
      <c r="AT356" s="283">
        <f>(U356)*AR356%</f>
        <v>61238.400000000001</v>
      </c>
      <c r="AU356" s="277">
        <v>1</v>
      </c>
      <c r="AV356" s="277">
        <v>100</v>
      </c>
      <c r="AW356" s="277">
        <f>AU356*T356</f>
        <v>19137</v>
      </c>
      <c r="AX356" s="277"/>
      <c r="AY356" s="277"/>
      <c r="AZ356" s="283"/>
      <c r="BA356" s="284">
        <f>AT356+AW356+AZ356</f>
        <v>80375.399999999994</v>
      </c>
      <c r="BB356" s="284">
        <f>BC356/C356</f>
        <v>113291.04000000001</v>
      </c>
      <c r="BC356" s="284">
        <f>BA356+AQ356+U356</f>
        <v>453164.16000000003</v>
      </c>
      <c r="BD356" s="286">
        <f>BC356/C356/5</f>
        <v>22658.208000000002</v>
      </c>
      <c r="BE356" s="286"/>
      <c r="BF356" s="251">
        <f>IF(D356=1,BC356,0)</f>
        <v>0</v>
      </c>
      <c r="BG356" s="251">
        <f>IF(E356=1,BC356,0)</f>
        <v>0</v>
      </c>
      <c r="BH356" s="251">
        <f>IF(F356=1,BC356,0)</f>
        <v>0</v>
      </c>
      <c r="BI356" s="251">
        <f>IF(G356=1,BC356,0)</f>
        <v>0</v>
      </c>
      <c r="BJ356" s="251">
        <f>IF(H356=1,BC356,0)</f>
        <v>0</v>
      </c>
      <c r="BK356" s="251">
        <f>IF(I356=1,BC356,0)</f>
        <v>0</v>
      </c>
      <c r="BL356" s="251">
        <f>IF(J356=1,BC356,0)</f>
        <v>453164.16000000003</v>
      </c>
      <c r="BM356" s="251">
        <f>IF(K356=1,BC356,0)</f>
        <v>0</v>
      </c>
    </row>
    <row r="357" spans="1:65" s="287" customFormat="1" x14ac:dyDescent="0.25">
      <c r="A357" s="276"/>
      <c r="B357" s="288" t="s">
        <v>218</v>
      </c>
      <c r="C357" s="278">
        <v>1</v>
      </c>
      <c r="D357" s="279"/>
      <c r="E357" s="279"/>
      <c r="F357" s="279"/>
      <c r="G357" s="279"/>
      <c r="H357" s="279"/>
      <c r="I357" s="279"/>
      <c r="J357" s="279">
        <v>1</v>
      </c>
      <c r="K357" s="279"/>
      <c r="L357" s="277"/>
      <c r="M357" s="280">
        <f>M$359</f>
        <v>3028</v>
      </c>
      <c r="N357" s="281">
        <f t="shared" si="258"/>
        <v>2</v>
      </c>
      <c r="O357" s="282">
        <v>3.15</v>
      </c>
      <c r="P357" s="282">
        <f t="shared" si="259"/>
        <v>1.58</v>
      </c>
      <c r="Q357" s="282"/>
      <c r="R357" s="283">
        <f t="shared" si="273"/>
        <v>686</v>
      </c>
      <c r="S357" s="280">
        <f t="shared" si="268"/>
        <v>175.74927113702623</v>
      </c>
      <c r="T357" s="425">
        <f>ROUND(M357*N357*O357*P357,0)</f>
        <v>30141</v>
      </c>
      <c r="U357" s="284">
        <f t="shared" si="269"/>
        <v>120564</v>
      </c>
      <c r="V357" s="277">
        <v>30</v>
      </c>
      <c r="W357" s="285"/>
      <c r="X357" s="285">
        <f t="shared" si="274"/>
        <v>36169.199999999997</v>
      </c>
      <c r="Y357" s="277"/>
      <c r="Z357" s="277"/>
      <c r="AA357" s="277"/>
      <c r="AB357" s="277"/>
      <c r="AC357" s="277"/>
      <c r="AD357" s="277"/>
      <c r="AE357" s="277"/>
      <c r="AF357" s="277"/>
      <c r="AG357" s="277"/>
      <c r="AH357" s="277"/>
      <c r="AI357" s="277"/>
      <c r="AJ357" s="277"/>
      <c r="AK357" s="277">
        <v>20</v>
      </c>
      <c r="AL357" s="277"/>
      <c r="AM357" s="285">
        <f>T357*AK357%*4</f>
        <v>24112.800000000003</v>
      </c>
      <c r="AN357" s="277"/>
      <c r="AO357" s="277"/>
      <c r="AP357" s="277"/>
      <c r="AQ357" s="284">
        <f t="shared" si="262"/>
        <v>60282</v>
      </c>
      <c r="AR357" s="277">
        <f t="shared" si="270"/>
        <v>20</v>
      </c>
      <c r="AS357" s="277">
        <f t="shared" si="263"/>
        <v>24112.800000000003</v>
      </c>
      <c r="AT357" s="283">
        <f t="shared" si="271"/>
        <v>24112.800000000003</v>
      </c>
      <c r="AU357" s="277">
        <v>1</v>
      </c>
      <c r="AV357" s="277">
        <v>100</v>
      </c>
      <c r="AW357" s="277">
        <f t="shared" si="264"/>
        <v>30141</v>
      </c>
      <c r="AX357" s="277"/>
      <c r="AY357" s="277"/>
      <c r="AZ357" s="283"/>
      <c r="BA357" s="284">
        <f t="shared" si="265"/>
        <v>54253.8</v>
      </c>
      <c r="BB357" s="284">
        <f t="shared" si="266"/>
        <v>235099.8</v>
      </c>
      <c r="BC357" s="284">
        <f t="shared" si="267"/>
        <v>235099.8</v>
      </c>
      <c r="BD357" s="286">
        <f t="shared" si="272"/>
        <v>47019.96</v>
      </c>
      <c r="BE357" s="286"/>
      <c r="BF357" s="251">
        <f t="shared" si="275"/>
        <v>0</v>
      </c>
      <c r="BG357" s="251">
        <f t="shared" si="276"/>
        <v>0</v>
      </c>
      <c r="BH357" s="251">
        <f t="shared" si="277"/>
        <v>0</v>
      </c>
      <c r="BI357" s="251">
        <f t="shared" si="278"/>
        <v>0</v>
      </c>
      <c r="BJ357" s="251">
        <f t="shared" si="279"/>
        <v>0</v>
      </c>
      <c r="BK357" s="251">
        <f t="shared" si="280"/>
        <v>0</v>
      </c>
      <c r="BL357" s="251">
        <f t="shared" si="281"/>
        <v>235099.8</v>
      </c>
      <c r="BM357" s="251">
        <f t="shared" si="282"/>
        <v>0</v>
      </c>
    </row>
    <row r="358" spans="1:65" s="301" customFormat="1" ht="17.25" customHeight="1" x14ac:dyDescent="0.25">
      <c r="A358" s="289"/>
      <c r="B358" s="290" t="s">
        <v>219</v>
      </c>
      <c r="C358" s="291">
        <v>1</v>
      </c>
      <c r="D358" s="292"/>
      <c r="E358" s="292"/>
      <c r="F358" s="292"/>
      <c r="G358" s="292"/>
      <c r="H358" s="292"/>
      <c r="I358" s="292"/>
      <c r="J358" s="292">
        <v>1</v>
      </c>
      <c r="K358" s="292"/>
      <c r="L358" s="293"/>
      <c r="M358" s="294">
        <f>M$356</f>
        <v>3028</v>
      </c>
      <c r="N358" s="429">
        <f t="shared" si="258"/>
        <v>2</v>
      </c>
      <c r="O358" s="295">
        <v>2.2000000000000002</v>
      </c>
      <c r="P358" s="295">
        <f t="shared" si="259"/>
        <v>1.58</v>
      </c>
      <c r="Q358" s="295"/>
      <c r="R358" s="296">
        <f t="shared" si="273"/>
        <v>686</v>
      </c>
      <c r="S358" s="294">
        <f t="shared" si="268"/>
        <v>122.74635568513119</v>
      </c>
      <c r="T358" s="291">
        <f>ROUND(M358*N358*O358*P358,0)</f>
        <v>21051</v>
      </c>
      <c r="U358" s="297">
        <f t="shared" si="269"/>
        <v>84204</v>
      </c>
      <c r="V358" s="293">
        <v>20</v>
      </c>
      <c r="W358" s="298"/>
      <c r="X358" s="298">
        <f t="shared" si="274"/>
        <v>16840.8</v>
      </c>
      <c r="Y358" s="293"/>
      <c r="Z358" s="293"/>
      <c r="AA358" s="293"/>
      <c r="AB358" s="293"/>
      <c r="AC358" s="293"/>
      <c r="AD358" s="293"/>
      <c r="AE358" s="293"/>
      <c r="AF358" s="293"/>
      <c r="AG358" s="293"/>
      <c r="AH358" s="293"/>
      <c r="AI358" s="293"/>
      <c r="AJ358" s="293"/>
      <c r="AK358" s="277">
        <v>7</v>
      </c>
      <c r="AL358" s="293"/>
      <c r="AM358" s="298">
        <f>T358*AK358%*4</f>
        <v>5894.2800000000007</v>
      </c>
      <c r="AN358" s="293"/>
      <c r="AO358" s="293"/>
      <c r="AP358" s="293"/>
      <c r="AQ358" s="297">
        <f t="shared" si="262"/>
        <v>22735.08</v>
      </c>
      <c r="AR358" s="293">
        <f t="shared" si="270"/>
        <v>20</v>
      </c>
      <c r="AS358" s="298">
        <f t="shared" si="263"/>
        <v>16840.8</v>
      </c>
      <c r="AT358" s="294">
        <f t="shared" si="271"/>
        <v>16840.8</v>
      </c>
      <c r="AU358" s="293"/>
      <c r="AV358" s="293">
        <v>100</v>
      </c>
      <c r="AW358" s="293">
        <f t="shared" si="264"/>
        <v>0</v>
      </c>
      <c r="AX358" s="293"/>
      <c r="AY358" s="298"/>
      <c r="AZ358" s="294"/>
      <c r="BA358" s="297">
        <f t="shared" si="265"/>
        <v>16840.8</v>
      </c>
      <c r="BB358" s="297">
        <f t="shared" si="266"/>
        <v>123779.88</v>
      </c>
      <c r="BC358" s="297">
        <f t="shared" si="267"/>
        <v>123779.88</v>
      </c>
      <c r="BD358" s="299">
        <f>BC358/C358/5</f>
        <v>24755.976000000002</v>
      </c>
      <c r="BE358" s="299"/>
      <c r="BF358" s="300">
        <f t="shared" si="275"/>
        <v>0</v>
      </c>
      <c r="BG358" s="300">
        <f t="shared" si="276"/>
        <v>0</v>
      </c>
      <c r="BH358" s="300">
        <f t="shared" si="277"/>
        <v>0</v>
      </c>
      <c r="BI358" s="300">
        <f t="shared" si="278"/>
        <v>0</v>
      </c>
      <c r="BJ358" s="300">
        <f t="shared" si="279"/>
        <v>0</v>
      </c>
      <c r="BK358" s="300">
        <f t="shared" si="280"/>
        <v>0</v>
      </c>
      <c r="BL358" s="300">
        <f t="shared" si="281"/>
        <v>123779.88</v>
      </c>
      <c r="BM358" s="300">
        <f t="shared" si="282"/>
        <v>0</v>
      </c>
    </row>
    <row r="359" spans="1:65" s="287" customFormat="1" x14ac:dyDescent="0.25">
      <c r="A359" s="276"/>
      <c r="B359" s="288" t="s">
        <v>220</v>
      </c>
      <c r="C359" s="278">
        <v>1</v>
      </c>
      <c r="D359" s="279"/>
      <c r="E359" s="279"/>
      <c r="F359" s="279"/>
      <c r="G359" s="279"/>
      <c r="H359" s="279"/>
      <c r="I359" s="279"/>
      <c r="J359" s="279">
        <v>1</v>
      </c>
      <c r="K359" s="279"/>
      <c r="L359" s="277"/>
      <c r="M359" s="304">
        <f>M346</f>
        <v>3028</v>
      </c>
      <c r="N359" s="281">
        <f t="shared" si="258"/>
        <v>2</v>
      </c>
      <c r="O359" s="282">
        <v>2.8</v>
      </c>
      <c r="P359" s="282">
        <f t="shared" si="259"/>
        <v>1.58</v>
      </c>
      <c r="Q359" s="282"/>
      <c r="R359" s="283">
        <f t="shared" si="273"/>
        <v>686</v>
      </c>
      <c r="S359" s="280">
        <f t="shared" si="268"/>
        <v>156.22157434402331</v>
      </c>
      <c r="T359" s="425">
        <f t="shared" si="260"/>
        <v>26792</v>
      </c>
      <c r="U359" s="284">
        <f t="shared" si="269"/>
        <v>107168</v>
      </c>
      <c r="V359" s="277">
        <v>20</v>
      </c>
      <c r="W359" s="285"/>
      <c r="X359" s="285">
        <f t="shared" si="274"/>
        <v>21433.600000000002</v>
      </c>
      <c r="Y359" s="277"/>
      <c r="Z359" s="277"/>
      <c r="AA359" s="277"/>
      <c r="AB359" s="277"/>
      <c r="AC359" s="277"/>
      <c r="AD359" s="277"/>
      <c r="AE359" s="277"/>
      <c r="AF359" s="277"/>
      <c r="AG359" s="277"/>
      <c r="AH359" s="277"/>
      <c r="AI359" s="277"/>
      <c r="AJ359" s="277"/>
      <c r="AK359" s="277"/>
      <c r="AL359" s="277"/>
      <c r="AM359" s="285">
        <f>T359*AK359%*4</f>
        <v>0</v>
      </c>
      <c r="AN359" s="277"/>
      <c r="AO359" s="277"/>
      <c r="AP359" s="277"/>
      <c r="AQ359" s="284">
        <f t="shared" si="262"/>
        <v>21433.600000000002</v>
      </c>
      <c r="AR359" s="277">
        <f t="shared" si="270"/>
        <v>20</v>
      </c>
      <c r="AS359" s="277">
        <f t="shared" si="263"/>
        <v>21433.600000000002</v>
      </c>
      <c r="AT359" s="283">
        <f t="shared" si="271"/>
        <v>21433.600000000002</v>
      </c>
      <c r="AU359" s="339">
        <v>1</v>
      </c>
      <c r="AV359" s="277">
        <v>100</v>
      </c>
      <c r="AW359" s="277">
        <f t="shared" si="264"/>
        <v>26792</v>
      </c>
      <c r="AX359" s="277"/>
      <c r="AY359" s="277"/>
      <c r="AZ359" s="283"/>
      <c r="BA359" s="284">
        <f t="shared" si="265"/>
        <v>48225.600000000006</v>
      </c>
      <c r="BB359" s="284">
        <f t="shared" si="266"/>
        <v>176827.2</v>
      </c>
      <c r="BC359" s="284">
        <f t="shared" si="267"/>
        <v>176827.2</v>
      </c>
      <c r="BD359" s="286">
        <f t="shared" si="272"/>
        <v>35365.440000000002</v>
      </c>
      <c r="BE359" s="286"/>
      <c r="BF359" s="251">
        <f t="shared" si="275"/>
        <v>0</v>
      </c>
      <c r="BG359" s="251">
        <f t="shared" si="276"/>
        <v>0</v>
      </c>
      <c r="BH359" s="251">
        <f t="shared" si="277"/>
        <v>0</v>
      </c>
      <c r="BI359" s="251">
        <f t="shared" si="278"/>
        <v>0</v>
      </c>
      <c r="BJ359" s="251">
        <f t="shared" si="279"/>
        <v>0</v>
      </c>
      <c r="BK359" s="251">
        <f t="shared" si="280"/>
        <v>0</v>
      </c>
      <c r="BL359" s="251">
        <f t="shared" si="281"/>
        <v>176827.2</v>
      </c>
      <c r="BM359" s="251">
        <f t="shared" si="282"/>
        <v>0</v>
      </c>
    </row>
    <row r="360" spans="1:65" s="287" customFormat="1" x14ac:dyDescent="0.25">
      <c r="A360" s="276"/>
      <c r="B360" s="288" t="s">
        <v>221</v>
      </c>
      <c r="C360" s="425">
        <f>1</f>
        <v>1</v>
      </c>
      <c r="D360" s="279"/>
      <c r="E360" s="279"/>
      <c r="F360" s="279"/>
      <c r="G360" s="279"/>
      <c r="H360" s="279"/>
      <c r="I360" s="279"/>
      <c r="J360" s="279">
        <v>1</v>
      </c>
      <c r="K360" s="279"/>
      <c r="L360" s="277"/>
      <c r="M360" s="280">
        <f t="shared" ref="M360:M367" si="283">M$356</f>
        <v>3028</v>
      </c>
      <c r="N360" s="281">
        <f t="shared" si="258"/>
        <v>2</v>
      </c>
      <c r="O360" s="282">
        <v>2.2000000000000002</v>
      </c>
      <c r="P360" s="282">
        <f t="shared" si="259"/>
        <v>1.58</v>
      </c>
      <c r="Q360" s="282"/>
      <c r="R360" s="283">
        <f t="shared" si="273"/>
        <v>686</v>
      </c>
      <c r="S360" s="280">
        <f t="shared" si="268"/>
        <v>122.74635568513119</v>
      </c>
      <c r="T360" s="425">
        <f t="shared" si="260"/>
        <v>21051</v>
      </c>
      <c r="U360" s="284">
        <f t="shared" si="269"/>
        <v>84204</v>
      </c>
      <c r="V360" s="277">
        <v>20</v>
      </c>
      <c r="W360" s="285"/>
      <c r="X360" s="285">
        <f t="shared" si="274"/>
        <v>16840.8</v>
      </c>
      <c r="Y360" s="277"/>
      <c r="Z360" s="277"/>
      <c r="AA360" s="277"/>
      <c r="AB360" s="277"/>
      <c r="AC360" s="277"/>
      <c r="AD360" s="277"/>
      <c r="AE360" s="277"/>
      <c r="AF360" s="277"/>
      <c r="AG360" s="277"/>
      <c r="AH360" s="277"/>
      <c r="AI360" s="277"/>
      <c r="AJ360" s="277"/>
      <c r="AK360" s="277"/>
      <c r="AL360" s="277"/>
      <c r="AM360" s="285">
        <f t="shared" si="261"/>
        <v>0</v>
      </c>
      <c r="AN360" s="277"/>
      <c r="AO360" s="277"/>
      <c r="AP360" s="277"/>
      <c r="AQ360" s="284">
        <f t="shared" si="262"/>
        <v>16840.8</v>
      </c>
      <c r="AR360" s="277">
        <f t="shared" si="270"/>
        <v>20</v>
      </c>
      <c r="AS360" s="285">
        <f t="shared" si="263"/>
        <v>16840.8</v>
      </c>
      <c r="AT360" s="280">
        <f t="shared" si="271"/>
        <v>16840.8</v>
      </c>
      <c r="AU360" s="277">
        <v>1</v>
      </c>
      <c r="AV360" s="277">
        <v>100</v>
      </c>
      <c r="AW360" s="277">
        <f t="shared" si="264"/>
        <v>21051</v>
      </c>
      <c r="AX360" s="277"/>
      <c r="AY360" s="285"/>
      <c r="AZ360" s="280"/>
      <c r="BA360" s="284">
        <f t="shared" si="265"/>
        <v>37891.800000000003</v>
      </c>
      <c r="BB360" s="284">
        <f t="shared" si="266"/>
        <v>138936.6</v>
      </c>
      <c r="BC360" s="284">
        <f t="shared" si="267"/>
        <v>138936.6</v>
      </c>
      <c r="BD360" s="286">
        <f t="shared" si="272"/>
        <v>27787.32</v>
      </c>
      <c r="BE360" s="286"/>
      <c r="BF360" s="251">
        <f t="shared" si="275"/>
        <v>0</v>
      </c>
      <c r="BG360" s="251">
        <f t="shared" si="276"/>
        <v>0</v>
      </c>
      <c r="BH360" s="251">
        <f t="shared" si="277"/>
        <v>0</v>
      </c>
      <c r="BI360" s="251">
        <f t="shared" si="278"/>
        <v>0</v>
      </c>
      <c r="BJ360" s="251">
        <f t="shared" si="279"/>
        <v>0</v>
      </c>
      <c r="BK360" s="251">
        <f t="shared" si="280"/>
        <v>0</v>
      </c>
      <c r="BL360" s="251">
        <f t="shared" si="281"/>
        <v>138936.6</v>
      </c>
      <c r="BM360" s="251">
        <f t="shared" si="282"/>
        <v>0</v>
      </c>
    </row>
    <row r="361" spans="1:65" s="287" customFormat="1" x14ac:dyDescent="0.25">
      <c r="A361" s="276"/>
      <c r="B361" s="288" t="s">
        <v>222</v>
      </c>
      <c r="C361" s="425">
        <f>1</f>
        <v>1</v>
      </c>
      <c r="D361" s="279"/>
      <c r="E361" s="279"/>
      <c r="F361" s="279"/>
      <c r="G361" s="279"/>
      <c r="H361" s="279"/>
      <c r="I361" s="279"/>
      <c r="J361" s="279">
        <v>1</v>
      </c>
      <c r="K361" s="279"/>
      <c r="L361" s="277"/>
      <c r="M361" s="280">
        <f t="shared" si="283"/>
        <v>3028</v>
      </c>
      <c r="N361" s="281">
        <f t="shared" si="258"/>
        <v>2</v>
      </c>
      <c r="O361" s="282">
        <v>2.2000000000000002</v>
      </c>
      <c r="P361" s="282">
        <f t="shared" si="259"/>
        <v>1.58</v>
      </c>
      <c r="Q361" s="282"/>
      <c r="R361" s="283">
        <f t="shared" si="273"/>
        <v>686</v>
      </c>
      <c r="S361" s="280">
        <f>T361/(R361/4)</f>
        <v>122.74635568513119</v>
      </c>
      <c r="T361" s="425">
        <f>ROUND(M361*N361*O361*P361,0)</f>
        <v>21051</v>
      </c>
      <c r="U361" s="284">
        <f t="shared" si="269"/>
        <v>84204</v>
      </c>
      <c r="V361" s="277">
        <v>20</v>
      </c>
      <c r="W361" s="285"/>
      <c r="X361" s="285">
        <f>U361*V361%</f>
        <v>16840.8</v>
      </c>
      <c r="Y361" s="277"/>
      <c r="Z361" s="277"/>
      <c r="AA361" s="277"/>
      <c r="AB361" s="277"/>
      <c r="AC361" s="277"/>
      <c r="AD361" s="277"/>
      <c r="AE361" s="277"/>
      <c r="AF361" s="277"/>
      <c r="AG361" s="277"/>
      <c r="AH361" s="277"/>
      <c r="AI361" s="277"/>
      <c r="AJ361" s="277"/>
      <c r="AK361" s="277">
        <v>10</v>
      </c>
      <c r="AL361" s="277"/>
      <c r="AM361" s="285">
        <f>T361*AK361%*4</f>
        <v>8420.4</v>
      </c>
      <c r="AN361" s="277"/>
      <c r="AO361" s="277"/>
      <c r="AP361" s="277"/>
      <c r="AQ361" s="284">
        <f>X361+AA361+AD361+AG361+AJ361+AM361+AP361</f>
        <v>25261.199999999997</v>
      </c>
      <c r="AR361" s="277">
        <f t="shared" si="270"/>
        <v>20</v>
      </c>
      <c r="AS361" s="285">
        <f>AT361/C361</f>
        <v>16840.8</v>
      </c>
      <c r="AT361" s="280">
        <f>(U361)*AR361%</f>
        <v>16840.8</v>
      </c>
      <c r="AU361" s="277"/>
      <c r="AV361" s="277">
        <v>100</v>
      </c>
      <c r="AW361" s="277">
        <f>AU361*T361</f>
        <v>0</v>
      </c>
      <c r="AX361" s="277"/>
      <c r="AY361" s="285"/>
      <c r="AZ361" s="280"/>
      <c r="BA361" s="284">
        <f>AT361+AW361+AZ361</f>
        <v>16840.8</v>
      </c>
      <c r="BB361" s="284">
        <f>BC361/C361</f>
        <v>126306</v>
      </c>
      <c r="BC361" s="284">
        <f>BA361+AQ361+U361</f>
        <v>126306</v>
      </c>
      <c r="BD361" s="286">
        <f>BC361/C361/5</f>
        <v>25261.200000000001</v>
      </c>
      <c r="BE361" s="286"/>
      <c r="BF361" s="251">
        <f>IF(D361=1,BC361,0)</f>
        <v>0</v>
      </c>
      <c r="BG361" s="251">
        <f>IF(E361=1,BC361,0)</f>
        <v>0</v>
      </c>
      <c r="BH361" s="251">
        <f>IF(F361=1,BC361,0)</f>
        <v>0</v>
      </c>
      <c r="BI361" s="251">
        <f>IF(G361=1,BC361,0)</f>
        <v>0</v>
      </c>
      <c r="BJ361" s="251">
        <f>IF(H361=1,BC361,0)</f>
        <v>0</v>
      </c>
      <c r="BK361" s="251">
        <f>IF(I361=1,BC361,0)</f>
        <v>0</v>
      </c>
      <c r="BL361" s="251">
        <f>IF(J361=1,BC361,0)</f>
        <v>126306</v>
      </c>
      <c r="BM361" s="251">
        <f>IF(K361=1,BC361,0)</f>
        <v>0</v>
      </c>
    </row>
    <row r="362" spans="1:65" s="287" customFormat="1" x14ac:dyDescent="0.25">
      <c r="A362" s="276"/>
      <c r="B362" s="288" t="s">
        <v>223</v>
      </c>
      <c r="C362" s="278">
        <v>1</v>
      </c>
      <c r="D362" s="279"/>
      <c r="E362" s="279"/>
      <c r="F362" s="279"/>
      <c r="G362" s="279"/>
      <c r="H362" s="279"/>
      <c r="I362" s="279"/>
      <c r="J362" s="279">
        <v>1</v>
      </c>
      <c r="K362" s="279"/>
      <c r="L362" s="277"/>
      <c r="M362" s="280">
        <f t="shared" si="283"/>
        <v>3028</v>
      </c>
      <c r="N362" s="281">
        <f t="shared" si="258"/>
        <v>2</v>
      </c>
      <c r="O362" s="282">
        <v>2.2000000000000002</v>
      </c>
      <c r="P362" s="282">
        <f t="shared" si="259"/>
        <v>1.58</v>
      </c>
      <c r="Q362" s="282"/>
      <c r="R362" s="283">
        <f t="shared" si="273"/>
        <v>686</v>
      </c>
      <c r="S362" s="280">
        <f t="shared" si="268"/>
        <v>122.74635568513119</v>
      </c>
      <c r="T362" s="425">
        <f t="shared" si="260"/>
        <v>21051</v>
      </c>
      <c r="U362" s="284">
        <f t="shared" si="269"/>
        <v>84204</v>
      </c>
      <c r="V362" s="277">
        <v>20</v>
      </c>
      <c r="W362" s="285"/>
      <c r="X362" s="285">
        <f t="shared" si="274"/>
        <v>16840.8</v>
      </c>
      <c r="Y362" s="277"/>
      <c r="Z362" s="277"/>
      <c r="AA362" s="277"/>
      <c r="AB362" s="277"/>
      <c r="AC362" s="277"/>
      <c r="AD362" s="277"/>
      <c r="AE362" s="277"/>
      <c r="AF362" s="277"/>
      <c r="AG362" s="277"/>
      <c r="AH362" s="277"/>
      <c r="AI362" s="277"/>
      <c r="AJ362" s="277"/>
      <c r="AK362" s="277">
        <v>7</v>
      </c>
      <c r="AL362" s="277"/>
      <c r="AM362" s="285">
        <f t="shared" si="261"/>
        <v>5894.2800000000007</v>
      </c>
      <c r="AN362" s="277"/>
      <c r="AO362" s="277"/>
      <c r="AP362" s="277"/>
      <c r="AQ362" s="284">
        <f t="shared" si="262"/>
        <v>22735.08</v>
      </c>
      <c r="AR362" s="277">
        <f t="shared" si="270"/>
        <v>20</v>
      </c>
      <c r="AS362" s="277">
        <f t="shared" si="263"/>
        <v>16840.8</v>
      </c>
      <c r="AT362" s="283">
        <f t="shared" si="271"/>
        <v>16840.8</v>
      </c>
      <c r="AU362" s="277">
        <v>1</v>
      </c>
      <c r="AV362" s="277">
        <v>100</v>
      </c>
      <c r="AW362" s="277">
        <f t="shared" si="264"/>
        <v>21051</v>
      </c>
      <c r="AX362" s="277"/>
      <c r="AY362" s="277"/>
      <c r="AZ362" s="283"/>
      <c r="BA362" s="284">
        <f t="shared" si="265"/>
        <v>37891.800000000003</v>
      </c>
      <c r="BB362" s="284">
        <f t="shared" si="266"/>
        <v>144830.88</v>
      </c>
      <c r="BC362" s="284">
        <f t="shared" si="267"/>
        <v>144830.88</v>
      </c>
      <c r="BD362" s="286">
        <f t="shared" si="272"/>
        <v>28966.175999999999</v>
      </c>
      <c r="BE362" s="286"/>
      <c r="BF362" s="251">
        <f t="shared" si="275"/>
        <v>0</v>
      </c>
      <c r="BG362" s="251">
        <f t="shared" si="276"/>
        <v>0</v>
      </c>
      <c r="BH362" s="251">
        <f t="shared" si="277"/>
        <v>0</v>
      </c>
      <c r="BI362" s="251">
        <f t="shared" si="278"/>
        <v>0</v>
      </c>
      <c r="BJ362" s="251">
        <f t="shared" si="279"/>
        <v>0</v>
      </c>
      <c r="BK362" s="251">
        <f t="shared" si="280"/>
        <v>0</v>
      </c>
      <c r="BL362" s="251">
        <f t="shared" si="281"/>
        <v>144830.88</v>
      </c>
      <c r="BM362" s="251">
        <f t="shared" si="282"/>
        <v>0</v>
      </c>
    </row>
    <row r="363" spans="1:65" s="287" customFormat="1" x14ac:dyDescent="0.25">
      <c r="A363" s="276"/>
      <c r="B363" s="288" t="s">
        <v>224</v>
      </c>
      <c r="C363" s="278">
        <v>1</v>
      </c>
      <c r="D363" s="279"/>
      <c r="E363" s="279"/>
      <c r="F363" s="279"/>
      <c r="G363" s="279"/>
      <c r="H363" s="279"/>
      <c r="I363" s="279"/>
      <c r="J363" s="279">
        <v>1</v>
      </c>
      <c r="K363" s="279"/>
      <c r="L363" s="277"/>
      <c r="M363" s="280">
        <f t="shared" si="283"/>
        <v>3028</v>
      </c>
      <c r="N363" s="281">
        <f t="shared" si="258"/>
        <v>2</v>
      </c>
      <c r="O363" s="282">
        <v>2</v>
      </c>
      <c r="P363" s="282">
        <f t="shared" si="259"/>
        <v>1.58</v>
      </c>
      <c r="Q363" s="282"/>
      <c r="R363" s="283">
        <f t="shared" si="273"/>
        <v>686</v>
      </c>
      <c r="S363" s="280">
        <f t="shared" si="268"/>
        <v>111.58600583090379</v>
      </c>
      <c r="T363" s="425">
        <f t="shared" si="260"/>
        <v>19137</v>
      </c>
      <c r="U363" s="284">
        <f t="shared" si="269"/>
        <v>76548</v>
      </c>
      <c r="V363" s="277">
        <v>20</v>
      </c>
      <c r="W363" s="285"/>
      <c r="X363" s="285">
        <f t="shared" si="274"/>
        <v>15309.6</v>
      </c>
      <c r="Y363" s="277"/>
      <c r="Z363" s="277"/>
      <c r="AA363" s="277"/>
      <c r="AB363" s="277"/>
      <c r="AC363" s="277"/>
      <c r="AD363" s="277"/>
      <c r="AE363" s="277"/>
      <c r="AF363" s="277"/>
      <c r="AG363" s="277"/>
      <c r="AH363" s="277"/>
      <c r="AI363" s="277"/>
      <c r="AJ363" s="277"/>
      <c r="AK363" s="277">
        <v>15</v>
      </c>
      <c r="AL363" s="277"/>
      <c r="AM363" s="285">
        <f>T363*AK363%*4</f>
        <v>11482.199999999999</v>
      </c>
      <c r="AN363" s="277"/>
      <c r="AO363" s="277"/>
      <c r="AP363" s="277"/>
      <c r="AQ363" s="284">
        <f t="shared" si="262"/>
        <v>26791.8</v>
      </c>
      <c r="AR363" s="277">
        <f t="shared" si="270"/>
        <v>20</v>
      </c>
      <c r="AS363" s="277">
        <f t="shared" si="263"/>
        <v>15309.6</v>
      </c>
      <c r="AT363" s="283">
        <f t="shared" si="271"/>
        <v>15309.6</v>
      </c>
      <c r="AU363" s="277"/>
      <c r="AV363" s="277">
        <v>100</v>
      </c>
      <c r="AW363" s="277">
        <f t="shared" si="264"/>
        <v>0</v>
      </c>
      <c r="AX363" s="277"/>
      <c r="AY363" s="277"/>
      <c r="AZ363" s="283"/>
      <c r="BA363" s="284">
        <f t="shared" si="265"/>
        <v>15309.6</v>
      </c>
      <c r="BB363" s="284">
        <f t="shared" si="266"/>
        <v>118649.4</v>
      </c>
      <c r="BC363" s="284">
        <f t="shared" si="267"/>
        <v>118649.4</v>
      </c>
      <c r="BD363" s="286">
        <f t="shared" si="272"/>
        <v>23729.879999999997</v>
      </c>
      <c r="BE363" s="286"/>
      <c r="BF363" s="251">
        <f t="shared" si="275"/>
        <v>0</v>
      </c>
      <c r="BG363" s="251">
        <f t="shared" si="276"/>
        <v>0</v>
      </c>
      <c r="BH363" s="251">
        <f t="shared" si="277"/>
        <v>0</v>
      </c>
      <c r="BI363" s="251">
        <f t="shared" si="278"/>
        <v>0</v>
      </c>
      <c r="BJ363" s="251">
        <f t="shared" si="279"/>
        <v>0</v>
      </c>
      <c r="BK363" s="251">
        <f t="shared" si="280"/>
        <v>0</v>
      </c>
      <c r="BL363" s="251">
        <f t="shared" si="281"/>
        <v>118649.4</v>
      </c>
      <c r="BM363" s="251">
        <f t="shared" si="282"/>
        <v>0</v>
      </c>
    </row>
    <row r="364" spans="1:65" s="287" customFormat="1" x14ac:dyDescent="0.25">
      <c r="A364" s="276"/>
      <c r="B364" s="288" t="s">
        <v>225</v>
      </c>
      <c r="C364" s="278">
        <v>1</v>
      </c>
      <c r="D364" s="279"/>
      <c r="E364" s="279"/>
      <c r="F364" s="279"/>
      <c r="G364" s="279"/>
      <c r="H364" s="279"/>
      <c r="I364" s="279"/>
      <c r="J364" s="279">
        <v>1</v>
      </c>
      <c r="K364" s="279"/>
      <c r="L364" s="277"/>
      <c r="M364" s="280">
        <f t="shared" si="283"/>
        <v>3028</v>
      </c>
      <c r="N364" s="281">
        <f t="shared" si="258"/>
        <v>2</v>
      </c>
      <c r="O364" s="303">
        <v>1.26</v>
      </c>
      <c r="P364" s="282">
        <f t="shared" si="259"/>
        <v>1.58</v>
      </c>
      <c r="Q364" s="282"/>
      <c r="R364" s="283">
        <f t="shared" si="273"/>
        <v>686</v>
      </c>
      <c r="S364" s="280">
        <f t="shared" si="268"/>
        <v>70.29737609329446</v>
      </c>
      <c r="T364" s="425">
        <f t="shared" si="260"/>
        <v>12056</v>
      </c>
      <c r="U364" s="284">
        <f t="shared" si="269"/>
        <v>48224</v>
      </c>
      <c r="V364" s="277">
        <v>20</v>
      </c>
      <c r="W364" s="285"/>
      <c r="X364" s="285">
        <f t="shared" si="274"/>
        <v>9644.8000000000011</v>
      </c>
      <c r="Y364" s="277"/>
      <c r="Z364" s="277"/>
      <c r="AA364" s="277"/>
      <c r="AB364" s="277"/>
      <c r="AC364" s="277"/>
      <c r="AD364" s="277"/>
      <c r="AE364" s="277"/>
      <c r="AF364" s="277"/>
      <c r="AG364" s="277"/>
      <c r="AH364" s="277"/>
      <c r="AI364" s="277"/>
      <c r="AJ364" s="277"/>
      <c r="AK364" s="277"/>
      <c r="AL364" s="277"/>
      <c r="AM364" s="285">
        <f t="shared" si="261"/>
        <v>0</v>
      </c>
      <c r="AN364" s="277"/>
      <c r="AO364" s="277"/>
      <c r="AP364" s="277"/>
      <c r="AQ364" s="284">
        <f t="shared" si="262"/>
        <v>9644.8000000000011</v>
      </c>
      <c r="AR364" s="277">
        <f t="shared" si="270"/>
        <v>20</v>
      </c>
      <c r="AS364" s="277">
        <f t="shared" si="263"/>
        <v>9644.8000000000011</v>
      </c>
      <c r="AT364" s="283">
        <f t="shared" si="271"/>
        <v>9644.8000000000011</v>
      </c>
      <c r="AU364" s="339">
        <v>1</v>
      </c>
      <c r="AV364" s="277">
        <v>100</v>
      </c>
      <c r="AW364" s="277">
        <f t="shared" si="264"/>
        <v>12056</v>
      </c>
      <c r="AX364" s="277"/>
      <c r="AY364" s="277"/>
      <c r="AZ364" s="283"/>
      <c r="BA364" s="284">
        <f t="shared" si="265"/>
        <v>21700.800000000003</v>
      </c>
      <c r="BB364" s="284">
        <f t="shared" si="266"/>
        <v>79569.600000000006</v>
      </c>
      <c r="BC364" s="284">
        <f t="shared" si="267"/>
        <v>79569.600000000006</v>
      </c>
      <c r="BD364" s="286">
        <f t="shared" si="272"/>
        <v>15913.920000000002</v>
      </c>
      <c r="BE364" s="286"/>
      <c r="BF364" s="251">
        <f t="shared" si="275"/>
        <v>0</v>
      </c>
      <c r="BG364" s="251">
        <f t="shared" si="276"/>
        <v>0</v>
      </c>
      <c r="BH364" s="251">
        <f t="shared" si="277"/>
        <v>0</v>
      </c>
      <c r="BI364" s="251">
        <f t="shared" si="278"/>
        <v>0</v>
      </c>
      <c r="BJ364" s="251">
        <f t="shared" si="279"/>
        <v>0</v>
      </c>
      <c r="BK364" s="251">
        <f t="shared" si="280"/>
        <v>0</v>
      </c>
      <c r="BL364" s="251">
        <f t="shared" si="281"/>
        <v>79569.600000000006</v>
      </c>
      <c r="BM364" s="251">
        <f t="shared" si="282"/>
        <v>0</v>
      </c>
    </row>
    <row r="365" spans="1:65" s="287" customFormat="1" x14ac:dyDescent="0.25">
      <c r="A365" s="276"/>
      <c r="B365" s="288" t="s">
        <v>226</v>
      </c>
      <c r="C365" s="278">
        <v>1</v>
      </c>
      <c r="D365" s="279"/>
      <c r="E365" s="279"/>
      <c r="F365" s="279"/>
      <c r="G365" s="279"/>
      <c r="H365" s="279"/>
      <c r="I365" s="279"/>
      <c r="J365" s="279">
        <v>1</v>
      </c>
      <c r="K365" s="279"/>
      <c r="L365" s="277"/>
      <c r="M365" s="280">
        <f t="shared" si="283"/>
        <v>3028</v>
      </c>
      <c r="N365" s="281">
        <f t="shared" si="258"/>
        <v>2</v>
      </c>
      <c r="O365" s="282">
        <v>1.7</v>
      </c>
      <c r="P365" s="282">
        <f t="shared" si="259"/>
        <v>1.58</v>
      </c>
      <c r="Q365" s="282"/>
      <c r="R365" s="283">
        <f t="shared" si="273"/>
        <v>686</v>
      </c>
      <c r="S365" s="280">
        <f t="shared" si="268"/>
        <v>94.845481049562679</v>
      </c>
      <c r="T365" s="425">
        <f t="shared" si="260"/>
        <v>16266</v>
      </c>
      <c r="U365" s="284">
        <f t="shared" si="269"/>
        <v>65064</v>
      </c>
      <c r="V365" s="277">
        <v>20</v>
      </c>
      <c r="W365" s="285"/>
      <c r="X365" s="285">
        <f t="shared" si="274"/>
        <v>13012.800000000001</v>
      </c>
      <c r="Y365" s="277"/>
      <c r="Z365" s="277"/>
      <c r="AA365" s="277"/>
      <c r="AB365" s="277"/>
      <c r="AC365" s="277"/>
      <c r="AD365" s="277"/>
      <c r="AE365" s="277"/>
      <c r="AF365" s="277"/>
      <c r="AG365" s="277"/>
      <c r="AH365" s="277"/>
      <c r="AI365" s="277"/>
      <c r="AJ365" s="277"/>
      <c r="AK365" s="277">
        <v>10</v>
      </c>
      <c r="AL365" s="277"/>
      <c r="AM365" s="285">
        <f>T365*AK365%*4</f>
        <v>6506.4000000000005</v>
      </c>
      <c r="AN365" s="277"/>
      <c r="AO365" s="277"/>
      <c r="AP365" s="277"/>
      <c r="AQ365" s="284">
        <f t="shared" si="262"/>
        <v>19519.2</v>
      </c>
      <c r="AR365" s="277">
        <f t="shared" si="270"/>
        <v>20</v>
      </c>
      <c r="AS365" s="277">
        <f t="shared" si="263"/>
        <v>13012.800000000001</v>
      </c>
      <c r="AT365" s="283">
        <f t="shared" si="271"/>
        <v>13012.800000000001</v>
      </c>
      <c r="AU365" s="277"/>
      <c r="AV365" s="277">
        <v>100</v>
      </c>
      <c r="AW365" s="277">
        <f t="shared" si="264"/>
        <v>0</v>
      </c>
      <c r="AX365" s="277"/>
      <c r="AY365" s="277"/>
      <c r="AZ365" s="283"/>
      <c r="BA365" s="284">
        <f t="shared" si="265"/>
        <v>13012.800000000001</v>
      </c>
      <c r="BB365" s="284">
        <f t="shared" si="266"/>
        <v>97596</v>
      </c>
      <c r="BC365" s="284">
        <f t="shared" si="267"/>
        <v>97596</v>
      </c>
      <c r="BD365" s="286">
        <f t="shared" si="272"/>
        <v>19519.2</v>
      </c>
      <c r="BE365" s="286"/>
      <c r="BF365" s="251">
        <f t="shared" si="275"/>
        <v>0</v>
      </c>
      <c r="BG365" s="251">
        <f t="shared" si="276"/>
        <v>0</v>
      </c>
      <c r="BH365" s="251">
        <f t="shared" si="277"/>
        <v>0</v>
      </c>
      <c r="BI365" s="251">
        <f t="shared" si="278"/>
        <v>0</v>
      </c>
      <c r="BJ365" s="251">
        <f t="shared" si="279"/>
        <v>0</v>
      </c>
      <c r="BK365" s="251">
        <f t="shared" si="280"/>
        <v>0</v>
      </c>
      <c r="BL365" s="251">
        <f t="shared" si="281"/>
        <v>97596</v>
      </c>
      <c r="BM365" s="251">
        <f t="shared" si="282"/>
        <v>0</v>
      </c>
    </row>
    <row r="366" spans="1:65" s="301" customFormat="1" x14ac:dyDescent="0.25">
      <c r="A366" s="289"/>
      <c r="B366" s="290" t="s">
        <v>227</v>
      </c>
      <c r="C366" s="376">
        <v>1</v>
      </c>
      <c r="D366" s="292"/>
      <c r="E366" s="292"/>
      <c r="F366" s="292"/>
      <c r="G366" s="292"/>
      <c r="H366" s="292"/>
      <c r="I366" s="292"/>
      <c r="J366" s="292">
        <v>1</v>
      </c>
      <c r="K366" s="292"/>
      <c r="L366" s="293"/>
      <c r="M366" s="294">
        <f t="shared" si="283"/>
        <v>3028</v>
      </c>
      <c r="N366" s="429">
        <f t="shared" si="258"/>
        <v>2</v>
      </c>
      <c r="O366" s="295">
        <v>1.6</v>
      </c>
      <c r="P366" s="295">
        <f t="shared" si="259"/>
        <v>1.58</v>
      </c>
      <c r="Q366" s="295"/>
      <c r="R366" s="296">
        <f t="shared" si="273"/>
        <v>686</v>
      </c>
      <c r="S366" s="294">
        <f t="shared" si="268"/>
        <v>89.27113702623906</v>
      </c>
      <c r="T366" s="291">
        <f t="shared" si="260"/>
        <v>15310</v>
      </c>
      <c r="U366" s="297">
        <f t="shared" si="269"/>
        <v>61240</v>
      </c>
      <c r="V366" s="293">
        <v>20</v>
      </c>
      <c r="W366" s="298"/>
      <c r="X366" s="298">
        <f t="shared" si="274"/>
        <v>12248</v>
      </c>
      <c r="Y366" s="293"/>
      <c r="Z366" s="293"/>
      <c r="AA366" s="293"/>
      <c r="AB366" s="293"/>
      <c r="AC366" s="293"/>
      <c r="AD366" s="293"/>
      <c r="AE366" s="293"/>
      <c r="AF366" s="293"/>
      <c r="AG366" s="293"/>
      <c r="AH366" s="293"/>
      <c r="AI366" s="293"/>
      <c r="AJ366" s="293"/>
      <c r="AK366" s="277">
        <v>7</v>
      </c>
      <c r="AL366" s="293"/>
      <c r="AM366" s="298">
        <f t="shared" si="261"/>
        <v>4286.8</v>
      </c>
      <c r="AN366" s="293"/>
      <c r="AO366" s="293"/>
      <c r="AP366" s="293"/>
      <c r="AQ366" s="297">
        <f t="shared" si="262"/>
        <v>16534.8</v>
      </c>
      <c r="AR366" s="293">
        <f t="shared" si="270"/>
        <v>20</v>
      </c>
      <c r="AS366" s="293">
        <f t="shared" si="263"/>
        <v>12248</v>
      </c>
      <c r="AT366" s="296">
        <f t="shared" si="271"/>
        <v>12248</v>
      </c>
      <c r="AU366" s="293">
        <v>1</v>
      </c>
      <c r="AV366" s="293">
        <v>100</v>
      </c>
      <c r="AW366" s="293">
        <f t="shared" si="264"/>
        <v>15310</v>
      </c>
      <c r="AX366" s="293"/>
      <c r="AY366" s="293"/>
      <c r="AZ366" s="296"/>
      <c r="BA366" s="297">
        <f t="shared" si="265"/>
        <v>27558</v>
      </c>
      <c r="BB366" s="297">
        <f t="shared" si="266"/>
        <v>105332.8</v>
      </c>
      <c r="BC366" s="297">
        <f t="shared" si="267"/>
        <v>105332.8</v>
      </c>
      <c r="BD366" s="299">
        <f t="shared" si="272"/>
        <v>21066.560000000001</v>
      </c>
      <c r="BE366" s="299"/>
      <c r="BF366" s="300">
        <f t="shared" si="275"/>
        <v>0</v>
      </c>
      <c r="BG366" s="300">
        <f t="shared" si="276"/>
        <v>0</v>
      </c>
      <c r="BH366" s="300">
        <f t="shared" si="277"/>
        <v>0</v>
      </c>
      <c r="BI366" s="300">
        <f t="shared" si="278"/>
        <v>0</v>
      </c>
      <c r="BJ366" s="300">
        <f t="shared" si="279"/>
        <v>0</v>
      </c>
      <c r="BK366" s="300">
        <f t="shared" si="280"/>
        <v>0</v>
      </c>
      <c r="BL366" s="300">
        <f t="shared" si="281"/>
        <v>105332.8</v>
      </c>
      <c r="BM366" s="300">
        <f t="shared" si="282"/>
        <v>0</v>
      </c>
    </row>
    <row r="367" spans="1:65" s="301" customFormat="1" ht="18.75" customHeight="1" x14ac:dyDescent="0.25">
      <c r="A367" s="289"/>
      <c r="B367" s="290" t="s">
        <v>228</v>
      </c>
      <c r="C367" s="291">
        <v>1</v>
      </c>
      <c r="D367" s="292"/>
      <c r="E367" s="292"/>
      <c r="F367" s="292"/>
      <c r="G367" s="292"/>
      <c r="H367" s="292"/>
      <c r="I367" s="292"/>
      <c r="J367" s="292">
        <v>1</v>
      </c>
      <c r="K367" s="292"/>
      <c r="L367" s="293"/>
      <c r="M367" s="294">
        <f t="shared" si="283"/>
        <v>3028</v>
      </c>
      <c r="N367" s="429">
        <f>N$244</f>
        <v>2</v>
      </c>
      <c r="O367" s="430">
        <v>1.1000000000000001</v>
      </c>
      <c r="P367" s="295">
        <v>1</v>
      </c>
      <c r="Q367" s="295"/>
      <c r="R367" s="296">
        <f>$R$352</f>
        <v>686</v>
      </c>
      <c r="S367" s="294">
        <f t="shared" si="268"/>
        <v>38.845481049562679</v>
      </c>
      <c r="T367" s="291">
        <f t="shared" si="260"/>
        <v>6662</v>
      </c>
      <c r="U367" s="297">
        <f t="shared" si="269"/>
        <v>26648</v>
      </c>
      <c r="V367" s="293">
        <v>0</v>
      </c>
      <c r="W367" s="298"/>
      <c r="X367" s="298">
        <f t="shared" si="274"/>
        <v>0</v>
      </c>
      <c r="Y367" s="293"/>
      <c r="Z367" s="293"/>
      <c r="AA367" s="293"/>
      <c r="AB367" s="293"/>
      <c r="AC367" s="293"/>
      <c r="AD367" s="293"/>
      <c r="AE367" s="293"/>
      <c r="AF367" s="293"/>
      <c r="AG367" s="293"/>
      <c r="AH367" s="293"/>
      <c r="AI367" s="293"/>
      <c r="AJ367" s="293"/>
      <c r="AK367" s="277">
        <v>7</v>
      </c>
      <c r="AL367" s="293"/>
      <c r="AM367" s="298">
        <f t="shared" si="261"/>
        <v>1865.3600000000001</v>
      </c>
      <c r="AN367" s="293"/>
      <c r="AO367" s="293"/>
      <c r="AP367" s="293"/>
      <c r="AQ367" s="297">
        <f t="shared" si="262"/>
        <v>1865.3600000000001</v>
      </c>
      <c r="AR367" s="293">
        <f t="shared" si="270"/>
        <v>20</v>
      </c>
      <c r="AS367" s="298">
        <f>AT367/C367</f>
        <v>5329.6</v>
      </c>
      <c r="AT367" s="294">
        <f>(U367)*AR367%</f>
        <v>5329.6</v>
      </c>
      <c r="AU367" s="293"/>
      <c r="AV367" s="293">
        <v>100</v>
      </c>
      <c r="AW367" s="293">
        <f>AU367*T367</f>
        <v>0</v>
      </c>
      <c r="AX367" s="293"/>
      <c r="AY367" s="298"/>
      <c r="AZ367" s="304"/>
      <c r="BA367" s="297">
        <f t="shared" si="265"/>
        <v>5329.6</v>
      </c>
      <c r="BB367" s="297">
        <f>BC367/C367</f>
        <v>33842.959999999999</v>
      </c>
      <c r="BC367" s="297">
        <f>BA367+AQ367+U367</f>
        <v>33842.959999999999</v>
      </c>
      <c r="BD367" s="299">
        <f>BC367/C367/5</f>
        <v>6768.5919999999996</v>
      </c>
      <c r="BE367" s="299"/>
      <c r="BF367" s="300">
        <f>IF(D367=1,BC367,0)</f>
        <v>0</v>
      </c>
      <c r="BG367" s="300">
        <f>IF(E367=1,BC367,0)</f>
        <v>0</v>
      </c>
      <c r="BH367" s="300">
        <f>IF(F367=1,BC367,0)</f>
        <v>0</v>
      </c>
      <c r="BI367" s="300">
        <f>IF(G367=1,BC367,0)</f>
        <v>0</v>
      </c>
      <c r="BJ367" s="300">
        <f>IF(H367=1,BC367,0)</f>
        <v>0</v>
      </c>
      <c r="BK367" s="300">
        <f>IF(I367=1,BC367,0)</f>
        <v>0</v>
      </c>
      <c r="BL367" s="300">
        <f>IF(J367=1,BC367,0)</f>
        <v>33842.959999999999</v>
      </c>
      <c r="BM367" s="300">
        <f>IF(K367=1,BC367,0)</f>
        <v>0</v>
      </c>
    </row>
    <row r="368" spans="1:65" s="287" customFormat="1" x14ac:dyDescent="0.25">
      <c r="A368" s="276"/>
      <c r="B368" s="288"/>
      <c r="C368" s="305"/>
      <c r="D368" s="279"/>
      <c r="E368" s="279"/>
      <c r="F368" s="279"/>
      <c r="G368" s="279"/>
      <c r="H368" s="279"/>
      <c r="I368" s="279"/>
      <c r="J368" s="279"/>
      <c r="K368" s="279"/>
      <c r="L368" s="277"/>
      <c r="M368" s="280"/>
      <c r="N368" s="281"/>
      <c r="O368" s="277"/>
      <c r="P368" s="282"/>
      <c r="Q368" s="277"/>
      <c r="R368" s="283"/>
      <c r="S368" s="280"/>
      <c r="T368" s="425"/>
      <c r="U368" s="284"/>
      <c r="V368" s="277"/>
      <c r="W368" s="285"/>
      <c r="X368" s="285"/>
      <c r="Y368" s="277"/>
      <c r="Z368" s="277"/>
      <c r="AA368" s="277"/>
      <c r="AB368" s="277"/>
      <c r="AC368" s="277"/>
      <c r="AD368" s="277"/>
      <c r="AE368" s="277"/>
      <c r="AF368" s="277"/>
      <c r="AG368" s="277"/>
      <c r="AH368" s="277"/>
      <c r="AI368" s="277"/>
      <c r="AJ368" s="277"/>
      <c r="AK368" s="277"/>
      <c r="AL368" s="277"/>
      <c r="AM368" s="285">
        <f t="shared" si="261"/>
        <v>0</v>
      </c>
      <c r="AN368" s="277"/>
      <c r="AO368" s="277"/>
      <c r="AP368" s="277"/>
      <c r="AQ368" s="284">
        <f t="shared" si="262"/>
        <v>0</v>
      </c>
      <c r="AR368" s="277"/>
      <c r="AS368" s="277"/>
      <c r="AT368" s="283"/>
      <c r="AU368" s="277"/>
      <c r="AV368" s="277"/>
      <c r="AW368" s="277"/>
      <c r="AX368" s="277"/>
      <c r="AY368" s="277"/>
      <c r="AZ368" s="283"/>
      <c r="BA368" s="284"/>
      <c r="BB368" s="284"/>
      <c r="BC368" s="284"/>
      <c r="BD368" s="286"/>
      <c r="BE368" s="286"/>
      <c r="BF368" s="251"/>
      <c r="BG368" s="251"/>
      <c r="BH368" s="251"/>
      <c r="BI368" s="251"/>
      <c r="BJ368" s="251"/>
      <c r="BK368" s="251"/>
      <c r="BL368" s="251"/>
      <c r="BM368" s="251"/>
    </row>
    <row r="369" spans="1:65" s="316" customFormat="1" ht="36.75" customHeight="1" x14ac:dyDescent="0.25">
      <c r="A369" s="306"/>
      <c r="B369" s="307" t="s">
        <v>229</v>
      </c>
      <c r="C369" s="308">
        <f>SUM(C352:C368)</f>
        <v>19</v>
      </c>
      <c r="D369" s="309"/>
      <c r="E369" s="309"/>
      <c r="F369" s="309"/>
      <c r="G369" s="309"/>
      <c r="H369" s="309"/>
      <c r="I369" s="309"/>
      <c r="J369" s="309"/>
      <c r="K369" s="309"/>
      <c r="L369" s="309"/>
      <c r="M369" s="310"/>
      <c r="N369" s="309"/>
      <c r="O369" s="309"/>
      <c r="P369" s="309"/>
      <c r="Q369" s="309"/>
      <c r="R369" s="310"/>
      <c r="S369" s="310"/>
      <c r="T369" s="349">
        <f>U369/4</f>
        <v>429303</v>
      </c>
      <c r="U369" s="312">
        <f>SUM(U352:U368)</f>
        <v>1717212</v>
      </c>
      <c r="V369" s="309"/>
      <c r="W369" s="309"/>
      <c r="X369" s="312">
        <f>SUM(X352:X368)</f>
        <v>355374.39999999997</v>
      </c>
      <c r="Y369" s="312"/>
      <c r="Z369" s="312">
        <f>SUM(Z352:Z368)</f>
        <v>0</v>
      </c>
      <c r="AA369" s="312">
        <f>SUM(AA352:AA368)</f>
        <v>0</v>
      </c>
      <c r="AB369" s="313"/>
      <c r="AC369" s="313"/>
      <c r="AD369" s="312">
        <f>SUM(AD352:AD368)</f>
        <v>0</v>
      </c>
      <c r="AE369" s="312"/>
      <c r="AF369" s="312">
        <f>SUM(AF352:AF368)</f>
        <v>0</v>
      </c>
      <c r="AG369" s="312">
        <f>SUM(AG352:AG368)</f>
        <v>0</v>
      </c>
      <c r="AH369" s="312"/>
      <c r="AI369" s="312">
        <f>SUM(AI352:AI368)</f>
        <v>0</v>
      </c>
      <c r="AJ369" s="312">
        <f>SUM(AJ352:AJ368)</f>
        <v>0</v>
      </c>
      <c r="AK369" s="312"/>
      <c r="AL369" s="312">
        <f>SUM(AL352:AL368)</f>
        <v>0</v>
      </c>
      <c r="AM369" s="312">
        <f>SUM(AM352:AM368)</f>
        <v>111926.12</v>
      </c>
      <c r="AN369" s="312"/>
      <c r="AO369" s="312">
        <f>SUM(AO352:AO368)</f>
        <v>0</v>
      </c>
      <c r="AP369" s="312">
        <f>SUM(AP352:AP368)</f>
        <v>0</v>
      </c>
      <c r="AQ369" s="312">
        <f>SUM(AQ352:AQ368)</f>
        <v>467300.52</v>
      </c>
      <c r="AR369" s="312"/>
      <c r="AS369" s="312">
        <f>SUM(AS352:AS368)</f>
        <v>349183.19999999995</v>
      </c>
      <c r="AT369" s="312">
        <f>SUM(AT352:AT368)</f>
        <v>395111.99999999988</v>
      </c>
      <c r="AU369" s="312">
        <f>SUM(AU352:AU368)</f>
        <v>10</v>
      </c>
      <c r="AV369" s="312"/>
      <c r="AW369" s="312">
        <f>SUM(AW352:AW368)</f>
        <v>244667</v>
      </c>
      <c r="AX369" s="312"/>
      <c r="AY369" s="312">
        <f>SUM(AY352:AY368)</f>
        <v>0</v>
      </c>
      <c r="AZ369" s="312">
        <f>SUM(AZ352:AZ368)</f>
        <v>0</v>
      </c>
      <c r="BA369" s="312">
        <f>SUM(BA352:BA368)</f>
        <v>639779</v>
      </c>
      <c r="BB369" s="312">
        <f>BC369/C369</f>
        <v>148646.92210526313</v>
      </c>
      <c r="BC369" s="312">
        <f>SUM(BC352:BC368)</f>
        <v>2824291.5199999996</v>
      </c>
      <c r="BD369" s="286">
        <f t="shared" si="272"/>
        <v>29729.384421052626</v>
      </c>
      <c r="BE369" s="314"/>
      <c r="BF369" s="315">
        <f t="shared" ref="BF369:BM369" si="284">SUM(BF352:BF368)</f>
        <v>0</v>
      </c>
      <c r="BG369" s="315">
        <f t="shared" si="284"/>
        <v>0</v>
      </c>
      <c r="BH369" s="315">
        <f t="shared" si="284"/>
        <v>0</v>
      </c>
      <c r="BI369" s="315">
        <f t="shared" si="284"/>
        <v>0</v>
      </c>
      <c r="BJ369" s="315">
        <f t="shared" si="284"/>
        <v>0</v>
      </c>
      <c r="BK369" s="315">
        <f t="shared" si="284"/>
        <v>0</v>
      </c>
      <c r="BL369" s="315">
        <f t="shared" si="284"/>
        <v>2824291.5199999996</v>
      </c>
      <c r="BM369" s="315">
        <f t="shared" si="284"/>
        <v>0</v>
      </c>
    </row>
    <row r="370" spans="1:65" s="287" customFormat="1" ht="16.5" hidden="1" customHeight="1" x14ac:dyDescent="0.25">
      <c r="A370" s="276"/>
      <c r="B370" s="317"/>
      <c r="C370" s="318"/>
      <c r="D370" s="319"/>
      <c r="E370" s="319"/>
      <c r="F370" s="319"/>
      <c r="G370" s="319"/>
      <c r="H370" s="319"/>
      <c r="I370" s="319"/>
      <c r="J370" s="319"/>
      <c r="K370" s="319"/>
      <c r="L370" s="319"/>
      <c r="M370" s="320"/>
      <c r="N370" s="319"/>
      <c r="O370" s="319"/>
      <c r="P370" s="319"/>
      <c r="Q370" s="319"/>
      <c r="R370" s="320"/>
      <c r="S370" s="320"/>
      <c r="T370" s="319"/>
      <c r="U370" s="321"/>
      <c r="V370" s="319"/>
      <c r="W370" s="319"/>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19"/>
      <c r="AS370" s="319"/>
      <c r="AT370" s="320"/>
      <c r="AU370" s="319"/>
      <c r="AV370" s="319"/>
      <c r="AW370" s="319"/>
      <c r="AX370" s="319"/>
      <c r="AY370" s="319"/>
      <c r="AZ370" s="320"/>
      <c r="BA370" s="321"/>
      <c r="BB370" s="321"/>
      <c r="BC370" s="322"/>
      <c r="BD370" s="286"/>
      <c r="BE370" s="314"/>
      <c r="BF370" s="323"/>
      <c r="BG370" s="323"/>
      <c r="BH370" s="323"/>
      <c r="BI370" s="323"/>
      <c r="BJ370" s="323"/>
      <c r="BK370" s="323"/>
      <c r="BL370" s="323"/>
      <c r="BM370" s="323"/>
    </row>
    <row r="371" spans="1:65" s="275" customFormat="1" ht="21" customHeight="1" x14ac:dyDescent="0.25">
      <c r="A371" s="270" t="s">
        <v>230</v>
      </c>
      <c r="B371" s="324" t="s">
        <v>231</v>
      </c>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2"/>
      <c r="AY371" s="272"/>
      <c r="AZ371" s="272"/>
      <c r="BA371" s="272"/>
      <c r="BB371" s="272"/>
      <c r="BC371" s="273"/>
      <c r="BD371" s="286"/>
      <c r="BE371" s="274"/>
    </row>
    <row r="372" spans="1:65" s="275" customFormat="1" ht="14.25" x14ac:dyDescent="0.25">
      <c r="A372" s="270"/>
      <c r="B372" s="271" t="s">
        <v>232</v>
      </c>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2"/>
      <c r="AR372" s="272"/>
      <c r="AS372" s="272"/>
      <c r="AT372" s="272"/>
      <c r="AU372" s="272"/>
      <c r="AV372" s="272"/>
      <c r="AW372" s="272"/>
      <c r="AX372" s="272"/>
      <c r="AY372" s="272"/>
      <c r="AZ372" s="272"/>
      <c r="BA372" s="272"/>
      <c r="BB372" s="272"/>
      <c r="BC372" s="273"/>
      <c r="BD372" s="286"/>
      <c r="BE372" s="274"/>
    </row>
    <row r="373" spans="1:65" s="275" customFormat="1" ht="19.5" customHeight="1" x14ac:dyDescent="0.25">
      <c r="A373" s="270"/>
      <c r="B373" s="325" t="s">
        <v>233</v>
      </c>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c r="AI373" s="326"/>
      <c r="AJ373" s="326"/>
      <c r="AK373" s="326"/>
      <c r="AL373" s="326"/>
      <c r="AM373" s="326"/>
      <c r="AN373" s="326"/>
      <c r="AO373" s="326"/>
      <c r="AP373" s="326"/>
      <c r="AQ373" s="326"/>
      <c r="AR373" s="326"/>
      <c r="AS373" s="326"/>
      <c r="AT373" s="326"/>
      <c r="AU373" s="326"/>
      <c r="AV373" s="326"/>
      <c r="AW373" s="326"/>
      <c r="AX373" s="326"/>
      <c r="AY373" s="326"/>
      <c r="AZ373" s="326"/>
      <c r="BA373" s="326"/>
      <c r="BB373" s="326"/>
      <c r="BC373" s="327"/>
      <c r="BD373" s="286"/>
      <c r="BE373" s="274"/>
    </row>
    <row r="374" spans="1:65" s="287" customFormat="1" x14ac:dyDescent="0.25">
      <c r="A374" s="276"/>
      <c r="B374" s="288" t="s">
        <v>234</v>
      </c>
      <c r="C374" s="278">
        <v>1</v>
      </c>
      <c r="D374" s="279"/>
      <c r="E374" s="279"/>
      <c r="F374" s="328"/>
      <c r="G374" s="328"/>
      <c r="H374" s="279">
        <v>1</v>
      </c>
      <c r="I374" s="328"/>
      <c r="J374" s="279"/>
      <c r="K374" s="279"/>
      <c r="L374" s="277"/>
      <c r="M374" s="280">
        <f>M$356</f>
        <v>3028</v>
      </c>
      <c r="N374" s="281">
        <f>N$244</f>
        <v>2</v>
      </c>
      <c r="O374" s="277">
        <v>2.2999999999999998</v>
      </c>
      <c r="P374" s="282">
        <f>P$244</f>
        <v>1.58</v>
      </c>
      <c r="Q374" s="277"/>
      <c r="R374" s="283">
        <f>$R$352</f>
        <v>686</v>
      </c>
      <c r="S374" s="280">
        <f t="shared" ref="S374:S379" si="285">T374/(R374/4)</f>
        <v>128.32653061224491</v>
      </c>
      <c r="T374" s="425">
        <f t="shared" ref="T374:T379" si="286">ROUND(M374*N374*O374*P374,0)</f>
        <v>22008</v>
      </c>
      <c r="U374" s="284">
        <f t="shared" ref="U374:U379" si="287">T374*C374*4</f>
        <v>88032</v>
      </c>
      <c r="V374" s="277">
        <v>30</v>
      </c>
      <c r="W374" s="285"/>
      <c r="X374" s="285">
        <f t="shared" ref="X374:X379" si="288">U374*V374%</f>
        <v>26409.599999999999</v>
      </c>
      <c r="Y374" s="277"/>
      <c r="Z374" s="277"/>
      <c r="AA374" s="277"/>
      <c r="AB374" s="277"/>
      <c r="AC374" s="277"/>
      <c r="AD374" s="277"/>
      <c r="AE374" s="277"/>
      <c r="AF374" s="277"/>
      <c r="AG374" s="277"/>
      <c r="AH374" s="277"/>
      <c r="AI374" s="277"/>
      <c r="AJ374" s="277"/>
      <c r="AK374" s="277">
        <v>7</v>
      </c>
      <c r="AL374" s="277"/>
      <c r="AM374" s="277">
        <f t="shared" ref="AM374:AM379" si="289">T374*AK374%*4</f>
        <v>6162.2400000000007</v>
      </c>
      <c r="AN374" s="277"/>
      <c r="AO374" s="277"/>
      <c r="AP374" s="285"/>
      <c r="AQ374" s="284">
        <f t="shared" ref="AQ374:AQ379" si="290">X374+AA374+AD374+AG374+AJ374+AM374+AP374</f>
        <v>32571.84</v>
      </c>
      <c r="AR374" s="277">
        <f>AR$29</f>
        <v>20</v>
      </c>
      <c r="AS374" s="277">
        <f t="shared" ref="AS374:AS379" si="291">AT374/C374</f>
        <v>17606.400000000001</v>
      </c>
      <c r="AT374" s="283">
        <f t="shared" ref="AT374:AT379" si="292">(U374)*AR374%</f>
        <v>17606.400000000001</v>
      </c>
      <c r="AU374" s="277"/>
      <c r="AV374" s="277">
        <v>100</v>
      </c>
      <c r="AW374" s="277">
        <f t="shared" ref="AW374:AW379" si="293">AU374*T374</f>
        <v>0</v>
      </c>
      <c r="AX374" s="277"/>
      <c r="AY374" s="277"/>
      <c r="AZ374" s="283"/>
      <c r="BA374" s="284">
        <f t="shared" ref="BA374:BA379" si="294">AT374+AW374+AZ374</f>
        <v>17606.400000000001</v>
      </c>
      <c r="BB374" s="284">
        <f t="shared" ref="BB374:BB379" si="295">BC374/C374</f>
        <v>138210.23999999999</v>
      </c>
      <c r="BC374" s="284">
        <f t="shared" ref="BC374:BC379" si="296">BA374+AQ374+U374</f>
        <v>138210.23999999999</v>
      </c>
      <c r="BD374" s="286">
        <f t="shared" si="272"/>
        <v>27642.047999999999</v>
      </c>
      <c r="BE374" s="286"/>
      <c r="BF374" s="241">
        <f>IF(D374=1,BC374,0)</f>
        <v>0</v>
      </c>
      <c r="BG374" s="241">
        <f>IF(E374=1,BC374,0)</f>
        <v>0</v>
      </c>
      <c r="BH374" s="241">
        <f>IF(F374=1,BC374,0)</f>
        <v>0</v>
      </c>
      <c r="BI374" s="241">
        <f>IF(G374=1,BC374,0)</f>
        <v>0</v>
      </c>
      <c r="BJ374" s="251">
        <f>IF(H374=1,BC374,0)</f>
        <v>138210.23999999999</v>
      </c>
      <c r="BK374" s="251">
        <f>IF(I374=1,BC374,0)</f>
        <v>0</v>
      </c>
      <c r="BL374" s="251">
        <f>IF(J374=1,BC374,0)</f>
        <v>0</v>
      </c>
      <c r="BM374" s="241">
        <f>IF(K374=1,BC374,0)</f>
        <v>0</v>
      </c>
    </row>
    <row r="375" spans="1:65" s="287" customFormat="1" x14ac:dyDescent="0.25">
      <c r="A375" s="276"/>
      <c r="B375" s="290" t="s">
        <v>235</v>
      </c>
      <c r="C375" s="278">
        <v>1</v>
      </c>
      <c r="D375" s="279"/>
      <c r="E375" s="279"/>
      <c r="F375" s="328"/>
      <c r="G375" s="328"/>
      <c r="H375" s="279">
        <v>1</v>
      </c>
      <c r="I375" s="328"/>
      <c r="J375" s="279"/>
      <c r="K375" s="279"/>
      <c r="L375" s="277"/>
      <c r="M375" s="280">
        <f>M$35</f>
        <v>3028</v>
      </c>
      <c r="N375" s="281">
        <f>N$29</f>
        <v>2</v>
      </c>
      <c r="O375" s="293">
        <v>2</v>
      </c>
      <c r="P375" s="282">
        <f>P$244</f>
        <v>1.58</v>
      </c>
      <c r="Q375" s="277"/>
      <c r="R375" s="283">
        <f>$R$352</f>
        <v>686</v>
      </c>
      <c r="S375" s="280">
        <f t="shared" si="285"/>
        <v>111.58600583090379</v>
      </c>
      <c r="T375" s="425">
        <f t="shared" si="286"/>
        <v>19137</v>
      </c>
      <c r="U375" s="284">
        <f t="shared" si="287"/>
        <v>76548</v>
      </c>
      <c r="V375" s="277">
        <v>20</v>
      </c>
      <c r="W375" s="285"/>
      <c r="X375" s="285">
        <f t="shared" si="288"/>
        <v>15309.6</v>
      </c>
      <c r="Y375" s="277"/>
      <c r="Z375" s="277"/>
      <c r="AA375" s="277"/>
      <c r="AB375" s="277"/>
      <c r="AC375" s="277"/>
      <c r="AD375" s="277"/>
      <c r="AE375" s="277"/>
      <c r="AF375" s="277"/>
      <c r="AG375" s="277"/>
      <c r="AH375" s="277"/>
      <c r="AI375" s="277"/>
      <c r="AJ375" s="277"/>
      <c r="AK375" s="277">
        <v>15</v>
      </c>
      <c r="AL375" s="277"/>
      <c r="AM375" s="285">
        <f t="shared" si="289"/>
        <v>11482.199999999999</v>
      </c>
      <c r="AN375" s="277"/>
      <c r="AO375" s="277"/>
      <c r="AP375" s="285"/>
      <c r="AQ375" s="284">
        <f t="shared" si="290"/>
        <v>26791.8</v>
      </c>
      <c r="AR375" s="277">
        <f>AR$29</f>
        <v>20</v>
      </c>
      <c r="AS375" s="277">
        <f t="shared" si="291"/>
        <v>15309.6</v>
      </c>
      <c r="AT375" s="283">
        <f t="shared" si="292"/>
        <v>15309.6</v>
      </c>
      <c r="AU375" s="277"/>
      <c r="AV375" s="277">
        <v>100</v>
      </c>
      <c r="AW375" s="277">
        <f t="shared" si="293"/>
        <v>0</v>
      </c>
      <c r="AX375" s="277"/>
      <c r="AY375" s="277"/>
      <c r="AZ375" s="283"/>
      <c r="BA375" s="284">
        <f t="shared" si="294"/>
        <v>15309.6</v>
      </c>
      <c r="BB375" s="284">
        <f t="shared" si="295"/>
        <v>118649.4</v>
      </c>
      <c r="BC375" s="284">
        <f t="shared" si="296"/>
        <v>118649.4</v>
      </c>
      <c r="BD375" s="286">
        <f t="shared" si="272"/>
        <v>23729.879999999997</v>
      </c>
      <c r="BE375" s="286"/>
      <c r="BF375" s="241"/>
      <c r="BG375" s="241"/>
      <c r="BH375" s="241"/>
      <c r="BI375" s="241"/>
      <c r="BJ375" s="251"/>
      <c r="BK375" s="251"/>
      <c r="BL375" s="251"/>
      <c r="BM375" s="241"/>
    </row>
    <row r="376" spans="1:65" s="287" customFormat="1" ht="28.5" x14ac:dyDescent="0.25">
      <c r="A376" s="276"/>
      <c r="B376" s="288" t="s">
        <v>236</v>
      </c>
      <c r="C376" s="278">
        <v>1</v>
      </c>
      <c r="D376" s="279"/>
      <c r="E376" s="279"/>
      <c r="F376" s="328"/>
      <c r="G376" s="328"/>
      <c r="H376" s="279">
        <v>1</v>
      </c>
      <c r="I376" s="328"/>
      <c r="J376" s="279"/>
      <c r="K376" s="279"/>
      <c r="L376" s="277"/>
      <c r="M376" s="280">
        <f>M$35</f>
        <v>3028</v>
      </c>
      <c r="N376" s="281">
        <f>N$29</f>
        <v>2</v>
      </c>
      <c r="O376" s="277">
        <v>1.9</v>
      </c>
      <c r="P376" s="282">
        <f>P$244</f>
        <v>1.58</v>
      </c>
      <c r="Q376" s="277"/>
      <c r="R376" s="283">
        <f>$R$352</f>
        <v>686</v>
      </c>
      <c r="S376" s="280">
        <f t="shared" si="285"/>
        <v>106.00583090379008</v>
      </c>
      <c r="T376" s="425">
        <f t="shared" si="286"/>
        <v>18180</v>
      </c>
      <c r="U376" s="284">
        <f t="shared" si="287"/>
        <v>72720</v>
      </c>
      <c r="V376" s="277">
        <v>20</v>
      </c>
      <c r="W376" s="285"/>
      <c r="X376" s="285">
        <f t="shared" si="288"/>
        <v>14544</v>
      </c>
      <c r="Y376" s="277"/>
      <c r="Z376" s="277"/>
      <c r="AA376" s="277"/>
      <c r="AB376" s="277"/>
      <c r="AC376" s="277"/>
      <c r="AD376" s="277"/>
      <c r="AE376" s="277"/>
      <c r="AF376" s="277"/>
      <c r="AG376" s="277"/>
      <c r="AH376" s="277"/>
      <c r="AI376" s="277"/>
      <c r="AJ376" s="277"/>
      <c r="AK376" s="277">
        <v>10</v>
      </c>
      <c r="AL376" s="277"/>
      <c r="AM376" s="285">
        <f t="shared" si="289"/>
        <v>7272</v>
      </c>
      <c r="AN376" s="277"/>
      <c r="AO376" s="277"/>
      <c r="AP376" s="285"/>
      <c r="AQ376" s="284">
        <f t="shared" si="290"/>
        <v>21816</v>
      </c>
      <c r="AR376" s="277">
        <f>AR$29</f>
        <v>20</v>
      </c>
      <c r="AS376" s="277">
        <f t="shared" si="291"/>
        <v>14544</v>
      </c>
      <c r="AT376" s="283">
        <f t="shared" si="292"/>
        <v>14544</v>
      </c>
      <c r="AU376" s="277"/>
      <c r="AV376" s="277">
        <v>100</v>
      </c>
      <c r="AW376" s="277">
        <f t="shared" si="293"/>
        <v>0</v>
      </c>
      <c r="AX376" s="277"/>
      <c r="AY376" s="277"/>
      <c r="AZ376" s="283"/>
      <c r="BA376" s="284">
        <f t="shared" si="294"/>
        <v>14544</v>
      </c>
      <c r="BB376" s="284">
        <f t="shared" si="295"/>
        <v>109080</v>
      </c>
      <c r="BC376" s="284">
        <f t="shared" si="296"/>
        <v>109080</v>
      </c>
      <c r="BD376" s="286">
        <f t="shared" si="272"/>
        <v>21816</v>
      </c>
      <c r="BE376" s="286"/>
      <c r="BF376" s="241"/>
      <c r="BG376" s="241"/>
      <c r="BH376" s="241"/>
      <c r="BI376" s="241"/>
      <c r="BJ376" s="251"/>
      <c r="BK376" s="251"/>
      <c r="BL376" s="251"/>
      <c r="BM376" s="241"/>
    </row>
    <row r="377" spans="1:65" s="301" customFormat="1" x14ac:dyDescent="0.25">
      <c r="A377" s="289"/>
      <c r="B377" s="277" t="s">
        <v>237</v>
      </c>
      <c r="C377" s="278">
        <v>1</v>
      </c>
      <c r="D377" s="279"/>
      <c r="E377" s="279"/>
      <c r="F377" s="328"/>
      <c r="G377" s="328"/>
      <c r="H377" s="279">
        <v>1</v>
      </c>
      <c r="I377" s="328"/>
      <c r="J377" s="279"/>
      <c r="K377" s="279"/>
      <c r="L377" s="277"/>
      <c r="M377" s="280">
        <f>M$35</f>
        <v>3028</v>
      </c>
      <c r="N377" s="281">
        <f>N$29</f>
        <v>2</v>
      </c>
      <c r="O377" s="277">
        <v>1.9</v>
      </c>
      <c r="P377" s="295">
        <f>P$244</f>
        <v>1.58</v>
      </c>
      <c r="Q377" s="293"/>
      <c r="R377" s="296">
        <f>$R$352</f>
        <v>686</v>
      </c>
      <c r="S377" s="294">
        <f t="shared" si="285"/>
        <v>106.00583090379008</v>
      </c>
      <c r="T377" s="291">
        <f t="shared" si="286"/>
        <v>18180</v>
      </c>
      <c r="U377" s="297">
        <f t="shared" si="287"/>
        <v>72720</v>
      </c>
      <c r="V377" s="293">
        <v>20</v>
      </c>
      <c r="W377" s="298"/>
      <c r="X377" s="298">
        <f t="shared" si="288"/>
        <v>14544</v>
      </c>
      <c r="Y377" s="293"/>
      <c r="Z377" s="293"/>
      <c r="AA377" s="293"/>
      <c r="AB377" s="293"/>
      <c r="AC377" s="293"/>
      <c r="AD377" s="293"/>
      <c r="AE377" s="293"/>
      <c r="AF377" s="293"/>
      <c r="AG377" s="293"/>
      <c r="AH377" s="293"/>
      <c r="AI377" s="293"/>
      <c r="AJ377" s="293"/>
      <c r="AK377" s="293"/>
      <c r="AL377" s="293"/>
      <c r="AM377" s="298">
        <f t="shared" si="289"/>
        <v>0</v>
      </c>
      <c r="AN377" s="293"/>
      <c r="AO377" s="293"/>
      <c r="AP377" s="293"/>
      <c r="AQ377" s="297">
        <f t="shared" si="290"/>
        <v>14544</v>
      </c>
      <c r="AR377" s="293">
        <f>AR$29</f>
        <v>20</v>
      </c>
      <c r="AS377" s="293">
        <f t="shared" si="291"/>
        <v>14544</v>
      </c>
      <c r="AT377" s="296">
        <f t="shared" si="292"/>
        <v>14544</v>
      </c>
      <c r="AU377" s="293"/>
      <c r="AV377" s="293">
        <v>100</v>
      </c>
      <c r="AW377" s="293">
        <f t="shared" si="293"/>
        <v>0</v>
      </c>
      <c r="AX377" s="293"/>
      <c r="AY377" s="293"/>
      <c r="AZ377" s="296"/>
      <c r="BA377" s="297">
        <f t="shared" si="294"/>
        <v>14544</v>
      </c>
      <c r="BB377" s="297">
        <f t="shared" si="295"/>
        <v>101808</v>
      </c>
      <c r="BC377" s="297">
        <f t="shared" si="296"/>
        <v>101808</v>
      </c>
      <c r="BD377" s="299">
        <f t="shared" si="272"/>
        <v>20361.599999999999</v>
      </c>
      <c r="BE377" s="299"/>
      <c r="BF377" s="377">
        <f>IF(D377=1,BC377,0)</f>
        <v>0</v>
      </c>
      <c r="BG377" s="377">
        <f>IF(E377=1,BC377,0)</f>
        <v>0</v>
      </c>
      <c r="BH377" s="377">
        <f>IF(F377=1,BC377,0)</f>
        <v>0</v>
      </c>
      <c r="BI377" s="377">
        <f>IF(G377=1,BC377,0)</f>
        <v>0</v>
      </c>
      <c r="BJ377" s="300">
        <f>IF(H377=1,BC377,0)</f>
        <v>101808</v>
      </c>
      <c r="BK377" s="300">
        <f>IF(I377=1,BC377,0)</f>
        <v>0</v>
      </c>
      <c r="BL377" s="300">
        <f>IF(J377=1,BC377,0)</f>
        <v>0</v>
      </c>
      <c r="BM377" s="377">
        <f>IF(K377=1,BC377,0)</f>
        <v>0</v>
      </c>
    </row>
    <row r="378" spans="1:65" s="287" customFormat="1" x14ac:dyDescent="0.25">
      <c r="A378" s="276"/>
      <c r="B378" s="288" t="s">
        <v>238</v>
      </c>
      <c r="C378" s="425">
        <v>1</v>
      </c>
      <c r="D378" s="279"/>
      <c r="E378" s="279"/>
      <c r="F378" s="279"/>
      <c r="G378" s="279"/>
      <c r="H378" s="279"/>
      <c r="I378" s="279">
        <v>1</v>
      </c>
      <c r="J378" s="279"/>
      <c r="K378" s="279"/>
      <c r="L378" s="277"/>
      <c r="M378" s="280">
        <f>M$35</f>
        <v>3028</v>
      </c>
      <c r="N378" s="281">
        <f>N$29</f>
        <v>2</v>
      </c>
      <c r="O378" s="277">
        <v>2</v>
      </c>
      <c r="P378" s="282">
        <f>P$244</f>
        <v>1.58</v>
      </c>
      <c r="Q378" s="282"/>
      <c r="R378" s="283">
        <f>$R$352</f>
        <v>686</v>
      </c>
      <c r="S378" s="280">
        <f t="shared" si="285"/>
        <v>111.58600583090379</v>
      </c>
      <c r="T378" s="425">
        <f t="shared" si="286"/>
        <v>19137</v>
      </c>
      <c r="U378" s="284">
        <f t="shared" si="287"/>
        <v>76548</v>
      </c>
      <c r="V378" s="277">
        <v>20</v>
      </c>
      <c r="W378" s="285"/>
      <c r="X378" s="285">
        <f t="shared" si="288"/>
        <v>15309.6</v>
      </c>
      <c r="Y378" s="277"/>
      <c r="Z378" s="277"/>
      <c r="AA378" s="277"/>
      <c r="AB378" s="277"/>
      <c r="AC378" s="277"/>
      <c r="AD378" s="277"/>
      <c r="AE378" s="277"/>
      <c r="AF378" s="277"/>
      <c r="AG378" s="277"/>
      <c r="AH378" s="277"/>
      <c r="AI378" s="277"/>
      <c r="AJ378" s="277"/>
      <c r="AK378" s="277"/>
      <c r="AL378" s="277"/>
      <c r="AM378" s="277">
        <f t="shared" si="289"/>
        <v>0</v>
      </c>
      <c r="AN378" s="277"/>
      <c r="AO378" s="277"/>
      <c r="AP378" s="277"/>
      <c r="AQ378" s="284">
        <f t="shared" si="290"/>
        <v>15309.6</v>
      </c>
      <c r="AR378" s="277">
        <f>AR$29</f>
        <v>20</v>
      </c>
      <c r="AS378" s="285">
        <f t="shared" si="291"/>
        <v>15309.6</v>
      </c>
      <c r="AT378" s="280">
        <f t="shared" si="292"/>
        <v>15309.6</v>
      </c>
      <c r="AU378" s="277"/>
      <c r="AV378" s="277">
        <v>100</v>
      </c>
      <c r="AW378" s="277">
        <f t="shared" si="293"/>
        <v>0</v>
      </c>
      <c r="AX378" s="277"/>
      <c r="AY378" s="285"/>
      <c r="AZ378" s="280"/>
      <c r="BA378" s="284">
        <f t="shared" si="294"/>
        <v>15309.6</v>
      </c>
      <c r="BB378" s="284">
        <f t="shared" si="295"/>
        <v>107167.2</v>
      </c>
      <c r="BC378" s="284">
        <f t="shared" si="296"/>
        <v>107167.2</v>
      </c>
      <c r="BD378" s="286">
        <f>BC378/C378/5</f>
        <v>21433.439999999999</v>
      </c>
      <c r="BE378" s="286"/>
      <c r="BF378" s="251">
        <f>IF(D378=1,BC378,0)</f>
        <v>0</v>
      </c>
      <c r="BG378" s="251">
        <f>IF(E378=1,BC378,0)</f>
        <v>0</v>
      </c>
      <c r="BH378" s="251">
        <f>IF(F378=1,BC378,0)</f>
        <v>0</v>
      </c>
      <c r="BI378" s="251">
        <f>IF(G378=1,BC378,0)</f>
        <v>0</v>
      </c>
      <c r="BJ378" s="251">
        <f>IF(H378=1,BC378,0)</f>
        <v>0</v>
      </c>
      <c r="BK378" s="251">
        <f>IF(I378=1,BC378,0)</f>
        <v>107167.2</v>
      </c>
      <c r="BL378" s="251">
        <f>IF(J378=1,BC378,0)</f>
        <v>0</v>
      </c>
      <c r="BM378" s="251">
        <f>IF(K378=1,BC378,0)</f>
        <v>0</v>
      </c>
    </row>
    <row r="379" spans="1:65" s="301" customFormat="1" x14ac:dyDescent="0.25">
      <c r="A379" s="289"/>
      <c r="B379" s="290" t="s">
        <v>242</v>
      </c>
      <c r="C379" s="278">
        <v>1</v>
      </c>
      <c r="D379" s="279"/>
      <c r="E379" s="279"/>
      <c r="F379" s="279"/>
      <c r="G379" s="279"/>
      <c r="H379" s="279"/>
      <c r="I379" s="279"/>
      <c r="J379" s="279">
        <v>1</v>
      </c>
      <c r="K379" s="279"/>
      <c r="L379" s="277"/>
      <c r="M379" s="280">
        <f t="shared" ref="M379:M386" si="297">M$35</f>
        <v>3028</v>
      </c>
      <c r="N379" s="281">
        <f t="shared" ref="N379:N386" si="298">N$29</f>
        <v>2</v>
      </c>
      <c r="O379" s="295">
        <v>1.7</v>
      </c>
      <c r="P379" s="282">
        <f t="shared" ref="P379:P386" si="299">P$244</f>
        <v>1.58</v>
      </c>
      <c r="Q379" s="293"/>
      <c r="R379" s="296">
        <f t="shared" ref="R379:R389" si="300">$R$352</f>
        <v>686</v>
      </c>
      <c r="S379" s="294">
        <f t="shared" si="285"/>
        <v>94.845481049562679</v>
      </c>
      <c r="T379" s="291">
        <f t="shared" si="286"/>
        <v>16266</v>
      </c>
      <c r="U379" s="297">
        <f t="shared" si="287"/>
        <v>65064</v>
      </c>
      <c r="V379" s="293"/>
      <c r="W379" s="298"/>
      <c r="X379" s="298">
        <f t="shared" si="288"/>
        <v>0</v>
      </c>
      <c r="Y379" s="293"/>
      <c r="Z379" s="293"/>
      <c r="AA379" s="293"/>
      <c r="AB379" s="293"/>
      <c r="AC379" s="293"/>
      <c r="AD379" s="293"/>
      <c r="AE379" s="293"/>
      <c r="AF379" s="293"/>
      <c r="AG379" s="293"/>
      <c r="AH379" s="293"/>
      <c r="AI379" s="293"/>
      <c r="AJ379" s="293"/>
      <c r="AK379" s="277">
        <v>7</v>
      </c>
      <c r="AL379" s="293"/>
      <c r="AM379" s="298">
        <f t="shared" si="289"/>
        <v>4554.4800000000005</v>
      </c>
      <c r="AN379" s="293"/>
      <c r="AO379" s="293"/>
      <c r="AP379" s="293"/>
      <c r="AQ379" s="297">
        <f t="shared" si="290"/>
        <v>4554.4800000000005</v>
      </c>
      <c r="AR379" s="293">
        <f t="shared" ref="AR379:AR388" si="301">AR$29</f>
        <v>20</v>
      </c>
      <c r="AS379" s="293">
        <f t="shared" si="291"/>
        <v>13012.800000000001</v>
      </c>
      <c r="AT379" s="296">
        <f t="shared" si="292"/>
        <v>13012.800000000001</v>
      </c>
      <c r="AU379" s="293"/>
      <c r="AV379" s="293">
        <v>100</v>
      </c>
      <c r="AW379" s="293">
        <f t="shared" si="293"/>
        <v>0</v>
      </c>
      <c r="AX379" s="293"/>
      <c r="AY379" s="293"/>
      <c r="AZ379" s="431"/>
      <c r="BA379" s="297">
        <f t="shared" si="294"/>
        <v>13012.800000000001</v>
      </c>
      <c r="BB379" s="297">
        <f t="shared" si="295"/>
        <v>82631.28</v>
      </c>
      <c r="BC379" s="297">
        <f t="shared" si="296"/>
        <v>82631.28</v>
      </c>
      <c r="BD379" s="299">
        <f>BC379/C379/5</f>
        <v>16526.256000000001</v>
      </c>
      <c r="BE379" s="299"/>
      <c r="BF379" s="300">
        <f>IF(D379=1,BC379,0)</f>
        <v>0</v>
      </c>
      <c r="BG379" s="300">
        <f>IF(E379=1,BC379,0)</f>
        <v>0</v>
      </c>
      <c r="BH379" s="300">
        <f>IF(F379=1,BC379,0)</f>
        <v>0</v>
      </c>
      <c r="BI379" s="300">
        <f>IF(G379=1,BC379,0)</f>
        <v>0</v>
      </c>
      <c r="BJ379" s="300">
        <f>IF(H379=1,BC379,0)</f>
        <v>0</v>
      </c>
      <c r="BK379" s="300">
        <f>IF(I379=1,BC379,0)</f>
        <v>0</v>
      </c>
      <c r="BL379" s="300">
        <f>IF(J379=1,BC379,0)</f>
        <v>82631.28</v>
      </c>
      <c r="BM379" s="300">
        <f>IF(K379=1,BC379,0)</f>
        <v>0</v>
      </c>
    </row>
    <row r="380" spans="1:65" s="316" customFormat="1" x14ac:dyDescent="0.25">
      <c r="A380" s="306"/>
      <c r="B380" s="307" t="s">
        <v>229</v>
      </c>
      <c r="C380" s="329">
        <f>SUM(C374:C379)</f>
        <v>6</v>
      </c>
      <c r="D380" s="330"/>
      <c r="E380" s="330"/>
      <c r="F380" s="330"/>
      <c r="G380" s="330"/>
      <c r="H380" s="330"/>
      <c r="I380" s="330"/>
      <c r="J380" s="330"/>
      <c r="K380" s="330"/>
      <c r="L380" s="307"/>
      <c r="M380" s="331"/>
      <c r="N380" s="307"/>
      <c r="O380" s="307"/>
      <c r="P380" s="332"/>
      <c r="Q380" s="307"/>
      <c r="R380" s="331"/>
      <c r="S380" s="331"/>
      <c r="T380" s="349">
        <f>U380/4</f>
        <v>112908</v>
      </c>
      <c r="U380" s="329">
        <f>SUM(U374:U379)</f>
        <v>451632</v>
      </c>
      <c r="V380" s="329"/>
      <c r="W380" s="329">
        <f>SUM(W374:W379)</f>
        <v>0</v>
      </c>
      <c r="X380" s="329">
        <f>SUM(X374:X379)</f>
        <v>86116.800000000003</v>
      </c>
      <c r="Y380" s="329"/>
      <c r="Z380" s="329">
        <f>SUM(Z374:Z379)</f>
        <v>0</v>
      </c>
      <c r="AA380" s="329">
        <f>SUM(AA374:AA379)</f>
        <v>0</v>
      </c>
      <c r="AB380" s="329"/>
      <c r="AC380" s="329"/>
      <c r="AD380" s="329">
        <f>SUM(AD374:AD379)</f>
        <v>0</v>
      </c>
      <c r="AE380" s="329"/>
      <c r="AF380" s="329">
        <f>SUM(AF374:AF379)</f>
        <v>0</v>
      </c>
      <c r="AG380" s="329">
        <f>SUM(AG374:AG379)</f>
        <v>0</v>
      </c>
      <c r="AH380" s="329"/>
      <c r="AI380" s="329">
        <f>SUM(AI374:AI379)</f>
        <v>0</v>
      </c>
      <c r="AJ380" s="329">
        <f>SUM(AJ374:AJ379)</f>
        <v>0</v>
      </c>
      <c r="AK380" s="284"/>
      <c r="AL380" s="284">
        <f>SUM(AL374:AL377)</f>
        <v>0</v>
      </c>
      <c r="AM380" s="284">
        <f>SUM(AM374:AM379)</f>
        <v>29470.92</v>
      </c>
      <c r="AN380" s="329"/>
      <c r="AO380" s="329">
        <f>SUM(AO374:AO379)</f>
        <v>0</v>
      </c>
      <c r="AP380" s="329">
        <f>SUM(AP374:AP379)</f>
        <v>0</v>
      </c>
      <c r="AQ380" s="329">
        <f>SUM(AQ374:AQ379)</f>
        <v>115587.72</v>
      </c>
      <c r="AR380" s="329"/>
      <c r="AS380" s="329">
        <f>SUM(AS374:AS379)</f>
        <v>90326.400000000009</v>
      </c>
      <c r="AT380" s="329">
        <f>SUM(AT374:AT379)</f>
        <v>90326.400000000009</v>
      </c>
      <c r="AU380" s="329">
        <f>SUM(AU374:AU379)</f>
        <v>0</v>
      </c>
      <c r="AV380" s="329">
        <f>SUM(AV374:AV379)</f>
        <v>600</v>
      </c>
      <c r="AW380" s="329">
        <f>SUM(AW374:AW379)</f>
        <v>0</v>
      </c>
      <c r="AX380" s="329"/>
      <c r="AY380" s="329">
        <f>SUM(AY374:AY379)</f>
        <v>0</v>
      </c>
      <c r="AZ380" s="329">
        <f>SUM(AZ374:AZ379)</f>
        <v>0</v>
      </c>
      <c r="BA380" s="329">
        <f>SUM(BA374:BA379)</f>
        <v>90326.400000000009</v>
      </c>
      <c r="BB380" s="329">
        <f>SUM(BB374:BB379)</f>
        <v>657546.12</v>
      </c>
      <c r="BC380" s="329">
        <f>SUM(BC374:BC379)</f>
        <v>657546.12</v>
      </c>
      <c r="BD380" s="286">
        <f t="shared" si="272"/>
        <v>21918.204000000002</v>
      </c>
      <c r="BE380" s="286"/>
      <c r="BF380" s="316">
        <f t="shared" ref="BF380:BM380" si="302">SUM(BF374:BF377)</f>
        <v>0</v>
      </c>
      <c r="BG380" s="316">
        <f t="shared" si="302"/>
        <v>0</v>
      </c>
      <c r="BH380" s="316">
        <f t="shared" si="302"/>
        <v>0</v>
      </c>
      <c r="BI380" s="316">
        <f t="shared" si="302"/>
        <v>0</v>
      </c>
      <c r="BJ380" s="316">
        <f t="shared" si="302"/>
        <v>240018.24</v>
      </c>
      <c r="BK380" s="316">
        <f t="shared" si="302"/>
        <v>0</v>
      </c>
      <c r="BL380" s="316">
        <f t="shared" si="302"/>
        <v>0</v>
      </c>
      <c r="BM380" s="316">
        <f t="shared" si="302"/>
        <v>0</v>
      </c>
    </row>
    <row r="381" spans="1:65" s="287" customFormat="1" ht="18" customHeight="1" x14ac:dyDescent="0.25">
      <c r="A381" s="270"/>
      <c r="B381" s="334" t="s">
        <v>239</v>
      </c>
      <c r="C381" s="335"/>
      <c r="D381" s="335"/>
      <c r="E381" s="335"/>
      <c r="F381" s="335"/>
      <c r="G381" s="335"/>
      <c r="H381" s="335"/>
      <c r="I381" s="335"/>
      <c r="J381" s="335"/>
      <c r="K381" s="335"/>
      <c r="L381" s="335"/>
      <c r="M381" s="335"/>
      <c r="N381" s="335"/>
      <c r="O381" s="335"/>
      <c r="P381" s="335"/>
      <c r="Q381" s="335"/>
      <c r="R381" s="335"/>
      <c r="S381" s="335"/>
      <c r="T381" s="335"/>
      <c r="U381" s="335"/>
      <c r="V381" s="335"/>
      <c r="W381" s="335"/>
      <c r="X381" s="335"/>
      <c r="Y381" s="335"/>
      <c r="Z381" s="335"/>
      <c r="AA381" s="335"/>
      <c r="AB381" s="335"/>
      <c r="AC381" s="335"/>
      <c r="AD381" s="335"/>
      <c r="AE381" s="335"/>
      <c r="AF381" s="335"/>
      <c r="AG381" s="335"/>
      <c r="AH381" s="335"/>
      <c r="AI381" s="335"/>
      <c r="AJ381" s="335"/>
      <c r="AK381" s="336"/>
      <c r="AL381" s="336"/>
      <c r="AM381" s="336"/>
      <c r="AN381" s="335"/>
      <c r="AO381" s="335"/>
      <c r="AP381" s="335"/>
      <c r="AQ381" s="335"/>
      <c r="AR381" s="335"/>
      <c r="AS381" s="335"/>
      <c r="AT381" s="335"/>
      <c r="AU381" s="335"/>
      <c r="AV381" s="335"/>
      <c r="AW381" s="335"/>
      <c r="AX381" s="335"/>
      <c r="AY381" s="335"/>
      <c r="AZ381" s="335"/>
      <c r="BA381" s="335"/>
      <c r="BB381" s="335"/>
      <c r="BC381" s="362"/>
      <c r="BD381" s="286"/>
      <c r="BE381" s="274"/>
      <c r="BF381" s="338" t="e">
        <f>BC391-#REF!</f>
        <v>#REF!</v>
      </c>
    </row>
    <row r="382" spans="1:65" s="287" customFormat="1" ht="16.5" customHeight="1" x14ac:dyDescent="0.25">
      <c r="A382" s="276"/>
      <c r="B382" s="288" t="s">
        <v>240</v>
      </c>
      <c r="C382" s="278">
        <v>3</v>
      </c>
      <c r="D382" s="279"/>
      <c r="E382" s="279"/>
      <c r="F382" s="328"/>
      <c r="G382" s="328"/>
      <c r="H382" s="279">
        <v>1</v>
      </c>
      <c r="I382" s="328"/>
      <c r="J382" s="328"/>
      <c r="K382" s="279"/>
      <c r="L382" s="277">
        <v>4</v>
      </c>
      <c r="M382" s="280">
        <f t="shared" si="297"/>
        <v>3028</v>
      </c>
      <c r="N382" s="281">
        <f t="shared" si="298"/>
        <v>2</v>
      </c>
      <c r="O382" s="277">
        <v>1.43</v>
      </c>
      <c r="P382" s="282">
        <f t="shared" si="299"/>
        <v>1.58</v>
      </c>
      <c r="Q382" s="277"/>
      <c r="R382" s="283">
        <f t="shared" si="300"/>
        <v>686</v>
      </c>
      <c r="S382" s="280">
        <f t="shared" ref="S382:S389" si="303">T382/(R382/4)</f>
        <v>79.78425655976676</v>
      </c>
      <c r="T382" s="425">
        <f>ROUND(M382*N382*O382*P382,0)</f>
        <v>13683</v>
      </c>
      <c r="U382" s="284">
        <f>T382*C382*4</f>
        <v>164196</v>
      </c>
      <c r="V382" s="277">
        <v>16</v>
      </c>
      <c r="W382" s="285"/>
      <c r="X382" s="285">
        <f t="shared" ref="X382:X389" si="304">U382*V382%</f>
        <v>26271.360000000001</v>
      </c>
      <c r="Y382" s="277">
        <v>4</v>
      </c>
      <c r="Z382" s="285"/>
      <c r="AA382" s="285">
        <f>U382*Y382%</f>
        <v>6567.84</v>
      </c>
      <c r="AB382" s="277"/>
      <c r="AC382" s="277"/>
      <c r="AD382" s="277"/>
      <c r="AE382" s="277"/>
      <c r="AF382" s="277"/>
      <c r="AG382" s="277"/>
      <c r="AH382" s="277"/>
      <c r="AI382" s="277"/>
      <c r="AJ382" s="277"/>
      <c r="AK382" s="277">
        <v>7</v>
      </c>
      <c r="AL382" s="277"/>
      <c r="AM382" s="285">
        <f>T382*AK382%*4</f>
        <v>3831.2400000000002</v>
      </c>
      <c r="AN382" s="277"/>
      <c r="AO382" s="277"/>
      <c r="AP382" s="277"/>
      <c r="AQ382" s="284">
        <f t="shared" ref="AQ382:AQ390" si="305">X382+AA382+AD382+AG382+AJ382+AM382+AP382</f>
        <v>36670.439999999995</v>
      </c>
      <c r="AR382" s="277">
        <f t="shared" si="301"/>
        <v>20</v>
      </c>
      <c r="AS382" s="277">
        <f t="shared" ref="AS382:AS389" si="306">AT382/C382</f>
        <v>10946.400000000001</v>
      </c>
      <c r="AT382" s="283">
        <f t="shared" ref="AT382:AT389" si="307">(U382)*AR382%</f>
        <v>32839.200000000004</v>
      </c>
      <c r="AU382" s="277">
        <v>1</v>
      </c>
      <c r="AV382" s="277">
        <v>100</v>
      </c>
      <c r="AW382" s="277">
        <f t="shared" ref="AW382:AW389" si="308">AU382*T382</f>
        <v>13683</v>
      </c>
      <c r="AX382" s="277"/>
      <c r="AY382" s="277"/>
      <c r="AZ382" s="283"/>
      <c r="BA382" s="284">
        <f t="shared" ref="BA382:BA389" si="309">AT382+AW382+AZ382</f>
        <v>46522.200000000004</v>
      </c>
      <c r="BB382" s="284">
        <f t="shared" ref="BB382:BB389" si="310">BC382/C382</f>
        <v>82462.880000000005</v>
      </c>
      <c r="BC382" s="284">
        <f t="shared" ref="BC382:BC389" si="311">BA382+AQ382+U382</f>
        <v>247388.64</v>
      </c>
      <c r="BD382" s="286">
        <f t="shared" si="272"/>
        <v>16492.576000000001</v>
      </c>
      <c r="BE382" s="286"/>
      <c r="BF382" s="241">
        <f t="shared" ref="BF382:BF389" si="312">IF(D382=1,BC382,0)</f>
        <v>0</v>
      </c>
      <c r="BG382" s="241">
        <f t="shared" ref="BG382:BG389" si="313">IF(E382=1,BC382,0)</f>
        <v>0</v>
      </c>
      <c r="BH382" s="241">
        <f t="shared" ref="BH382:BH389" si="314">IF(F382=1,BC382,0)</f>
        <v>0</v>
      </c>
      <c r="BI382" s="241">
        <f t="shared" ref="BI382:BI389" si="315">IF(G382=1,BC382,0)</f>
        <v>0</v>
      </c>
      <c r="BJ382" s="251">
        <f t="shared" ref="BJ382:BJ389" si="316">IF(H382=1,BC382,0)</f>
        <v>247388.64</v>
      </c>
      <c r="BK382" s="241">
        <f t="shared" ref="BK382:BK390" si="317">IF(I382=1,BC382,0)</f>
        <v>0</v>
      </c>
      <c r="BL382" s="241">
        <f t="shared" ref="BL382:BL390" si="318">IF(J382=1,BC382,0)</f>
        <v>0</v>
      </c>
      <c r="BM382" s="241">
        <f t="shared" ref="BM382:BM390" si="319">IF(K382=1,BC382,0)</f>
        <v>0</v>
      </c>
    </row>
    <row r="383" spans="1:65" s="287" customFormat="1" ht="16.5" customHeight="1" x14ac:dyDescent="0.25">
      <c r="A383" s="276"/>
      <c r="B383" s="288" t="s">
        <v>240</v>
      </c>
      <c r="C383" s="278">
        <v>8</v>
      </c>
      <c r="D383" s="279"/>
      <c r="E383" s="279"/>
      <c r="F383" s="328"/>
      <c r="G383" s="328"/>
      <c r="H383" s="279">
        <v>1</v>
      </c>
      <c r="I383" s="328"/>
      <c r="J383" s="328"/>
      <c r="K383" s="279"/>
      <c r="L383" s="277">
        <v>4</v>
      </c>
      <c r="M383" s="280">
        <f t="shared" si="297"/>
        <v>3028</v>
      </c>
      <c r="N383" s="281">
        <f t="shared" si="298"/>
        <v>2</v>
      </c>
      <c r="O383" s="277">
        <v>1.43</v>
      </c>
      <c r="P383" s="282">
        <f t="shared" si="299"/>
        <v>1.58</v>
      </c>
      <c r="Q383" s="277"/>
      <c r="R383" s="283">
        <f t="shared" si="300"/>
        <v>686</v>
      </c>
      <c r="S383" s="280">
        <f t="shared" si="303"/>
        <v>79.78425655976676</v>
      </c>
      <c r="T383" s="425">
        <f t="shared" ref="T383:T389" si="320">ROUND(M383*N383*O383*P383,0)</f>
        <v>13683</v>
      </c>
      <c r="U383" s="284">
        <f t="shared" ref="U383:U389" si="321">T383*C383*4</f>
        <v>437856</v>
      </c>
      <c r="V383" s="277">
        <v>16</v>
      </c>
      <c r="W383" s="285"/>
      <c r="X383" s="285">
        <f t="shared" si="304"/>
        <v>70056.960000000006</v>
      </c>
      <c r="Y383" s="277">
        <v>4</v>
      </c>
      <c r="Z383" s="285"/>
      <c r="AA383" s="285">
        <f>U383*Y383%</f>
        <v>17514.240000000002</v>
      </c>
      <c r="AB383" s="277">
        <v>20</v>
      </c>
      <c r="AC383" s="277"/>
      <c r="AD383" s="340">
        <f>SUM([3]ночн.празд!T9:T12)</f>
        <v>15729.052753246755</v>
      </c>
      <c r="AE383" s="341">
        <v>35</v>
      </c>
      <c r="AF383" s="340"/>
      <c r="AG383" s="340">
        <f>SUM([3]ночн.празд!U9:U12)</f>
        <v>55051.684636363629</v>
      </c>
      <c r="AH383" s="341">
        <v>200</v>
      </c>
      <c r="AI383" s="340"/>
      <c r="AJ383" s="340">
        <f>SUM([3]ночн.празд!R9:S12)</f>
        <v>39005.879318181826</v>
      </c>
      <c r="AK383" s="277"/>
      <c r="AL383" s="277"/>
      <c r="AM383" s="285">
        <f t="shared" ref="AM383:AM388" si="322">T383*AK383%*4</f>
        <v>0</v>
      </c>
      <c r="AN383" s="277"/>
      <c r="AO383" s="277"/>
      <c r="AP383" s="277"/>
      <c r="AQ383" s="284">
        <f t="shared" si="305"/>
        <v>197357.81670779223</v>
      </c>
      <c r="AR383" s="277">
        <f t="shared" si="301"/>
        <v>20</v>
      </c>
      <c r="AS383" s="277">
        <f t="shared" si="306"/>
        <v>10946.400000000001</v>
      </c>
      <c r="AT383" s="283">
        <f t="shared" si="307"/>
        <v>87571.200000000012</v>
      </c>
      <c r="AU383" s="339">
        <v>2</v>
      </c>
      <c r="AV383" s="277">
        <v>100</v>
      </c>
      <c r="AW383" s="277">
        <f t="shared" si="308"/>
        <v>27366</v>
      </c>
      <c r="AX383" s="277"/>
      <c r="AY383" s="277"/>
      <c r="AZ383" s="283"/>
      <c r="BA383" s="284">
        <f t="shared" si="309"/>
        <v>114937.20000000001</v>
      </c>
      <c r="BB383" s="284">
        <f t="shared" si="310"/>
        <v>93768.877088474022</v>
      </c>
      <c r="BC383" s="284">
        <f t="shared" si="311"/>
        <v>750151.01670779218</v>
      </c>
      <c r="BD383" s="286">
        <f t="shared" si="272"/>
        <v>18753.775417694804</v>
      </c>
      <c r="BE383" s="286"/>
      <c r="BF383" s="241">
        <f t="shared" si="312"/>
        <v>0</v>
      </c>
      <c r="BG383" s="241">
        <f t="shared" si="313"/>
        <v>0</v>
      </c>
      <c r="BH383" s="241">
        <f t="shared" si="314"/>
        <v>0</v>
      </c>
      <c r="BI383" s="241">
        <f t="shared" si="315"/>
        <v>0</v>
      </c>
      <c r="BJ383" s="251">
        <f t="shared" si="316"/>
        <v>750151.01670779218</v>
      </c>
      <c r="BK383" s="241">
        <f t="shared" si="317"/>
        <v>0</v>
      </c>
      <c r="BL383" s="241">
        <f t="shared" si="318"/>
        <v>0</v>
      </c>
      <c r="BM383" s="241">
        <f t="shared" si="319"/>
        <v>0</v>
      </c>
    </row>
    <row r="384" spans="1:65" s="287" customFormat="1" ht="16.5" customHeight="1" x14ac:dyDescent="0.25">
      <c r="A384" s="276"/>
      <c r="B384" s="288" t="s">
        <v>240</v>
      </c>
      <c r="C384" s="278">
        <v>3</v>
      </c>
      <c r="D384" s="279"/>
      <c r="E384" s="279"/>
      <c r="F384" s="328"/>
      <c r="G384" s="328"/>
      <c r="H384" s="279">
        <v>1</v>
      </c>
      <c r="I384" s="328"/>
      <c r="J384" s="328"/>
      <c r="K384" s="279"/>
      <c r="L384" s="277">
        <v>5</v>
      </c>
      <c r="M384" s="280">
        <f t="shared" si="297"/>
        <v>3028</v>
      </c>
      <c r="N384" s="281">
        <f t="shared" si="298"/>
        <v>2</v>
      </c>
      <c r="O384" s="277">
        <v>1.67</v>
      </c>
      <c r="P384" s="282">
        <f t="shared" si="299"/>
        <v>1.58</v>
      </c>
      <c r="Q384" s="277"/>
      <c r="R384" s="283">
        <f t="shared" si="300"/>
        <v>686</v>
      </c>
      <c r="S384" s="280">
        <f t="shared" si="303"/>
        <v>93.172011661807574</v>
      </c>
      <c r="T384" s="425">
        <f t="shared" si="320"/>
        <v>15979</v>
      </c>
      <c r="U384" s="284">
        <f t="shared" si="321"/>
        <v>191748</v>
      </c>
      <c r="V384" s="277">
        <v>20</v>
      </c>
      <c r="W384" s="285"/>
      <c r="X384" s="285">
        <f t="shared" si="304"/>
        <v>38349.599999999999</v>
      </c>
      <c r="Y384" s="277">
        <v>4</v>
      </c>
      <c r="Z384" s="285"/>
      <c r="AA384" s="285">
        <f>U384*Y384%</f>
        <v>7669.92</v>
      </c>
      <c r="AB384" s="277"/>
      <c r="AC384" s="277"/>
      <c r="AD384" s="277"/>
      <c r="AE384" s="277"/>
      <c r="AF384" s="277"/>
      <c r="AG384" s="277"/>
      <c r="AH384" s="277"/>
      <c r="AI384" s="277"/>
      <c r="AJ384" s="277"/>
      <c r="AK384" s="277">
        <f>(10+10+15)/3</f>
        <v>11.666666666666666</v>
      </c>
      <c r="AL384" s="277"/>
      <c r="AM384" s="342">
        <f>3*T384*AK384%*4</f>
        <v>22370.6</v>
      </c>
      <c r="AN384" s="277"/>
      <c r="AO384" s="277"/>
      <c r="AP384" s="277"/>
      <c r="AQ384" s="284">
        <f t="shared" si="305"/>
        <v>68390.12</v>
      </c>
      <c r="AR384" s="277">
        <f t="shared" si="301"/>
        <v>20</v>
      </c>
      <c r="AS384" s="277">
        <f t="shared" si="306"/>
        <v>12783.199999999999</v>
      </c>
      <c r="AT384" s="283">
        <f t="shared" si="307"/>
        <v>38349.599999999999</v>
      </c>
      <c r="AU384" s="277"/>
      <c r="AV384" s="277">
        <v>100</v>
      </c>
      <c r="AW384" s="277">
        <f t="shared" si="308"/>
        <v>0</v>
      </c>
      <c r="AX384" s="277"/>
      <c r="AY384" s="277"/>
      <c r="AZ384" s="283"/>
      <c r="BA384" s="284">
        <f t="shared" si="309"/>
        <v>38349.599999999999</v>
      </c>
      <c r="BB384" s="284">
        <f t="shared" si="310"/>
        <v>99495.906666666662</v>
      </c>
      <c r="BC384" s="284">
        <f t="shared" si="311"/>
        <v>298487.71999999997</v>
      </c>
      <c r="BD384" s="286">
        <f t="shared" si="272"/>
        <v>19899.181333333334</v>
      </c>
      <c r="BE384" s="286"/>
      <c r="BF384" s="241">
        <f t="shared" si="312"/>
        <v>0</v>
      </c>
      <c r="BG384" s="241">
        <f t="shared" si="313"/>
        <v>0</v>
      </c>
      <c r="BH384" s="241">
        <f t="shared" si="314"/>
        <v>0</v>
      </c>
      <c r="BI384" s="241">
        <f t="shared" si="315"/>
        <v>0</v>
      </c>
      <c r="BJ384" s="251">
        <f t="shared" si="316"/>
        <v>298487.71999999997</v>
      </c>
      <c r="BK384" s="241">
        <f t="shared" si="317"/>
        <v>0</v>
      </c>
      <c r="BL384" s="241">
        <f t="shared" si="318"/>
        <v>0</v>
      </c>
      <c r="BM384" s="241">
        <f t="shared" si="319"/>
        <v>0</v>
      </c>
    </row>
    <row r="385" spans="1:65" s="287" customFormat="1" ht="16.5" customHeight="1" x14ac:dyDescent="0.25">
      <c r="A385" s="276"/>
      <c r="B385" s="288" t="s">
        <v>240</v>
      </c>
      <c r="C385" s="278">
        <v>4</v>
      </c>
      <c r="D385" s="279"/>
      <c r="E385" s="279"/>
      <c r="F385" s="328"/>
      <c r="G385" s="328"/>
      <c r="H385" s="279">
        <v>1</v>
      </c>
      <c r="I385" s="328"/>
      <c r="J385" s="328"/>
      <c r="K385" s="279"/>
      <c r="L385" s="277">
        <v>5</v>
      </c>
      <c r="M385" s="280">
        <f t="shared" si="297"/>
        <v>3028</v>
      </c>
      <c r="N385" s="281">
        <f t="shared" si="298"/>
        <v>2</v>
      </c>
      <c r="O385" s="277">
        <v>1.67</v>
      </c>
      <c r="P385" s="282">
        <f t="shared" si="299"/>
        <v>1.58</v>
      </c>
      <c r="Q385" s="277"/>
      <c r="R385" s="283">
        <f t="shared" si="300"/>
        <v>686</v>
      </c>
      <c r="S385" s="280">
        <f t="shared" si="303"/>
        <v>93.172011661807574</v>
      </c>
      <c r="T385" s="425">
        <f t="shared" si="320"/>
        <v>15979</v>
      </c>
      <c r="U385" s="284">
        <f t="shared" si="321"/>
        <v>255664</v>
      </c>
      <c r="V385" s="277">
        <v>20</v>
      </c>
      <c r="W385" s="285"/>
      <c r="X385" s="285">
        <f t="shared" si="304"/>
        <v>51132.800000000003</v>
      </c>
      <c r="Y385" s="277">
        <v>4</v>
      </c>
      <c r="Z385" s="285"/>
      <c r="AA385" s="285">
        <f>U385*Y385%</f>
        <v>10226.56</v>
      </c>
      <c r="AB385" s="277">
        <v>20</v>
      </c>
      <c r="AC385" s="277"/>
      <c r="AD385" s="340">
        <f>SUM([3]ночн.празд!L9:L12)</f>
        <v>9184.1896493506501</v>
      </c>
      <c r="AE385" s="341">
        <v>35</v>
      </c>
      <c r="AF385" s="340"/>
      <c r="AG385" s="340">
        <f>SUM([3]ночн.празд!M9:M12)</f>
        <v>32144.663772727272</v>
      </c>
      <c r="AH385" s="341">
        <v>200</v>
      </c>
      <c r="AI385" s="340"/>
      <c r="AJ385" s="340">
        <f>SUM([3]ночн.празд!J9:K12)</f>
        <v>29260.765551948054</v>
      </c>
      <c r="AK385" s="277">
        <f>(7+7)/2</f>
        <v>7</v>
      </c>
      <c r="AL385" s="277"/>
      <c r="AM385" s="285">
        <f>2*T385*AK385%*4</f>
        <v>8948.2400000000016</v>
      </c>
      <c r="AN385" s="277"/>
      <c r="AO385" s="277"/>
      <c r="AP385" s="277"/>
      <c r="AQ385" s="284">
        <f t="shared" si="305"/>
        <v>140897.21897402598</v>
      </c>
      <c r="AR385" s="277">
        <f t="shared" si="301"/>
        <v>20</v>
      </c>
      <c r="AS385" s="277">
        <f t="shared" si="306"/>
        <v>12783.2</v>
      </c>
      <c r="AT385" s="283">
        <f t="shared" si="307"/>
        <v>51132.800000000003</v>
      </c>
      <c r="AU385" s="339">
        <v>2</v>
      </c>
      <c r="AV385" s="277">
        <v>100</v>
      </c>
      <c r="AW385" s="277">
        <f t="shared" si="308"/>
        <v>31958</v>
      </c>
      <c r="AX385" s="277"/>
      <c r="AY385" s="277"/>
      <c r="AZ385" s="283"/>
      <c r="BA385" s="284">
        <f t="shared" si="309"/>
        <v>83090.8</v>
      </c>
      <c r="BB385" s="284">
        <f t="shared" si="310"/>
        <v>119913.00474350649</v>
      </c>
      <c r="BC385" s="284">
        <f t="shared" si="311"/>
        <v>479652.01897402597</v>
      </c>
      <c r="BD385" s="286">
        <f t="shared" si="272"/>
        <v>23982.6009487013</v>
      </c>
      <c r="BE385" s="286"/>
      <c r="BF385" s="241">
        <f t="shared" si="312"/>
        <v>0</v>
      </c>
      <c r="BG385" s="241">
        <f t="shared" si="313"/>
        <v>0</v>
      </c>
      <c r="BH385" s="241">
        <f t="shared" si="314"/>
        <v>0</v>
      </c>
      <c r="BI385" s="241">
        <f t="shared" si="315"/>
        <v>0</v>
      </c>
      <c r="BJ385" s="251">
        <f t="shared" si="316"/>
        <v>479652.01897402597</v>
      </c>
      <c r="BK385" s="241">
        <f t="shared" si="317"/>
        <v>0</v>
      </c>
      <c r="BL385" s="241">
        <f t="shared" si="318"/>
        <v>0</v>
      </c>
      <c r="BM385" s="241">
        <f t="shared" si="319"/>
        <v>0</v>
      </c>
    </row>
    <row r="386" spans="1:65" s="287" customFormat="1" x14ac:dyDescent="0.25">
      <c r="A386" s="276"/>
      <c r="B386" s="288" t="s">
        <v>241</v>
      </c>
      <c r="C386" s="278">
        <v>2</v>
      </c>
      <c r="D386" s="279"/>
      <c r="E386" s="279"/>
      <c r="F386" s="328"/>
      <c r="G386" s="328"/>
      <c r="H386" s="279">
        <v>1</v>
      </c>
      <c r="I386" s="328"/>
      <c r="J386" s="328"/>
      <c r="K386" s="279"/>
      <c r="L386" s="277">
        <v>5</v>
      </c>
      <c r="M386" s="280">
        <f t="shared" si="297"/>
        <v>3028</v>
      </c>
      <c r="N386" s="281">
        <f t="shared" si="298"/>
        <v>2</v>
      </c>
      <c r="O386" s="277">
        <v>1.67</v>
      </c>
      <c r="P386" s="282">
        <f t="shared" si="299"/>
        <v>1.58</v>
      </c>
      <c r="Q386" s="277"/>
      <c r="R386" s="283">
        <f t="shared" si="300"/>
        <v>686</v>
      </c>
      <c r="S386" s="280">
        <f t="shared" si="303"/>
        <v>93.172011661807574</v>
      </c>
      <c r="T386" s="425">
        <f t="shared" si="320"/>
        <v>15979</v>
      </c>
      <c r="U386" s="284">
        <f t="shared" si="321"/>
        <v>127832</v>
      </c>
      <c r="V386" s="277">
        <v>20</v>
      </c>
      <c r="W386" s="285"/>
      <c r="X386" s="285">
        <f t="shared" si="304"/>
        <v>25566.400000000001</v>
      </c>
      <c r="Y386" s="277">
        <v>8</v>
      </c>
      <c r="Z386" s="285"/>
      <c r="AA386" s="285">
        <f>U386*Y386%</f>
        <v>10226.56</v>
      </c>
      <c r="AB386" s="277"/>
      <c r="AC386" s="277"/>
      <c r="AD386" s="277"/>
      <c r="AE386" s="277"/>
      <c r="AF386" s="277"/>
      <c r="AG386" s="277"/>
      <c r="AH386" s="277"/>
      <c r="AI386" s="277"/>
      <c r="AJ386" s="277"/>
      <c r="AK386" s="277">
        <f>(30+10)/2</f>
        <v>20</v>
      </c>
      <c r="AL386" s="277"/>
      <c r="AM386" s="342">
        <f>2*T386*AK386%*4</f>
        <v>25566.400000000001</v>
      </c>
      <c r="AN386" s="277"/>
      <c r="AO386" s="277"/>
      <c r="AP386" s="277"/>
      <c r="AQ386" s="284">
        <f t="shared" si="305"/>
        <v>61359.360000000001</v>
      </c>
      <c r="AR386" s="277">
        <f t="shared" si="301"/>
        <v>20</v>
      </c>
      <c r="AS386" s="277">
        <f t="shared" si="306"/>
        <v>12783.2</v>
      </c>
      <c r="AT386" s="283">
        <f t="shared" si="307"/>
        <v>25566.400000000001</v>
      </c>
      <c r="AU386" s="277">
        <v>2</v>
      </c>
      <c r="AV386" s="277">
        <v>100</v>
      </c>
      <c r="AW386" s="277">
        <f t="shared" si="308"/>
        <v>31958</v>
      </c>
      <c r="AX386" s="277"/>
      <c r="AY386" s="277"/>
      <c r="AZ386" s="283"/>
      <c r="BA386" s="284">
        <f t="shared" si="309"/>
        <v>57524.4</v>
      </c>
      <c r="BB386" s="284">
        <f t="shared" si="310"/>
        <v>123357.88</v>
      </c>
      <c r="BC386" s="284">
        <f t="shared" si="311"/>
        <v>246715.76</v>
      </c>
      <c r="BD386" s="286">
        <f t="shared" si="272"/>
        <v>24671.576000000001</v>
      </c>
      <c r="BE386" s="286"/>
      <c r="BF386" s="251">
        <f t="shared" si="312"/>
        <v>0</v>
      </c>
      <c r="BG386" s="251">
        <f t="shared" si="313"/>
        <v>0</v>
      </c>
      <c r="BH386" s="251">
        <f t="shared" si="314"/>
        <v>0</v>
      </c>
      <c r="BI386" s="251">
        <f t="shared" si="315"/>
        <v>0</v>
      </c>
      <c r="BJ386" s="251">
        <f t="shared" si="316"/>
        <v>246715.76</v>
      </c>
      <c r="BK386" s="251">
        <f t="shared" si="317"/>
        <v>0</v>
      </c>
      <c r="BL386" s="251">
        <f t="shared" si="318"/>
        <v>0</v>
      </c>
      <c r="BM386" s="251">
        <f t="shared" si="319"/>
        <v>0</v>
      </c>
    </row>
    <row r="387" spans="1:65" x14ac:dyDescent="0.25">
      <c r="A387" s="344"/>
      <c r="B387" s="288" t="s">
        <v>243</v>
      </c>
      <c r="C387" s="393">
        <v>1</v>
      </c>
      <c r="D387" s="279"/>
      <c r="E387" s="279"/>
      <c r="F387" s="328"/>
      <c r="G387" s="328"/>
      <c r="H387" s="279">
        <v>1</v>
      </c>
      <c r="I387" s="328"/>
      <c r="J387" s="328"/>
      <c r="K387" s="279"/>
      <c r="L387" s="277"/>
      <c r="M387" s="280">
        <f>M$356</f>
        <v>3028</v>
      </c>
      <c r="N387" s="281">
        <f>N$244</f>
        <v>2</v>
      </c>
      <c r="O387" s="277">
        <v>1.86</v>
      </c>
      <c r="P387" s="302">
        <v>1</v>
      </c>
      <c r="Q387" s="277"/>
      <c r="R387" s="283">
        <f t="shared" si="300"/>
        <v>686</v>
      </c>
      <c r="S387" s="280">
        <f t="shared" si="303"/>
        <v>65.679300291545189</v>
      </c>
      <c r="T387" s="425">
        <f t="shared" si="320"/>
        <v>11264</v>
      </c>
      <c r="U387" s="284">
        <f t="shared" si="321"/>
        <v>45056</v>
      </c>
      <c r="V387" s="277"/>
      <c r="W387" s="285"/>
      <c r="X387" s="285">
        <f t="shared" si="304"/>
        <v>0</v>
      </c>
      <c r="Y387" s="277"/>
      <c r="Z387" s="277"/>
      <c r="AA387" s="277"/>
      <c r="AB387" s="345"/>
      <c r="AC387" s="345"/>
      <c r="AD387" s="345"/>
      <c r="AE387" s="345"/>
      <c r="AF387" s="345"/>
      <c r="AG387" s="345"/>
      <c r="AH387" s="345"/>
      <c r="AI387" s="345"/>
      <c r="AJ387" s="345"/>
      <c r="AK387" s="277"/>
      <c r="AL387" s="285"/>
      <c r="AM387" s="285">
        <f t="shared" si="322"/>
        <v>0</v>
      </c>
      <c r="AN387" s="277">
        <v>25</v>
      </c>
      <c r="AO387" s="285"/>
      <c r="AP387" s="285">
        <f>U387*AN387%</f>
        <v>11264</v>
      </c>
      <c r="AQ387" s="284">
        <f t="shared" si="305"/>
        <v>11264</v>
      </c>
      <c r="AR387" s="277">
        <f t="shared" si="301"/>
        <v>20</v>
      </c>
      <c r="AS387" s="277">
        <f t="shared" si="306"/>
        <v>9011.2000000000007</v>
      </c>
      <c r="AT387" s="283">
        <f t="shared" si="307"/>
        <v>9011.2000000000007</v>
      </c>
      <c r="AU387" s="277"/>
      <c r="AV387" s="277">
        <v>100</v>
      </c>
      <c r="AW387" s="277">
        <f t="shared" si="308"/>
        <v>0</v>
      </c>
      <c r="AX387" s="277"/>
      <c r="AY387" s="277"/>
      <c r="AZ387" s="280">
        <v>0</v>
      </c>
      <c r="BA387" s="284">
        <f t="shared" si="309"/>
        <v>9011.2000000000007</v>
      </c>
      <c r="BB387" s="284">
        <f t="shared" si="310"/>
        <v>65331.199999999997</v>
      </c>
      <c r="BC387" s="284">
        <f t="shared" si="311"/>
        <v>65331.199999999997</v>
      </c>
      <c r="BD387" s="286">
        <f t="shared" si="272"/>
        <v>13066.24</v>
      </c>
      <c r="BE387" s="286"/>
      <c r="BF387" s="251">
        <f t="shared" si="312"/>
        <v>0</v>
      </c>
      <c r="BG387" s="251">
        <f t="shared" si="313"/>
        <v>0</v>
      </c>
      <c r="BH387" s="251">
        <f t="shared" si="314"/>
        <v>0</v>
      </c>
      <c r="BI387" s="251">
        <f t="shared" si="315"/>
        <v>0</v>
      </c>
      <c r="BJ387" s="251">
        <f t="shared" si="316"/>
        <v>65331.199999999997</v>
      </c>
      <c r="BK387" s="251">
        <f t="shared" si="317"/>
        <v>0</v>
      </c>
      <c r="BL387" s="251">
        <f t="shared" si="318"/>
        <v>0</v>
      </c>
      <c r="BM387" s="251">
        <f t="shared" si="319"/>
        <v>0</v>
      </c>
    </row>
    <row r="388" spans="1:65" x14ac:dyDescent="0.25">
      <c r="A388" s="344"/>
      <c r="B388" s="288" t="s">
        <v>243</v>
      </c>
      <c r="C388" s="393">
        <v>1</v>
      </c>
      <c r="D388" s="279"/>
      <c r="E388" s="279"/>
      <c r="F388" s="328"/>
      <c r="G388" s="328"/>
      <c r="H388" s="279">
        <v>1</v>
      </c>
      <c r="I388" s="328"/>
      <c r="J388" s="328"/>
      <c r="K388" s="279"/>
      <c r="L388" s="277"/>
      <c r="M388" s="280">
        <f>M$356</f>
        <v>3028</v>
      </c>
      <c r="N388" s="281">
        <f>N$244</f>
        <v>2</v>
      </c>
      <c r="O388" s="277">
        <v>1.8</v>
      </c>
      <c r="P388" s="302">
        <v>1</v>
      </c>
      <c r="Q388" s="277"/>
      <c r="R388" s="283">
        <f t="shared" si="300"/>
        <v>686</v>
      </c>
      <c r="S388" s="280">
        <f t="shared" si="303"/>
        <v>63.562682215743443</v>
      </c>
      <c r="T388" s="425">
        <f>ROUND(M388*N388*O388*P388,0)</f>
        <v>10901</v>
      </c>
      <c r="U388" s="284">
        <f t="shared" si="321"/>
        <v>43604</v>
      </c>
      <c r="V388" s="277"/>
      <c r="W388" s="285"/>
      <c r="X388" s="285">
        <f>U388*V388%</f>
        <v>0</v>
      </c>
      <c r="Y388" s="277"/>
      <c r="Z388" s="277"/>
      <c r="AA388" s="277"/>
      <c r="AB388" s="345"/>
      <c r="AC388" s="345"/>
      <c r="AD388" s="345"/>
      <c r="AE388" s="345"/>
      <c r="AF388" s="345"/>
      <c r="AG388" s="345"/>
      <c r="AH388" s="345"/>
      <c r="AI388" s="345"/>
      <c r="AJ388" s="345"/>
      <c r="AK388" s="277">
        <v>7</v>
      </c>
      <c r="AL388" s="285"/>
      <c r="AM388" s="285">
        <f t="shared" si="322"/>
        <v>3052.28</v>
      </c>
      <c r="AN388" s="277">
        <v>25</v>
      </c>
      <c r="AO388" s="285"/>
      <c r="AP388" s="285">
        <f>U388*AN388%</f>
        <v>10901</v>
      </c>
      <c r="AQ388" s="284">
        <f t="shared" si="305"/>
        <v>13953.28</v>
      </c>
      <c r="AR388" s="277">
        <f t="shared" si="301"/>
        <v>20</v>
      </c>
      <c r="AS388" s="277">
        <f t="shared" si="306"/>
        <v>8720.8000000000011</v>
      </c>
      <c r="AT388" s="283">
        <f t="shared" si="307"/>
        <v>8720.8000000000011</v>
      </c>
      <c r="AU388" s="277"/>
      <c r="AV388" s="277">
        <v>100</v>
      </c>
      <c r="AW388" s="277">
        <f t="shared" si="308"/>
        <v>0</v>
      </c>
      <c r="AX388" s="277"/>
      <c r="AY388" s="277"/>
      <c r="AZ388" s="280">
        <v>0</v>
      </c>
      <c r="BA388" s="284">
        <f>AT388+AW388+AZ388</f>
        <v>8720.8000000000011</v>
      </c>
      <c r="BB388" s="284">
        <f t="shared" si="310"/>
        <v>66278.080000000002</v>
      </c>
      <c r="BC388" s="284">
        <f t="shared" si="311"/>
        <v>66278.080000000002</v>
      </c>
      <c r="BD388" s="286">
        <f t="shared" si="272"/>
        <v>13255.616</v>
      </c>
      <c r="BE388" s="286"/>
      <c r="BF388" s="251">
        <f t="shared" si="312"/>
        <v>0</v>
      </c>
      <c r="BG388" s="251">
        <f t="shared" si="313"/>
        <v>0</v>
      </c>
      <c r="BH388" s="251">
        <f t="shared" si="314"/>
        <v>0</v>
      </c>
      <c r="BI388" s="251">
        <f t="shared" si="315"/>
        <v>0</v>
      </c>
      <c r="BJ388" s="251">
        <f t="shared" si="316"/>
        <v>66278.080000000002</v>
      </c>
      <c r="BK388" s="251">
        <f t="shared" si="317"/>
        <v>0</v>
      </c>
      <c r="BL388" s="251">
        <f t="shared" si="318"/>
        <v>0</v>
      </c>
      <c r="BM388" s="251">
        <f t="shared" si="319"/>
        <v>0</v>
      </c>
    </row>
    <row r="389" spans="1:65" x14ac:dyDescent="0.25">
      <c r="A389" s="344"/>
      <c r="B389" s="288" t="s">
        <v>244</v>
      </c>
      <c r="C389" s="393">
        <v>1</v>
      </c>
      <c r="D389" s="279"/>
      <c r="E389" s="279"/>
      <c r="F389" s="328"/>
      <c r="G389" s="328"/>
      <c r="H389" s="279">
        <v>1</v>
      </c>
      <c r="I389" s="328"/>
      <c r="J389" s="328"/>
      <c r="K389" s="279"/>
      <c r="L389" s="277">
        <v>5</v>
      </c>
      <c r="M389" s="280">
        <f>M$356</f>
        <v>3028</v>
      </c>
      <c r="N389" s="281">
        <f>N$244</f>
        <v>2</v>
      </c>
      <c r="O389" s="277">
        <v>1.67</v>
      </c>
      <c r="P389" s="282">
        <f>P$244</f>
        <v>1.58</v>
      </c>
      <c r="Q389" s="277"/>
      <c r="R389" s="283">
        <f t="shared" si="300"/>
        <v>686</v>
      </c>
      <c r="S389" s="280">
        <f t="shared" si="303"/>
        <v>93.172011661807574</v>
      </c>
      <c r="T389" s="425">
        <f t="shared" si="320"/>
        <v>15979</v>
      </c>
      <c r="U389" s="284">
        <f t="shared" si="321"/>
        <v>63916</v>
      </c>
      <c r="V389" s="277">
        <v>20</v>
      </c>
      <c r="W389" s="285"/>
      <c r="X389" s="285">
        <f t="shared" si="304"/>
        <v>12783.2</v>
      </c>
      <c r="Y389" s="277"/>
      <c r="Z389" s="277"/>
      <c r="AA389" s="277"/>
      <c r="AB389" s="345"/>
      <c r="AC389" s="345"/>
      <c r="AD389" s="345"/>
      <c r="AE389" s="345"/>
      <c r="AF389" s="345"/>
      <c r="AG389" s="345"/>
      <c r="AH389" s="345"/>
      <c r="AI389" s="345"/>
      <c r="AJ389" s="345"/>
      <c r="AK389" s="277">
        <v>15</v>
      </c>
      <c r="AL389" s="277"/>
      <c r="AM389" s="342">
        <f>T389*AK389%*4</f>
        <v>9587.4</v>
      </c>
      <c r="AN389" s="345"/>
      <c r="AO389" s="345"/>
      <c r="AP389" s="345"/>
      <c r="AQ389" s="284">
        <f t="shared" si="305"/>
        <v>22370.6</v>
      </c>
      <c r="AR389" s="277">
        <v>20</v>
      </c>
      <c r="AS389" s="277">
        <f t="shared" si="306"/>
        <v>12783.2</v>
      </c>
      <c r="AT389" s="283">
        <f t="shared" si="307"/>
        <v>12783.2</v>
      </c>
      <c r="AU389" s="277"/>
      <c r="AV389" s="277">
        <v>100</v>
      </c>
      <c r="AW389" s="277">
        <f t="shared" si="308"/>
        <v>0</v>
      </c>
      <c r="AX389" s="277"/>
      <c r="AY389" s="277"/>
      <c r="AZ389" s="283"/>
      <c r="BA389" s="284">
        <f t="shared" si="309"/>
        <v>12783.2</v>
      </c>
      <c r="BB389" s="284">
        <f t="shared" si="310"/>
        <v>99069.8</v>
      </c>
      <c r="BC389" s="284">
        <f t="shared" si="311"/>
        <v>99069.8</v>
      </c>
      <c r="BD389" s="286">
        <f t="shared" si="272"/>
        <v>19813.96</v>
      </c>
      <c r="BE389" s="286"/>
      <c r="BF389" s="251">
        <f t="shared" si="312"/>
        <v>0</v>
      </c>
      <c r="BG389" s="251">
        <f t="shared" si="313"/>
        <v>0</v>
      </c>
      <c r="BH389" s="251">
        <f t="shared" si="314"/>
        <v>0</v>
      </c>
      <c r="BI389" s="251">
        <f t="shared" si="315"/>
        <v>0</v>
      </c>
      <c r="BJ389" s="251">
        <f t="shared" si="316"/>
        <v>99069.8</v>
      </c>
      <c r="BK389" s="251">
        <f t="shared" si="317"/>
        <v>0</v>
      </c>
      <c r="BL389" s="251">
        <f t="shared" si="318"/>
        <v>0</v>
      </c>
      <c r="BM389" s="251">
        <f t="shared" si="319"/>
        <v>0</v>
      </c>
    </row>
    <row r="390" spans="1:65" ht="8.25" hidden="1" customHeight="1" x14ac:dyDescent="0.25">
      <c r="A390" s="344"/>
      <c r="B390" s="346" t="s">
        <v>245</v>
      </c>
      <c r="C390" s="345"/>
      <c r="D390" s="328"/>
      <c r="E390" s="328"/>
      <c r="F390" s="328"/>
      <c r="G390" s="328"/>
      <c r="H390" s="328"/>
      <c r="I390" s="328"/>
      <c r="J390" s="328"/>
      <c r="K390" s="328"/>
      <c r="L390" s="345"/>
      <c r="M390" s="347"/>
      <c r="N390" s="345"/>
      <c r="O390" s="345"/>
      <c r="P390" s="345"/>
      <c r="Q390" s="345"/>
      <c r="R390" s="347"/>
      <c r="S390" s="347"/>
      <c r="T390" s="345"/>
      <c r="U390" s="348"/>
      <c r="V390" s="345"/>
      <c r="W390" s="345"/>
      <c r="X390" s="345"/>
      <c r="Y390" s="345"/>
      <c r="Z390" s="345"/>
      <c r="AA390" s="345"/>
      <c r="AB390" s="345"/>
      <c r="AC390" s="345"/>
      <c r="AD390" s="345"/>
      <c r="AE390" s="345"/>
      <c r="AF390" s="345"/>
      <c r="AG390" s="345"/>
      <c r="AH390" s="345"/>
      <c r="AI390" s="345"/>
      <c r="AJ390" s="345"/>
      <c r="AK390" s="345"/>
      <c r="AL390" s="345"/>
      <c r="AM390" s="345"/>
      <c r="AN390" s="345"/>
      <c r="AO390" s="345"/>
      <c r="AP390" s="345"/>
      <c r="AQ390" s="284">
        <f t="shared" si="305"/>
        <v>0</v>
      </c>
      <c r="AR390" s="345"/>
      <c r="AS390" s="345"/>
      <c r="AT390" s="347"/>
      <c r="AU390" s="345"/>
      <c r="AV390" s="345"/>
      <c r="AW390" s="345"/>
      <c r="AX390" s="345"/>
      <c r="AY390" s="345"/>
      <c r="AZ390" s="347"/>
      <c r="BA390" s="330"/>
      <c r="BB390" s="330"/>
      <c r="BC390" s="330"/>
      <c r="BD390" s="286"/>
      <c r="BK390" s="241">
        <f t="shared" si="317"/>
        <v>0</v>
      </c>
      <c r="BL390" s="241">
        <f t="shared" si="318"/>
        <v>0</v>
      </c>
      <c r="BM390" s="241">
        <f t="shared" si="319"/>
        <v>0</v>
      </c>
    </row>
    <row r="391" spans="1:65" s="316" customFormat="1" ht="22.9" customHeight="1" x14ac:dyDescent="0.25">
      <c r="A391" s="306"/>
      <c r="B391" s="307" t="s">
        <v>229</v>
      </c>
      <c r="C391" s="308">
        <f>SUM(C382:C389)</f>
        <v>23</v>
      </c>
      <c r="D391" s="309"/>
      <c r="E391" s="309"/>
      <c r="F391" s="309"/>
      <c r="G391" s="309"/>
      <c r="H391" s="309"/>
      <c r="I391" s="309"/>
      <c r="J391" s="309"/>
      <c r="K391" s="309"/>
      <c r="L391" s="309"/>
      <c r="M391" s="310"/>
      <c r="N391" s="309"/>
      <c r="O391" s="309"/>
      <c r="P391" s="309"/>
      <c r="Q391" s="309"/>
      <c r="R391" s="310"/>
      <c r="S391" s="310"/>
      <c r="T391" s="349">
        <f>U391/4</f>
        <v>332468</v>
      </c>
      <c r="U391" s="329">
        <f>SUM(U382:U390)</f>
        <v>1329872</v>
      </c>
      <c r="V391" s="309"/>
      <c r="W391" s="309"/>
      <c r="X391" s="329">
        <f>SUM(X382:X389)</f>
        <v>224160.32000000004</v>
      </c>
      <c r="Y391" s="329"/>
      <c r="Z391" s="329"/>
      <c r="AA391" s="329">
        <f>SUM(AA382:AA389)</f>
        <v>52205.119999999995</v>
      </c>
      <c r="AB391" s="329"/>
      <c r="AC391" s="329"/>
      <c r="AD391" s="329">
        <f>SUM(AD382:AD389)</f>
        <v>24913.242402597403</v>
      </c>
      <c r="AE391" s="329"/>
      <c r="AF391" s="329"/>
      <c r="AG391" s="329">
        <f>SUM(AG382:AG389)</f>
        <v>87196.348409090904</v>
      </c>
      <c r="AH391" s="329"/>
      <c r="AI391" s="329"/>
      <c r="AJ391" s="329">
        <f>SUM(AJ382:AJ389)</f>
        <v>68266.64487012988</v>
      </c>
      <c r="AK391" s="329"/>
      <c r="AL391" s="329"/>
      <c r="AM391" s="329">
        <f>SUM(AM382:AM389)</f>
        <v>73356.160000000003</v>
      </c>
      <c r="AN391" s="329"/>
      <c r="AO391" s="329"/>
      <c r="AP391" s="329">
        <f>SUM(AP382:AP389)</f>
        <v>22165</v>
      </c>
      <c r="AQ391" s="329">
        <f>SUM(AQ382:AQ389)</f>
        <v>552262.83568181819</v>
      </c>
      <c r="AR391" s="329"/>
      <c r="AS391" s="329">
        <f>SUM(AS382:AS389)</f>
        <v>90757.599999999991</v>
      </c>
      <c r="AT391" s="329">
        <f>SUM(AT382:AT389)</f>
        <v>265974.40000000002</v>
      </c>
      <c r="AU391" s="329">
        <f>SUM(AU382:AU389)</f>
        <v>7</v>
      </c>
      <c r="AV391" s="329"/>
      <c r="AW391" s="329">
        <f>SUM(AW382:AW389)</f>
        <v>104965</v>
      </c>
      <c r="AX391" s="329"/>
      <c r="AY391" s="329">
        <f>SUM(AY382:AY389)</f>
        <v>0</v>
      </c>
      <c r="AZ391" s="329">
        <f>SUM(AZ382:AZ389)</f>
        <v>0</v>
      </c>
      <c r="BA391" s="329">
        <f>SUM(BA382:BA389)</f>
        <v>370939.40000000008</v>
      </c>
      <c r="BB391" s="329">
        <f>SUM(BB382:BB389)</f>
        <v>749677.62849864713</v>
      </c>
      <c r="BC391" s="329">
        <f>SUM(BC382:BC389)</f>
        <v>2253074.2356818179</v>
      </c>
      <c r="BD391" s="286">
        <f t="shared" si="272"/>
        <v>19591.949875494069</v>
      </c>
      <c r="BE391" s="323"/>
      <c r="BF391" s="316">
        <f t="shared" ref="BF391:BM391" si="323">SUM(BF382:BF389)</f>
        <v>0</v>
      </c>
      <c r="BG391" s="316">
        <f t="shared" si="323"/>
        <v>0</v>
      </c>
      <c r="BH391" s="316">
        <f t="shared" si="323"/>
        <v>0</v>
      </c>
      <c r="BI391" s="316">
        <f t="shared" si="323"/>
        <v>0</v>
      </c>
      <c r="BJ391" s="316">
        <f t="shared" si="323"/>
        <v>2253074.2356818179</v>
      </c>
      <c r="BK391" s="316">
        <f t="shared" si="323"/>
        <v>0</v>
      </c>
      <c r="BL391" s="316">
        <f t="shared" si="323"/>
        <v>0</v>
      </c>
      <c r="BM391" s="316">
        <f t="shared" si="323"/>
        <v>0</v>
      </c>
    </row>
    <row r="392" spans="1:65" s="287" customFormat="1" ht="11.25" hidden="1" customHeight="1" x14ac:dyDescent="0.25">
      <c r="A392" s="276"/>
      <c r="B392" s="317"/>
      <c r="C392" s="350"/>
      <c r="D392" s="351"/>
      <c r="E392" s="351"/>
      <c r="F392" s="351"/>
      <c r="G392" s="351"/>
      <c r="H392" s="351"/>
      <c r="I392" s="351"/>
      <c r="J392" s="351"/>
      <c r="K392" s="351"/>
      <c r="L392" s="352"/>
      <c r="M392" s="353"/>
      <c r="N392" s="352"/>
      <c r="O392" s="352"/>
      <c r="P392" s="354"/>
      <c r="Q392" s="352"/>
      <c r="R392" s="353"/>
      <c r="S392" s="353"/>
      <c r="T392" s="355"/>
      <c r="U392" s="356"/>
      <c r="V392" s="352"/>
      <c r="W392" s="352"/>
      <c r="X392" s="356"/>
      <c r="Y392" s="356"/>
      <c r="Z392" s="356"/>
      <c r="AA392" s="356"/>
      <c r="AB392" s="356"/>
      <c r="AC392" s="356"/>
      <c r="AD392" s="356"/>
      <c r="AE392" s="356"/>
      <c r="AF392" s="356"/>
      <c r="AG392" s="356"/>
      <c r="AH392" s="356"/>
      <c r="AI392" s="356"/>
      <c r="AJ392" s="356"/>
      <c r="AK392" s="356"/>
      <c r="AL392" s="356"/>
      <c r="AM392" s="356"/>
      <c r="AN392" s="356"/>
      <c r="AO392" s="356"/>
      <c r="AP392" s="356"/>
      <c r="AQ392" s="356"/>
      <c r="AR392" s="352"/>
      <c r="AS392" s="352"/>
      <c r="AT392" s="353"/>
      <c r="AU392" s="352"/>
      <c r="AV392" s="352"/>
      <c r="AW392" s="352"/>
      <c r="AX392" s="352"/>
      <c r="AY392" s="352"/>
      <c r="AZ392" s="353"/>
      <c r="BA392" s="356"/>
      <c r="BB392" s="356"/>
      <c r="BC392" s="459">
        <f>BC391+BC377</f>
        <v>2354882.2356818179</v>
      </c>
      <c r="BD392" s="286"/>
      <c r="BE392" s="286"/>
    </row>
    <row r="393" spans="1:65" s="287" customFormat="1" ht="29.25" customHeight="1" x14ac:dyDescent="0.25">
      <c r="A393" s="270"/>
      <c r="B393" s="361" t="s">
        <v>246</v>
      </c>
      <c r="C393" s="335"/>
      <c r="D393" s="335"/>
      <c r="E393" s="335"/>
      <c r="F393" s="335"/>
      <c r="G393" s="335"/>
      <c r="H393" s="335"/>
      <c r="I393" s="335"/>
      <c r="J393" s="335"/>
      <c r="K393" s="335"/>
      <c r="L393" s="335"/>
      <c r="M393" s="335"/>
      <c r="N393" s="335"/>
      <c r="O393" s="335"/>
      <c r="P393" s="335"/>
      <c r="Q393" s="335"/>
      <c r="R393" s="335"/>
      <c r="S393" s="335"/>
      <c r="T393" s="335"/>
      <c r="U393" s="335"/>
      <c r="V393" s="335"/>
      <c r="W393" s="335"/>
      <c r="X393" s="335"/>
      <c r="Y393" s="335"/>
      <c r="Z393" s="335"/>
      <c r="AA393" s="335"/>
      <c r="AB393" s="335"/>
      <c r="AC393" s="335"/>
      <c r="AD393" s="335"/>
      <c r="AE393" s="335"/>
      <c r="AF393" s="335"/>
      <c r="AG393" s="335"/>
      <c r="AH393" s="335"/>
      <c r="AI393" s="335"/>
      <c r="AJ393" s="335"/>
      <c r="AK393" s="335"/>
      <c r="AL393" s="335"/>
      <c r="AM393" s="335"/>
      <c r="AN393" s="335"/>
      <c r="AO393" s="335"/>
      <c r="AP393" s="335"/>
      <c r="AQ393" s="335"/>
      <c r="AR393" s="335"/>
      <c r="AS393" s="335"/>
      <c r="AT393" s="335"/>
      <c r="AU393" s="335"/>
      <c r="AV393" s="335"/>
      <c r="AW393" s="335"/>
      <c r="AX393" s="335"/>
      <c r="AY393" s="335"/>
      <c r="AZ393" s="335"/>
      <c r="BA393" s="335"/>
      <c r="BB393" s="335"/>
      <c r="BC393" s="362"/>
      <c r="BD393" s="286"/>
      <c r="BE393" s="274"/>
      <c r="BF393" s="338" t="e">
        <f>BC400-#REF!</f>
        <v>#REF!</v>
      </c>
    </row>
    <row r="394" spans="1:65" s="275" customFormat="1" ht="18.75" customHeight="1" x14ac:dyDescent="0.25">
      <c r="A394" s="270"/>
      <c r="B394" s="361" t="s">
        <v>247</v>
      </c>
      <c r="C394" s="335"/>
      <c r="D394" s="335"/>
      <c r="E394" s="335"/>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c r="AM394" s="335"/>
      <c r="AN394" s="335"/>
      <c r="AO394" s="335"/>
      <c r="AP394" s="335"/>
      <c r="AQ394" s="335"/>
      <c r="AR394" s="335"/>
      <c r="AS394" s="335"/>
      <c r="AT394" s="335"/>
      <c r="AU394" s="335"/>
      <c r="AV394" s="335"/>
      <c r="AW394" s="335"/>
      <c r="AX394" s="335"/>
      <c r="AY394" s="335"/>
      <c r="AZ394" s="335"/>
      <c r="BA394" s="335"/>
      <c r="BB394" s="335"/>
      <c r="BC394" s="362"/>
      <c r="BD394" s="286"/>
      <c r="BE394" s="274"/>
    </row>
    <row r="395" spans="1:65" s="287" customFormat="1" ht="14.25" x14ac:dyDescent="0.25">
      <c r="A395" s="276"/>
      <c r="B395" s="277" t="s">
        <v>248</v>
      </c>
      <c r="C395" s="278">
        <f>'[4]ФОТ2014 общ (2)'!$C$61</f>
        <v>4</v>
      </c>
      <c r="D395" s="279"/>
      <c r="E395" s="279"/>
      <c r="F395" s="279"/>
      <c r="G395" s="279"/>
      <c r="H395" s="279">
        <v>1</v>
      </c>
      <c r="I395" s="279"/>
      <c r="J395" s="279"/>
      <c r="K395" s="279"/>
      <c r="L395" s="277">
        <v>3</v>
      </c>
      <c r="M395" s="280">
        <f t="shared" ref="M395:M400" si="324">M$356</f>
        <v>3028</v>
      </c>
      <c r="N395" s="281">
        <f t="shared" ref="N395:N400" si="325">N$244</f>
        <v>2</v>
      </c>
      <c r="O395" s="277">
        <v>1.25</v>
      </c>
      <c r="P395" s="282">
        <f>P$244</f>
        <v>1.58</v>
      </c>
      <c r="Q395" s="277"/>
      <c r="R395" s="283">
        <f t="shared" ref="R395:R400" si="326">$R$352</f>
        <v>686</v>
      </c>
      <c r="S395" s="280">
        <f t="shared" ref="S395:S400" si="327">T395/(R395/4)</f>
        <v>69.743440233236157</v>
      </c>
      <c r="T395" s="425">
        <f t="shared" ref="T395:T400" si="328">ROUND(M395*N395*O395*P395,0)</f>
        <v>11961</v>
      </c>
      <c r="U395" s="284">
        <f t="shared" ref="U395:U400" si="329">T395*C395*4</f>
        <v>191376</v>
      </c>
      <c r="V395" s="277">
        <v>12</v>
      </c>
      <c r="W395" s="285"/>
      <c r="X395" s="285">
        <f t="shared" ref="X395:X400" si="330">U395*V395%</f>
        <v>22965.119999999999</v>
      </c>
      <c r="Y395" s="277"/>
      <c r="Z395" s="277"/>
      <c r="AA395" s="277"/>
      <c r="AB395" s="277">
        <v>20</v>
      </c>
      <c r="AC395" s="277"/>
      <c r="AD395" s="340">
        <f>SUM([3]ночн.празд!D9:D12)</f>
        <v>6874.7789220779223</v>
      </c>
      <c r="AE395" s="341">
        <v>35</v>
      </c>
      <c r="AF395" s="340"/>
      <c r="AG395" s="340">
        <f>SUM([3]ночн.празд!E9:E12)</f>
        <v>24061.726227272724</v>
      </c>
      <c r="AH395" s="341">
        <v>200</v>
      </c>
      <c r="AI395" s="340"/>
      <c r="AJ395" s="340">
        <f>SUM([3]ночн.празд!B9:C12)</f>
        <v>21902.998733766231</v>
      </c>
      <c r="AK395" s="277">
        <f>(30+25+10+20)/4</f>
        <v>21.25</v>
      </c>
      <c r="AL395" s="277"/>
      <c r="AM395" s="342">
        <f>4*T395*AK395%*4</f>
        <v>40667.4</v>
      </c>
      <c r="AN395" s="277"/>
      <c r="AO395" s="277"/>
      <c r="AP395" s="285"/>
      <c r="AQ395" s="284">
        <f t="shared" ref="AQ395:AQ401" si="331">X395+AA395+AD395+AG395+AJ395+AM395+AP395</f>
        <v>116472.02388311687</v>
      </c>
      <c r="AR395" s="277">
        <f t="shared" ref="AR395:AR400" si="332">AR$29</f>
        <v>20</v>
      </c>
      <c r="AS395" s="285">
        <f t="shared" ref="AS395:AS400" si="333">AT395/C395</f>
        <v>9568.8000000000011</v>
      </c>
      <c r="AT395" s="280">
        <f t="shared" ref="AT395:AT400" si="334">(U395)*AR395%</f>
        <v>38275.200000000004</v>
      </c>
      <c r="AU395" s="277"/>
      <c r="AV395" s="277">
        <v>100</v>
      </c>
      <c r="AW395" s="277">
        <f t="shared" ref="AW395:AW400" si="335">AU395*T395</f>
        <v>0</v>
      </c>
      <c r="AX395" s="277"/>
      <c r="AY395" s="285"/>
      <c r="AZ395" s="280"/>
      <c r="BA395" s="284">
        <f t="shared" ref="BA395:BA400" si="336">AT395+AW395+AZ395</f>
        <v>38275.200000000004</v>
      </c>
      <c r="BB395" s="363">
        <f t="shared" ref="BB395:BB400" si="337">BC395/C395</f>
        <v>86530.805970779213</v>
      </c>
      <c r="BC395" s="284">
        <f t="shared" ref="BC395:BC400" si="338">BA395+AQ395+U395</f>
        <v>346123.22388311685</v>
      </c>
      <c r="BD395" s="286">
        <f t="shared" si="272"/>
        <v>17306.161194155844</v>
      </c>
      <c r="BE395" s="286"/>
    </row>
    <row r="396" spans="1:65" s="377" customFormat="1" x14ac:dyDescent="0.25">
      <c r="A396" s="375"/>
      <c r="B396" s="290" t="s">
        <v>249</v>
      </c>
      <c r="C396" s="376">
        <v>1</v>
      </c>
      <c r="D396" s="292"/>
      <c r="E396" s="292"/>
      <c r="F396" s="292"/>
      <c r="G396" s="292"/>
      <c r="H396" s="292">
        <v>1</v>
      </c>
      <c r="I396" s="292"/>
      <c r="J396" s="292"/>
      <c r="K396" s="292"/>
      <c r="L396" s="293">
        <v>4</v>
      </c>
      <c r="M396" s="294">
        <f t="shared" si="324"/>
        <v>3028</v>
      </c>
      <c r="N396" s="429">
        <f t="shared" si="325"/>
        <v>2</v>
      </c>
      <c r="O396" s="293">
        <v>1.43</v>
      </c>
      <c r="P396" s="295">
        <f>P$244</f>
        <v>1.58</v>
      </c>
      <c r="Q396" s="293"/>
      <c r="R396" s="296">
        <f t="shared" si="326"/>
        <v>686</v>
      </c>
      <c r="S396" s="294">
        <f t="shared" si="327"/>
        <v>79.78425655976676</v>
      </c>
      <c r="T396" s="291">
        <f t="shared" si="328"/>
        <v>13683</v>
      </c>
      <c r="U396" s="297">
        <f t="shared" si="329"/>
        <v>54732</v>
      </c>
      <c r="V396" s="293">
        <v>16</v>
      </c>
      <c r="W396" s="298"/>
      <c r="X396" s="298">
        <f t="shared" si="330"/>
        <v>8757.1200000000008</v>
      </c>
      <c r="Y396" s="277">
        <v>4</v>
      </c>
      <c r="Z396" s="285"/>
      <c r="AA396" s="285">
        <f>U396*Y396%</f>
        <v>2189.2800000000002</v>
      </c>
      <c r="AB396" s="293"/>
      <c r="AC396" s="293"/>
      <c r="AD396" s="298"/>
      <c r="AE396" s="293"/>
      <c r="AF396" s="298"/>
      <c r="AG396" s="298"/>
      <c r="AH396" s="293"/>
      <c r="AI396" s="298"/>
      <c r="AJ396" s="298"/>
      <c r="AK396" s="293"/>
      <c r="AL396" s="293"/>
      <c r="AM396" s="298">
        <f>6*T396*AK396%*4</f>
        <v>0</v>
      </c>
      <c r="AN396" s="293"/>
      <c r="AO396" s="293"/>
      <c r="AP396" s="298"/>
      <c r="AQ396" s="297">
        <f>X396+AA396+AD396+AG396+AJ396+AM396+AP396</f>
        <v>10946.400000000001</v>
      </c>
      <c r="AR396" s="293">
        <f t="shared" si="332"/>
        <v>20</v>
      </c>
      <c r="AS396" s="293">
        <f t="shared" si="333"/>
        <v>10946.400000000001</v>
      </c>
      <c r="AT396" s="294">
        <f t="shared" si="334"/>
        <v>10946.400000000001</v>
      </c>
      <c r="AU396" s="293"/>
      <c r="AV396" s="293">
        <v>100</v>
      </c>
      <c r="AW396" s="293">
        <f t="shared" si="335"/>
        <v>0</v>
      </c>
      <c r="AX396" s="293"/>
      <c r="AY396" s="293"/>
      <c r="AZ396" s="294"/>
      <c r="BA396" s="297">
        <f t="shared" si="336"/>
        <v>10946.400000000001</v>
      </c>
      <c r="BB396" s="297">
        <f t="shared" si="337"/>
        <v>76624.800000000003</v>
      </c>
      <c r="BC396" s="297">
        <f t="shared" si="338"/>
        <v>76624.800000000003</v>
      </c>
      <c r="BD396" s="299">
        <f>BC396/C396/5</f>
        <v>15324.960000000001</v>
      </c>
      <c r="BE396" s="299"/>
    </row>
    <row r="397" spans="1:65" s="287" customFormat="1" ht="28.5" x14ac:dyDescent="0.25">
      <c r="A397" s="276"/>
      <c r="B397" s="277" t="s">
        <v>279</v>
      </c>
      <c r="C397" s="278">
        <v>1</v>
      </c>
      <c r="D397" s="279"/>
      <c r="E397" s="279"/>
      <c r="F397" s="279"/>
      <c r="G397" s="279"/>
      <c r="H397" s="279">
        <v>1</v>
      </c>
      <c r="I397" s="279"/>
      <c r="J397" s="279"/>
      <c r="K397" s="279"/>
      <c r="L397" s="277">
        <v>5</v>
      </c>
      <c r="M397" s="280">
        <f t="shared" si="324"/>
        <v>3028</v>
      </c>
      <c r="N397" s="281">
        <f t="shared" si="325"/>
        <v>2</v>
      </c>
      <c r="O397" s="282">
        <v>1.67</v>
      </c>
      <c r="P397" s="282">
        <f>P$244</f>
        <v>1.58</v>
      </c>
      <c r="Q397" s="277"/>
      <c r="R397" s="283">
        <f t="shared" si="326"/>
        <v>686</v>
      </c>
      <c r="S397" s="280">
        <f t="shared" si="327"/>
        <v>93.172011661807574</v>
      </c>
      <c r="T397" s="425">
        <f t="shared" si="328"/>
        <v>15979</v>
      </c>
      <c r="U397" s="284">
        <f t="shared" si="329"/>
        <v>63916</v>
      </c>
      <c r="V397" s="277">
        <v>20</v>
      </c>
      <c r="W397" s="285"/>
      <c r="X397" s="285">
        <f t="shared" si="330"/>
        <v>12783.2</v>
      </c>
      <c r="Y397" s="277"/>
      <c r="Z397" s="277"/>
      <c r="AA397" s="277"/>
      <c r="AB397" s="277"/>
      <c r="AC397" s="277"/>
      <c r="AD397" s="277"/>
      <c r="AE397" s="277"/>
      <c r="AF397" s="277"/>
      <c r="AG397" s="277"/>
      <c r="AH397" s="277"/>
      <c r="AI397" s="277"/>
      <c r="AJ397" s="277"/>
      <c r="AK397" s="277">
        <v>15</v>
      </c>
      <c r="AL397" s="277"/>
      <c r="AM397" s="285">
        <f>T397*AK397%*4</f>
        <v>9587.4</v>
      </c>
      <c r="AN397" s="277"/>
      <c r="AO397" s="277"/>
      <c r="AP397" s="277"/>
      <c r="AQ397" s="284">
        <f t="shared" si="331"/>
        <v>22370.6</v>
      </c>
      <c r="AR397" s="277">
        <f t="shared" si="332"/>
        <v>20</v>
      </c>
      <c r="AS397" s="285">
        <f t="shared" si="333"/>
        <v>12783.2</v>
      </c>
      <c r="AT397" s="280">
        <f t="shared" si="334"/>
        <v>12783.2</v>
      </c>
      <c r="AU397" s="277">
        <v>1</v>
      </c>
      <c r="AV397" s="277">
        <v>100</v>
      </c>
      <c r="AW397" s="277">
        <f t="shared" si="335"/>
        <v>15979</v>
      </c>
      <c r="AX397" s="277"/>
      <c r="AY397" s="285"/>
      <c r="AZ397" s="280"/>
      <c r="BA397" s="284">
        <f t="shared" si="336"/>
        <v>28762.2</v>
      </c>
      <c r="BB397" s="363">
        <f t="shared" si="337"/>
        <v>115048.8</v>
      </c>
      <c r="BC397" s="284">
        <f t="shared" si="338"/>
        <v>115048.8</v>
      </c>
      <c r="BD397" s="286">
        <f t="shared" si="272"/>
        <v>23009.760000000002</v>
      </c>
      <c r="BE397" s="286"/>
    </row>
    <row r="398" spans="1:65" s="287" customFormat="1" ht="28.5" x14ac:dyDescent="0.25">
      <c r="A398" s="276"/>
      <c r="B398" s="277" t="s">
        <v>251</v>
      </c>
      <c r="C398" s="278">
        <f>'[4]ФОТ2014 общ (2)'!$C$64</f>
        <v>1</v>
      </c>
      <c r="D398" s="279"/>
      <c r="E398" s="279"/>
      <c r="F398" s="279"/>
      <c r="G398" s="279"/>
      <c r="H398" s="279">
        <v>1</v>
      </c>
      <c r="I398" s="279"/>
      <c r="J398" s="279"/>
      <c r="K398" s="279"/>
      <c r="L398" s="277">
        <v>5</v>
      </c>
      <c r="M398" s="280">
        <f t="shared" si="324"/>
        <v>3028</v>
      </c>
      <c r="N398" s="281">
        <f t="shared" si="325"/>
        <v>2</v>
      </c>
      <c r="O398" s="282">
        <v>1.67</v>
      </c>
      <c r="P398" s="282">
        <f>P$244</f>
        <v>1.58</v>
      </c>
      <c r="Q398" s="277"/>
      <c r="R398" s="283">
        <f t="shared" si="326"/>
        <v>686</v>
      </c>
      <c r="S398" s="280">
        <f t="shared" si="327"/>
        <v>93.172011661807574</v>
      </c>
      <c r="T398" s="425">
        <f t="shared" si="328"/>
        <v>15979</v>
      </c>
      <c r="U398" s="284">
        <f t="shared" si="329"/>
        <v>63916</v>
      </c>
      <c r="V398" s="277">
        <v>20</v>
      </c>
      <c r="W398" s="285"/>
      <c r="X398" s="285">
        <f t="shared" si="330"/>
        <v>12783.2</v>
      </c>
      <c r="Y398" s="277"/>
      <c r="Z398" s="277"/>
      <c r="AA398" s="285"/>
      <c r="AB398" s="277"/>
      <c r="AC398" s="277"/>
      <c r="AD398" s="277"/>
      <c r="AE398" s="277"/>
      <c r="AF398" s="277"/>
      <c r="AG398" s="277"/>
      <c r="AH398" s="277"/>
      <c r="AI398" s="277"/>
      <c r="AJ398" s="277"/>
      <c r="AK398" s="277">
        <v>0</v>
      </c>
      <c r="AL398" s="277"/>
      <c r="AM398" s="285">
        <f>T398*AK398%*4</f>
        <v>0</v>
      </c>
      <c r="AN398" s="277"/>
      <c r="AO398" s="277"/>
      <c r="AP398" s="277"/>
      <c r="AQ398" s="284">
        <f t="shared" si="331"/>
        <v>12783.2</v>
      </c>
      <c r="AR398" s="277">
        <f t="shared" si="332"/>
        <v>20</v>
      </c>
      <c r="AS398" s="285">
        <f t="shared" si="333"/>
        <v>12783.2</v>
      </c>
      <c r="AT398" s="280">
        <f t="shared" si="334"/>
        <v>12783.2</v>
      </c>
      <c r="AU398" s="277"/>
      <c r="AV398" s="277">
        <v>100</v>
      </c>
      <c r="AW398" s="277">
        <f t="shared" si="335"/>
        <v>0</v>
      </c>
      <c r="AX398" s="277"/>
      <c r="AY398" s="285"/>
      <c r="AZ398" s="280"/>
      <c r="BA398" s="284">
        <f t="shared" si="336"/>
        <v>12783.2</v>
      </c>
      <c r="BB398" s="363">
        <f t="shared" si="337"/>
        <v>89482.4</v>
      </c>
      <c r="BC398" s="284">
        <f t="shared" si="338"/>
        <v>89482.4</v>
      </c>
      <c r="BD398" s="286">
        <f t="shared" si="272"/>
        <v>17896.48</v>
      </c>
      <c r="BE398" s="286"/>
    </row>
    <row r="399" spans="1:65" s="287" customFormat="1" ht="14.25" x14ac:dyDescent="0.25">
      <c r="A399" s="276"/>
      <c r="B399" s="277" t="s">
        <v>252</v>
      </c>
      <c r="C399" s="278">
        <f>'[4]ФОТ2014 общ (2)'!$C$66</f>
        <v>1</v>
      </c>
      <c r="D399" s="279"/>
      <c r="E399" s="279"/>
      <c r="F399" s="279"/>
      <c r="G399" s="279"/>
      <c r="H399" s="279">
        <v>1</v>
      </c>
      <c r="I399" s="279"/>
      <c r="J399" s="279"/>
      <c r="K399" s="279"/>
      <c r="L399" s="277">
        <v>3</v>
      </c>
      <c r="M399" s="280">
        <f t="shared" si="324"/>
        <v>3028</v>
      </c>
      <c r="N399" s="281">
        <f t="shared" si="325"/>
        <v>2</v>
      </c>
      <c r="O399" s="277">
        <v>1.25</v>
      </c>
      <c r="P399" s="282">
        <f>P$244</f>
        <v>1.58</v>
      </c>
      <c r="Q399" s="277"/>
      <c r="R399" s="283">
        <f t="shared" si="326"/>
        <v>686</v>
      </c>
      <c r="S399" s="280">
        <f t="shared" si="327"/>
        <v>69.743440233236157</v>
      </c>
      <c r="T399" s="425">
        <f t="shared" si="328"/>
        <v>11961</v>
      </c>
      <c r="U399" s="284">
        <f t="shared" si="329"/>
        <v>47844</v>
      </c>
      <c r="V399" s="277">
        <v>12</v>
      </c>
      <c r="W399" s="285"/>
      <c r="X399" s="285">
        <f t="shared" si="330"/>
        <v>5741.28</v>
      </c>
      <c r="Y399" s="277">
        <v>4</v>
      </c>
      <c r="Z399" s="285"/>
      <c r="AA399" s="285">
        <f>U399*Y399%</f>
        <v>1913.76</v>
      </c>
      <c r="AB399" s="277"/>
      <c r="AC399" s="277"/>
      <c r="AD399" s="277"/>
      <c r="AE399" s="277"/>
      <c r="AF399" s="277"/>
      <c r="AG399" s="277"/>
      <c r="AH399" s="277"/>
      <c r="AI399" s="277"/>
      <c r="AJ399" s="277"/>
      <c r="AK399" s="277"/>
      <c r="AL399" s="277"/>
      <c r="AM399" s="285">
        <f>T399*AK399%*4</f>
        <v>0</v>
      </c>
      <c r="AN399" s="277"/>
      <c r="AO399" s="277"/>
      <c r="AP399" s="277"/>
      <c r="AQ399" s="284">
        <f t="shared" si="331"/>
        <v>7655.04</v>
      </c>
      <c r="AR399" s="277">
        <f t="shared" si="332"/>
        <v>20</v>
      </c>
      <c r="AS399" s="285">
        <f t="shared" si="333"/>
        <v>9568.8000000000011</v>
      </c>
      <c r="AT399" s="280">
        <f t="shared" si="334"/>
        <v>9568.8000000000011</v>
      </c>
      <c r="AU399" s="460">
        <v>1</v>
      </c>
      <c r="AV399" s="277">
        <v>100</v>
      </c>
      <c r="AW399" s="277">
        <f t="shared" si="335"/>
        <v>11961</v>
      </c>
      <c r="AX399" s="277"/>
      <c r="AY399" s="285"/>
      <c r="AZ399" s="280"/>
      <c r="BA399" s="284">
        <f t="shared" si="336"/>
        <v>21529.800000000003</v>
      </c>
      <c r="BB399" s="363">
        <f t="shared" si="337"/>
        <v>77028.84</v>
      </c>
      <c r="BC399" s="284">
        <f t="shared" si="338"/>
        <v>77028.84</v>
      </c>
      <c r="BD399" s="286">
        <f t="shared" si="272"/>
        <v>15405.768</v>
      </c>
      <c r="BE399" s="286"/>
    </row>
    <row r="400" spans="1:65" s="301" customFormat="1" ht="14.25" x14ac:dyDescent="0.25">
      <c r="A400" s="289"/>
      <c r="B400" s="293" t="s">
        <v>253</v>
      </c>
      <c r="C400" s="438">
        <v>2</v>
      </c>
      <c r="D400" s="292"/>
      <c r="E400" s="292"/>
      <c r="F400" s="292"/>
      <c r="G400" s="292"/>
      <c r="H400" s="292">
        <v>1</v>
      </c>
      <c r="I400" s="292"/>
      <c r="J400" s="292"/>
      <c r="K400" s="292"/>
      <c r="L400" s="439"/>
      <c r="M400" s="294">
        <f t="shared" si="324"/>
        <v>3028</v>
      </c>
      <c r="N400" s="429">
        <f t="shared" si="325"/>
        <v>2</v>
      </c>
      <c r="O400" s="293">
        <v>1.32</v>
      </c>
      <c r="P400" s="295">
        <v>1</v>
      </c>
      <c r="Q400" s="439"/>
      <c r="R400" s="296">
        <f t="shared" si="326"/>
        <v>686</v>
      </c>
      <c r="S400" s="294">
        <f t="shared" si="327"/>
        <v>46.612244897959187</v>
      </c>
      <c r="T400" s="441">
        <f t="shared" si="328"/>
        <v>7994</v>
      </c>
      <c r="U400" s="297">
        <f t="shared" si="329"/>
        <v>63952</v>
      </c>
      <c r="V400" s="439">
        <v>0</v>
      </c>
      <c r="W400" s="298"/>
      <c r="X400" s="442">
        <f t="shared" si="330"/>
        <v>0</v>
      </c>
      <c r="Y400" s="439"/>
      <c r="Z400" s="439"/>
      <c r="AA400" s="439"/>
      <c r="AB400" s="439"/>
      <c r="AC400" s="439"/>
      <c r="AD400" s="439"/>
      <c r="AE400" s="439"/>
      <c r="AF400" s="439"/>
      <c r="AG400" s="439"/>
      <c r="AH400" s="439"/>
      <c r="AI400" s="439"/>
      <c r="AJ400" s="439"/>
      <c r="AK400" s="366"/>
      <c r="AL400" s="439"/>
      <c r="AM400" s="298">
        <f>T400*AK400%*4</f>
        <v>0</v>
      </c>
      <c r="AN400" s="439"/>
      <c r="AO400" s="439"/>
      <c r="AP400" s="439"/>
      <c r="AQ400" s="297">
        <f t="shared" si="331"/>
        <v>0</v>
      </c>
      <c r="AR400" s="293">
        <f t="shared" si="332"/>
        <v>20</v>
      </c>
      <c r="AS400" s="298">
        <f t="shared" si="333"/>
        <v>6395.2000000000007</v>
      </c>
      <c r="AT400" s="294">
        <f t="shared" si="334"/>
        <v>12790.400000000001</v>
      </c>
      <c r="AU400" s="339">
        <v>1</v>
      </c>
      <c r="AV400" s="293">
        <v>100</v>
      </c>
      <c r="AW400" s="293">
        <f t="shared" si="335"/>
        <v>7994</v>
      </c>
      <c r="AX400" s="293"/>
      <c r="AY400" s="298"/>
      <c r="AZ400" s="304"/>
      <c r="BA400" s="297">
        <f t="shared" si="336"/>
        <v>20784.400000000001</v>
      </c>
      <c r="BB400" s="443">
        <f t="shared" si="337"/>
        <v>42368.2</v>
      </c>
      <c r="BC400" s="297">
        <f t="shared" si="338"/>
        <v>84736.4</v>
      </c>
      <c r="BD400" s="299">
        <f t="shared" si="272"/>
        <v>8473.64</v>
      </c>
      <c r="BE400" s="299"/>
    </row>
    <row r="401" spans="1:66" s="287" customFormat="1" ht="15" hidden="1" customHeight="1" x14ac:dyDescent="0.25">
      <c r="A401" s="276"/>
      <c r="B401" s="277"/>
      <c r="C401" s="425"/>
      <c r="D401" s="279"/>
      <c r="E401" s="279"/>
      <c r="F401" s="279"/>
      <c r="G401" s="279"/>
      <c r="H401" s="279"/>
      <c r="I401" s="279"/>
      <c r="J401" s="279"/>
      <c r="K401" s="279"/>
      <c r="L401" s="277"/>
      <c r="M401" s="283"/>
      <c r="N401" s="277"/>
      <c r="O401" s="277"/>
      <c r="P401" s="277"/>
      <c r="Q401" s="277"/>
      <c r="R401" s="283"/>
      <c r="S401" s="283"/>
      <c r="T401" s="425"/>
      <c r="U401" s="307"/>
      <c r="V401" s="277"/>
      <c r="W401" s="277"/>
      <c r="X401" s="277"/>
      <c r="Y401" s="277"/>
      <c r="Z401" s="277"/>
      <c r="AA401" s="277"/>
      <c r="AB401" s="277"/>
      <c r="AC401" s="277"/>
      <c r="AD401" s="277"/>
      <c r="AE401" s="277"/>
      <c r="AF401" s="277"/>
      <c r="AG401" s="277"/>
      <c r="AH401" s="277"/>
      <c r="AI401" s="277"/>
      <c r="AJ401" s="277"/>
      <c r="AK401" s="277"/>
      <c r="AL401" s="277"/>
      <c r="AM401" s="277"/>
      <c r="AN401" s="277"/>
      <c r="AO401" s="277"/>
      <c r="AP401" s="277"/>
      <c r="AQ401" s="284">
        <f t="shared" si="331"/>
        <v>0</v>
      </c>
      <c r="AR401" s="277"/>
      <c r="AS401" s="277"/>
      <c r="AT401" s="283"/>
      <c r="AU401" s="277"/>
      <c r="AV401" s="277"/>
      <c r="AW401" s="277"/>
      <c r="AX401" s="277"/>
      <c r="AY401" s="277"/>
      <c r="AZ401" s="283"/>
      <c r="BA401" s="370"/>
      <c r="BB401" s="307"/>
      <c r="BC401" s="370"/>
      <c r="BD401" s="286"/>
      <c r="BE401" s="371"/>
    </row>
    <row r="402" spans="1:66" s="316" customFormat="1" ht="14.25" x14ac:dyDescent="0.25">
      <c r="A402" s="306"/>
      <c r="B402" s="372" t="s">
        <v>229</v>
      </c>
      <c r="C402" s="308">
        <f>SUM(C395:C401)</f>
        <v>10</v>
      </c>
      <c r="D402" s="309"/>
      <c r="E402" s="309"/>
      <c r="F402" s="309"/>
      <c r="G402" s="309"/>
      <c r="H402" s="309"/>
      <c r="I402" s="309"/>
      <c r="J402" s="309"/>
      <c r="K402" s="309"/>
      <c r="L402" s="309"/>
      <c r="M402" s="310"/>
      <c r="N402" s="309"/>
      <c r="O402" s="309"/>
      <c r="P402" s="309"/>
      <c r="Q402" s="309"/>
      <c r="R402" s="310"/>
      <c r="S402" s="310"/>
      <c r="T402" s="349">
        <f>U402/4</f>
        <v>121434</v>
      </c>
      <c r="U402" s="309">
        <f>SUM(U395:U401)</f>
        <v>485736</v>
      </c>
      <c r="V402" s="309"/>
      <c r="W402" s="309"/>
      <c r="X402" s="329">
        <f>SUM(X395:X401)</f>
        <v>63029.919999999998</v>
      </c>
      <c r="Y402" s="309"/>
      <c r="Z402" s="309">
        <f>SUM(Z395:Z401)</f>
        <v>0</v>
      </c>
      <c r="AA402" s="309">
        <f>SUM(AA395:AA401)</f>
        <v>4103.04</v>
      </c>
      <c r="AB402" s="309"/>
      <c r="AC402" s="309"/>
      <c r="AD402" s="309">
        <f>SUM(AD395:AD401)</f>
        <v>6874.7789220779223</v>
      </c>
      <c r="AE402" s="309"/>
      <c r="AF402" s="309">
        <f>SUM(AF395:AF401)</f>
        <v>0</v>
      </c>
      <c r="AG402" s="309">
        <f>SUM(AG395:AG401)</f>
        <v>24061.726227272724</v>
      </c>
      <c r="AH402" s="309"/>
      <c r="AI402" s="309">
        <f>SUM(AI395:AI401)</f>
        <v>0</v>
      </c>
      <c r="AJ402" s="309">
        <f>SUM(AJ395:AJ401)</f>
        <v>21902.998733766231</v>
      </c>
      <c r="AK402" s="309"/>
      <c r="AL402" s="309">
        <f>SUM(AL395:AL401)</f>
        <v>0</v>
      </c>
      <c r="AM402" s="309">
        <f>SUM(AM395:AM401)</f>
        <v>50254.8</v>
      </c>
      <c r="AN402" s="309"/>
      <c r="AO402" s="309">
        <f>SUM(AO395:AO401)</f>
        <v>0</v>
      </c>
      <c r="AP402" s="309">
        <f>SUM(AP395:AP401)</f>
        <v>0</v>
      </c>
      <c r="AQ402" s="309">
        <f>SUM(AQ395:AQ401)</f>
        <v>170227.26388311689</v>
      </c>
      <c r="AR402" s="309"/>
      <c r="AS402" s="309">
        <f>SUM(AS395:AS401)</f>
        <v>62045.600000000006</v>
      </c>
      <c r="AT402" s="309">
        <f>SUM(AT395:AT401)</f>
        <v>97147.200000000012</v>
      </c>
      <c r="AU402" s="309">
        <f>SUM(AU395:AU401)</f>
        <v>3</v>
      </c>
      <c r="AV402" s="309"/>
      <c r="AW402" s="309">
        <f>SUM(AW395:AW401)</f>
        <v>35934</v>
      </c>
      <c r="AX402" s="309"/>
      <c r="AY402" s="309">
        <f>SUM(AY395:AY401)</f>
        <v>0</v>
      </c>
      <c r="AZ402" s="309">
        <f>SUM(AZ395:AZ401)</f>
        <v>0</v>
      </c>
      <c r="BA402" s="329">
        <f>SUM(BA395:BA401)</f>
        <v>133081.20000000001</v>
      </c>
      <c r="BB402" s="309">
        <f>BC402/C402</f>
        <v>78904.446388311684</v>
      </c>
      <c r="BC402" s="329">
        <f>SUM(BC395:BC401)</f>
        <v>789044.46388311684</v>
      </c>
      <c r="BD402" s="286">
        <f t="shared" si="272"/>
        <v>15780.889277662336</v>
      </c>
      <c r="BE402" s="323"/>
      <c r="BN402" s="316" t="e">
        <f>BC402+BC409+#REF!</f>
        <v>#REF!</v>
      </c>
    </row>
    <row r="403" spans="1:66" s="374" customFormat="1" ht="22.5" customHeight="1" x14ac:dyDescent="0.25">
      <c r="A403" s="373"/>
      <c r="B403" s="361" t="s">
        <v>254</v>
      </c>
      <c r="C403" s="335"/>
      <c r="D403" s="335"/>
      <c r="E403" s="335"/>
      <c r="F403" s="335"/>
      <c r="G403" s="335"/>
      <c r="H403" s="335"/>
      <c r="I403" s="335"/>
      <c r="J403" s="335"/>
      <c r="K403" s="335"/>
      <c r="L403" s="335"/>
      <c r="M403" s="335"/>
      <c r="N403" s="335"/>
      <c r="O403" s="335"/>
      <c r="P403" s="335"/>
      <c r="Q403" s="335"/>
      <c r="R403" s="335"/>
      <c r="S403" s="335"/>
      <c r="T403" s="335"/>
      <c r="U403" s="335"/>
      <c r="V403" s="335"/>
      <c r="W403" s="335"/>
      <c r="X403" s="335"/>
      <c r="Y403" s="335"/>
      <c r="Z403" s="335"/>
      <c r="AA403" s="335"/>
      <c r="AB403" s="335"/>
      <c r="AC403" s="335"/>
      <c r="AD403" s="335"/>
      <c r="AE403" s="335"/>
      <c r="AF403" s="335"/>
      <c r="AG403" s="335"/>
      <c r="AH403" s="335"/>
      <c r="AI403" s="335"/>
      <c r="AJ403" s="335"/>
      <c r="AK403" s="335"/>
      <c r="AL403" s="335"/>
      <c r="AM403" s="335"/>
      <c r="AN403" s="335"/>
      <c r="AO403" s="335"/>
      <c r="AP403" s="335"/>
      <c r="AQ403" s="335"/>
      <c r="AR403" s="335"/>
      <c r="AS403" s="335"/>
      <c r="AT403" s="335"/>
      <c r="AU403" s="335"/>
      <c r="AV403" s="335"/>
      <c r="AW403" s="335"/>
      <c r="AX403" s="335"/>
      <c r="AY403" s="335"/>
      <c r="AZ403" s="335"/>
      <c r="BA403" s="335"/>
      <c r="BB403" s="335"/>
      <c r="BC403" s="362"/>
      <c r="BD403" s="286"/>
      <c r="BE403" s="274"/>
    </row>
    <row r="404" spans="1:66" x14ac:dyDescent="0.25">
      <c r="A404" s="344"/>
      <c r="B404" s="288" t="s">
        <v>255</v>
      </c>
      <c r="C404" s="278">
        <f>'[4]ФОТ2014 общ (2)'!$C$83</f>
        <v>9</v>
      </c>
      <c r="D404" s="279"/>
      <c r="E404" s="279"/>
      <c r="F404" s="279"/>
      <c r="G404" s="279"/>
      <c r="H404" s="279">
        <v>1</v>
      </c>
      <c r="I404" s="279"/>
      <c r="J404" s="279"/>
      <c r="K404" s="279"/>
      <c r="L404" s="277">
        <v>3</v>
      </c>
      <c r="M404" s="280">
        <f>M$356</f>
        <v>3028</v>
      </c>
      <c r="N404" s="281">
        <f>N$244</f>
        <v>2</v>
      </c>
      <c r="O404" s="277">
        <v>1.25</v>
      </c>
      <c r="P404" s="282">
        <f>P$244</f>
        <v>1.58</v>
      </c>
      <c r="Q404" s="277"/>
      <c r="R404" s="283">
        <f>$R$352</f>
        <v>686</v>
      </c>
      <c r="S404" s="280">
        <f>T404/(R404/4)</f>
        <v>69.743440233236157</v>
      </c>
      <c r="T404" s="425">
        <f>ROUND(M404*N404*O404*P404,0)</f>
        <v>11961</v>
      </c>
      <c r="U404" s="284">
        <f>T404*C404*4</f>
        <v>430596</v>
      </c>
      <c r="V404" s="277">
        <v>12</v>
      </c>
      <c r="W404" s="285"/>
      <c r="X404" s="285">
        <f>U404*V404%</f>
        <v>51671.519999999997</v>
      </c>
      <c r="Y404" s="277">
        <v>4</v>
      </c>
      <c r="Z404" s="285"/>
      <c r="AA404" s="285">
        <f>U404*Y404%</f>
        <v>17223.84</v>
      </c>
      <c r="AB404" s="277">
        <v>20</v>
      </c>
      <c r="AC404" s="277"/>
      <c r="AD404" s="340">
        <f>SUM([3]ночн.празд!P9:P12)</f>
        <v>13749.557844155845</v>
      </c>
      <c r="AE404" s="341">
        <v>35</v>
      </c>
      <c r="AF404" s="340"/>
      <c r="AG404" s="340">
        <f>SUM([3]ночн.празд!Q9:Q12)</f>
        <v>48123.452454545448</v>
      </c>
      <c r="AH404" s="341">
        <v>200</v>
      </c>
      <c r="AI404" s="340"/>
      <c r="AJ404" s="340">
        <f>SUM([3]ночн.празд!N9:O12)</f>
        <v>43805.997467532463</v>
      </c>
      <c r="AK404" s="277">
        <f>(7+25+15+7+10+20+15+15+10)/9</f>
        <v>13.777777777777779</v>
      </c>
      <c r="AL404" s="277"/>
      <c r="AM404" s="342">
        <f>9*T404*AK404%*4</f>
        <v>59326.559999999998</v>
      </c>
      <c r="AN404" s="277"/>
      <c r="AO404" s="277"/>
      <c r="AP404" s="285"/>
      <c r="AQ404" s="284">
        <f>X404+AA404+AD404+AG404+AJ404+AM404+AP404</f>
        <v>233900.92776623374</v>
      </c>
      <c r="AR404" s="277">
        <f>AR$29</f>
        <v>20</v>
      </c>
      <c r="AS404" s="277">
        <f>AT404/C404</f>
        <v>9568.8000000000011</v>
      </c>
      <c r="AT404" s="280">
        <f>(U404)*AR404%</f>
        <v>86119.200000000012</v>
      </c>
      <c r="AU404" s="277">
        <f>1+1+1+1</f>
        <v>4</v>
      </c>
      <c r="AV404" s="277">
        <v>100</v>
      </c>
      <c r="AW404" s="277">
        <f>AU404*T404</f>
        <v>47844</v>
      </c>
      <c r="AX404" s="277"/>
      <c r="AY404" s="277"/>
      <c r="AZ404" s="280"/>
      <c r="BA404" s="284">
        <f>AT404+AW404+AZ404</f>
        <v>133963.20000000001</v>
      </c>
      <c r="BB404" s="284">
        <f>BC404/C404</f>
        <v>88717.791974025968</v>
      </c>
      <c r="BC404" s="284">
        <f>BA404+AQ404+U404</f>
        <v>798460.12776623375</v>
      </c>
      <c r="BD404" s="286">
        <f t="shared" si="272"/>
        <v>17743.558394805194</v>
      </c>
      <c r="BE404" s="286"/>
    </row>
    <row r="405" spans="1:66" s="377" customFormat="1" x14ac:dyDescent="0.25">
      <c r="A405" s="375"/>
      <c r="B405" s="290" t="s">
        <v>249</v>
      </c>
      <c r="C405" s="376">
        <v>1</v>
      </c>
      <c r="D405" s="292"/>
      <c r="E405" s="292"/>
      <c r="F405" s="292"/>
      <c r="G405" s="292"/>
      <c r="H405" s="292">
        <v>1</v>
      </c>
      <c r="I405" s="292"/>
      <c r="J405" s="292"/>
      <c r="K405" s="292"/>
      <c r="L405" s="293">
        <v>4</v>
      </c>
      <c r="M405" s="294">
        <f>M$356</f>
        <v>3028</v>
      </c>
      <c r="N405" s="429">
        <f>N$244</f>
        <v>2</v>
      </c>
      <c r="O405" s="293">
        <v>1.43</v>
      </c>
      <c r="P405" s="295">
        <f>P$244</f>
        <v>1.58</v>
      </c>
      <c r="Q405" s="293"/>
      <c r="R405" s="296">
        <f>$R$352</f>
        <v>686</v>
      </c>
      <c r="S405" s="294">
        <f>T405/(R405/4)</f>
        <v>79.78425655976676</v>
      </c>
      <c r="T405" s="291">
        <f>ROUND(M405*N405*O405*P405,0)</f>
        <v>13683</v>
      </c>
      <c r="U405" s="297">
        <f>T405*C405*4</f>
        <v>54732</v>
      </c>
      <c r="V405" s="293">
        <v>16</v>
      </c>
      <c r="W405" s="298"/>
      <c r="X405" s="298">
        <f>U405*V405%</f>
        <v>8757.1200000000008</v>
      </c>
      <c r="Y405" s="277">
        <v>4</v>
      </c>
      <c r="Z405" s="285"/>
      <c r="AA405" s="285">
        <f>U405*Y405%</f>
        <v>2189.2800000000002</v>
      </c>
      <c r="AB405" s="293"/>
      <c r="AC405" s="293"/>
      <c r="AD405" s="298"/>
      <c r="AE405" s="293"/>
      <c r="AF405" s="298"/>
      <c r="AG405" s="298"/>
      <c r="AH405" s="293"/>
      <c r="AI405" s="298"/>
      <c r="AJ405" s="298"/>
      <c r="AK405" s="293"/>
      <c r="AL405" s="293"/>
      <c r="AM405" s="298">
        <f>6*T405*AK405%*4</f>
        <v>0</v>
      </c>
      <c r="AN405" s="293"/>
      <c r="AO405" s="293"/>
      <c r="AP405" s="298"/>
      <c r="AQ405" s="297">
        <f>X405+AA405+AD405+AG405+AJ405+AM405+AP405</f>
        <v>10946.400000000001</v>
      </c>
      <c r="AR405" s="293">
        <f>AR$29</f>
        <v>20</v>
      </c>
      <c r="AS405" s="293">
        <f>AT405/C405</f>
        <v>10946.400000000001</v>
      </c>
      <c r="AT405" s="294">
        <f>(U405)*AR405%</f>
        <v>10946.400000000001</v>
      </c>
      <c r="AU405" s="293"/>
      <c r="AV405" s="293">
        <v>100</v>
      </c>
      <c r="AW405" s="293">
        <f>AU405*T405</f>
        <v>0</v>
      </c>
      <c r="AX405" s="293"/>
      <c r="AY405" s="293"/>
      <c r="AZ405" s="294"/>
      <c r="BA405" s="297">
        <f>AT405+AW405+AZ405</f>
        <v>10946.400000000001</v>
      </c>
      <c r="BB405" s="297">
        <f>BC405/C405</f>
        <v>76624.800000000003</v>
      </c>
      <c r="BC405" s="297">
        <f>BA405+AQ405+U405</f>
        <v>76624.800000000003</v>
      </c>
      <c r="BD405" s="299">
        <f>BC405/C405/5</f>
        <v>15324.960000000001</v>
      </c>
      <c r="BE405" s="299"/>
    </row>
    <row r="406" spans="1:66" s="287" customFormat="1" ht="25.9" customHeight="1" x14ac:dyDescent="0.25">
      <c r="A406" s="276"/>
      <c r="B406" s="277" t="s">
        <v>288</v>
      </c>
      <c r="C406" s="278">
        <f>'[4]ФОТ2014 общ (2)'!$C$64</f>
        <v>1</v>
      </c>
      <c r="D406" s="279"/>
      <c r="E406" s="279"/>
      <c r="F406" s="279"/>
      <c r="G406" s="279"/>
      <c r="H406" s="279">
        <v>1</v>
      </c>
      <c r="I406" s="279"/>
      <c r="J406" s="279"/>
      <c r="K406" s="279"/>
      <c r="L406" s="277">
        <v>4</v>
      </c>
      <c r="M406" s="280">
        <f>M$356</f>
        <v>3028</v>
      </c>
      <c r="N406" s="281">
        <f>N$244</f>
        <v>2</v>
      </c>
      <c r="O406" s="282">
        <v>1.43</v>
      </c>
      <c r="P406" s="282">
        <f>P$244</f>
        <v>1.58</v>
      </c>
      <c r="Q406" s="277"/>
      <c r="R406" s="283">
        <f>$R$352</f>
        <v>686</v>
      </c>
      <c r="S406" s="280">
        <f>T406/(R406/4)</f>
        <v>79.78425655976676</v>
      </c>
      <c r="T406" s="425">
        <f>ROUND(M406*N406*O406*P406,0)</f>
        <v>13683</v>
      </c>
      <c r="U406" s="284">
        <f>T406*C406*4</f>
        <v>54732</v>
      </c>
      <c r="V406" s="277">
        <v>16</v>
      </c>
      <c r="W406" s="285"/>
      <c r="X406" s="285">
        <f>U406*V406%</f>
        <v>8757.1200000000008</v>
      </c>
      <c r="Y406" s="277"/>
      <c r="Z406" s="277"/>
      <c r="AA406" s="285"/>
      <c r="AB406" s="277"/>
      <c r="AC406" s="277"/>
      <c r="AD406" s="277"/>
      <c r="AE406" s="277"/>
      <c r="AF406" s="277"/>
      <c r="AG406" s="277"/>
      <c r="AH406" s="277"/>
      <c r="AI406" s="277"/>
      <c r="AJ406" s="277"/>
      <c r="AK406" s="277"/>
      <c r="AL406" s="277"/>
      <c r="AM406" s="277">
        <f>T406*AK406%*1*4</f>
        <v>0</v>
      </c>
      <c r="AN406" s="277"/>
      <c r="AO406" s="277"/>
      <c r="AP406" s="277"/>
      <c r="AQ406" s="284">
        <f>X406+AA406+AD406+AG406+AJ406+AM406+AP406</f>
        <v>8757.1200000000008</v>
      </c>
      <c r="AR406" s="277">
        <f>AR$29</f>
        <v>20</v>
      </c>
      <c r="AS406" s="285">
        <f>AT406/C406</f>
        <v>10946.400000000001</v>
      </c>
      <c r="AT406" s="280">
        <f>(U406)*AR406%</f>
        <v>10946.400000000001</v>
      </c>
      <c r="AU406" s="277">
        <v>1</v>
      </c>
      <c r="AV406" s="277">
        <v>100</v>
      </c>
      <c r="AW406" s="277">
        <f>AU406*T406</f>
        <v>13683</v>
      </c>
      <c r="AX406" s="277"/>
      <c r="AY406" s="285"/>
      <c r="AZ406" s="280"/>
      <c r="BA406" s="284">
        <f>AT406+AW406+AZ406</f>
        <v>24629.4</v>
      </c>
      <c r="BB406" s="363">
        <f>BC406/C406</f>
        <v>88118.52</v>
      </c>
      <c r="BC406" s="284">
        <f>BA406+AQ406+U406</f>
        <v>88118.52</v>
      </c>
      <c r="BD406" s="286">
        <f t="shared" si="272"/>
        <v>17623.704000000002</v>
      </c>
      <c r="BE406" s="286"/>
    </row>
    <row r="407" spans="1:66" ht="28.5" x14ac:dyDescent="0.25">
      <c r="A407" s="344"/>
      <c r="B407" s="288" t="s">
        <v>256</v>
      </c>
      <c r="C407" s="278">
        <v>1</v>
      </c>
      <c r="D407" s="279"/>
      <c r="E407" s="279"/>
      <c r="F407" s="279"/>
      <c r="G407" s="279"/>
      <c r="H407" s="279">
        <v>1</v>
      </c>
      <c r="I407" s="279"/>
      <c r="J407" s="279"/>
      <c r="K407" s="279"/>
      <c r="L407" s="277">
        <v>5</v>
      </c>
      <c r="M407" s="280">
        <f>M$356</f>
        <v>3028</v>
      </c>
      <c r="N407" s="281">
        <f>N$244</f>
        <v>2</v>
      </c>
      <c r="O407" s="277">
        <v>1.67</v>
      </c>
      <c r="P407" s="282">
        <f>P$244</f>
        <v>1.58</v>
      </c>
      <c r="Q407" s="277"/>
      <c r="R407" s="283">
        <f>$R$352</f>
        <v>686</v>
      </c>
      <c r="S407" s="280">
        <f>T407/(R407/4)</f>
        <v>93.172011661807574</v>
      </c>
      <c r="T407" s="425">
        <f>ROUND(M407*N407*O407*P407,0)</f>
        <v>15979</v>
      </c>
      <c r="U407" s="284">
        <f>T407*C407*4</f>
        <v>63916</v>
      </c>
      <c r="V407" s="277">
        <v>20</v>
      </c>
      <c r="W407" s="285"/>
      <c r="X407" s="285">
        <f>U407*V407%</f>
        <v>12783.2</v>
      </c>
      <c r="Y407" s="277"/>
      <c r="Z407" s="277"/>
      <c r="AA407" s="277"/>
      <c r="AB407" s="277"/>
      <c r="AC407" s="277"/>
      <c r="AD407" s="285"/>
      <c r="AE407" s="277"/>
      <c r="AF407" s="277"/>
      <c r="AG407" s="285"/>
      <c r="AH407" s="277"/>
      <c r="AI407" s="277"/>
      <c r="AJ407" s="285"/>
      <c r="AK407" s="277">
        <v>7</v>
      </c>
      <c r="AL407" s="277"/>
      <c r="AM407" s="285">
        <f>T407*AK407%*4</f>
        <v>4474.1200000000008</v>
      </c>
      <c r="AN407" s="277"/>
      <c r="AO407" s="277"/>
      <c r="AP407" s="285"/>
      <c r="AQ407" s="284">
        <f>X407+AA407+AD407+AG407+AJ407+AM407+AP407</f>
        <v>17257.32</v>
      </c>
      <c r="AR407" s="277">
        <f>AR$29</f>
        <v>20</v>
      </c>
      <c r="AS407" s="277">
        <f>AT407/C407</f>
        <v>12783.2</v>
      </c>
      <c r="AT407" s="280">
        <f>(U407)*AR407%</f>
        <v>12783.2</v>
      </c>
      <c r="AU407" s="277"/>
      <c r="AV407" s="277">
        <v>100</v>
      </c>
      <c r="AW407" s="277">
        <f>AU407*T407</f>
        <v>0</v>
      </c>
      <c r="AX407" s="277"/>
      <c r="AY407" s="277"/>
      <c r="AZ407" s="280"/>
      <c r="BA407" s="284">
        <f>AT407+AW407+AZ407</f>
        <v>12783.2</v>
      </c>
      <c r="BB407" s="284">
        <f>BC407/C407</f>
        <v>93956.52</v>
      </c>
      <c r="BC407" s="284">
        <f>BA407+AQ407+U407</f>
        <v>93956.52</v>
      </c>
      <c r="BD407" s="286">
        <f t="shared" si="272"/>
        <v>18791.304</v>
      </c>
      <c r="BE407" s="286"/>
    </row>
    <row r="408" spans="1:66" s="287" customFormat="1" ht="10.5" hidden="1" customHeight="1" x14ac:dyDescent="0.25">
      <c r="A408" s="276"/>
      <c r="B408" s="277"/>
      <c r="C408" s="425"/>
      <c r="D408" s="279"/>
      <c r="E408" s="279"/>
      <c r="F408" s="279"/>
      <c r="G408" s="279"/>
      <c r="H408" s="279"/>
      <c r="I408" s="279"/>
      <c r="J408" s="279"/>
      <c r="K408" s="279"/>
      <c r="L408" s="277"/>
      <c r="M408" s="283"/>
      <c r="N408" s="277"/>
      <c r="O408" s="277"/>
      <c r="P408" s="277"/>
      <c r="Q408" s="277"/>
      <c r="R408" s="283"/>
      <c r="S408" s="283"/>
      <c r="T408" s="425"/>
      <c r="U408" s="284"/>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84">
        <f>X408+AA408+AD408+AG408+AJ408+AM408+AP408</f>
        <v>0</v>
      </c>
      <c r="AR408" s="277"/>
      <c r="AS408" s="277"/>
      <c r="AT408" s="280"/>
      <c r="AU408" s="277"/>
      <c r="AV408" s="277"/>
      <c r="AW408" s="277"/>
      <c r="AX408" s="277"/>
      <c r="AY408" s="277"/>
      <c r="AZ408" s="280"/>
      <c r="BA408" s="284"/>
      <c r="BB408" s="284"/>
      <c r="BC408" s="284"/>
      <c r="BD408" s="286"/>
      <c r="BE408" s="286"/>
    </row>
    <row r="409" spans="1:66" s="316" customFormat="1" ht="20.25" customHeight="1" x14ac:dyDescent="0.25">
      <c r="A409" s="306"/>
      <c r="B409" s="372" t="s">
        <v>229</v>
      </c>
      <c r="C409" s="329">
        <f>SUM(C404:C408)</f>
        <v>12</v>
      </c>
      <c r="D409" s="309"/>
      <c r="E409" s="309"/>
      <c r="F409" s="309"/>
      <c r="G409" s="309"/>
      <c r="H409" s="309"/>
      <c r="I409" s="309"/>
      <c r="J409" s="309"/>
      <c r="K409" s="309"/>
      <c r="L409" s="309"/>
      <c r="M409" s="310"/>
      <c r="N409" s="309"/>
      <c r="O409" s="309"/>
      <c r="P409" s="309"/>
      <c r="Q409" s="309"/>
      <c r="R409" s="310"/>
      <c r="S409" s="310"/>
      <c r="T409" s="349">
        <f>U409/4</f>
        <v>150994</v>
      </c>
      <c r="U409" s="309">
        <f>SUM(U404:U408)</f>
        <v>603976</v>
      </c>
      <c r="V409" s="309"/>
      <c r="W409" s="309"/>
      <c r="X409" s="329">
        <f>SUM(X404:X408)</f>
        <v>81968.959999999992</v>
      </c>
      <c r="Y409" s="309"/>
      <c r="Z409" s="309"/>
      <c r="AA409" s="329">
        <f>SUM(AA404:AA408)</f>
        <v>19413.12</v>
      </c>
      <c r="AB409" s="329"/>
      <c r="AC409" s="329"/>
      <c r="AD409" s="329">
        <f>SUM(AD404:AD408)</f>
        <v>13749.557844155845</v>
      </c>
      <c r="AE409" s="309"/>
      <c r="AF409" s="309"/>
      <c r="AG409" s="309">
        <f>SUM(AG404:AG408)</f>
        <v>48123.452454545448</v>
      </c>
      <c r="AH409" s="309"/>
      <c r="AI409" s="309"/>
      <c r="AJ409" s="309">
        <f>SUM(AJ404:AJ408)</f>
        <v>43805.997467532463</v>
      </c>
      <c r="AK409" s="309"/>
      <c r="AL409" s="309"/>
      <c r="AM409" s="309">
        <f>SUM(AM404:AM408)</f>
        <v>63800.68</v>
      </c>
      <c r="AN409" s="309"/>
      <c r="AO409" s="309"/>
      <c r="AP409" s="309">
        <f>SUM(AP404:AP408)</f>
        <v>0</v>
      </c>
      <c r="AQ409" s="329">
        <f>SUM(AQ404:AQ408)</f>
        <v>270861.76776623371</v>
      </c>
      <c r="AR409" s="309"/>
      <c r="AS409" s="309">
        <f>SUM(AS404:AS408)</f>
        <v>44244.800000000003</v>
      </c>
      <c r="AT409" s="309">
        <f>SUM(AT404:AT408)</f>
        <v>120795.2</v>
      </c>
      <c r="AU409" s="309">
        <f>SUM(AU404:AU408)</f>
        <v>5</v>
      </c>
      <c r="AV409" s="309"/>
      <c r="AW409" s="309">
        <f>SUM(AW404:AW408)</f>
        <v>61527</v>
      </c>
      <c r="AX409" s="309"/>
      <c r="AY409" s="309">
        <f>SUM(AY404:AY408)</f>
        <v>0</v>
      </c>
      <c r="AZ409" s="309">
        <f>SUM(AZ404:AZ408)</f>
        <v>0</v>
      </c>
      <c r="BA409" s="309">
        <f>SUM(BA404:BA408)</f>
        <v>182322.2</v>
      </c>
      <c r="BB409" s="309">
        <f>BC409/C409</f>
        <v>88096.663980519472</v>
      </c>
      <c r="BC409" s="309">
        <f>SUM(BC404:BC408)</f>
        <v>1057159.9677662337</v>
      </c>
      <c r="BD409" s="286">
        <f t="shared" si="272"/>
        <v>17619.332796103896</v>
      </c>
      <c r="BE409" s="287"/>
    </row>
    <row r="410" spans="1:66" s="316" customFormat="1" ht="42.75" x14ac:dyDescent="0.25">
      <c r="A410" s="306"/>
      <c r="B410" s="307" t="s">
        <v>257</v>
      </c>
      <c r="C410" s="329">
        <f>C380+C391+C402+C409</f>
        <v>51</v>
      </c>
      <c r="D410" s="309"/>
      <c r="E410" s="309"/>
      <c r="F410" s="309"/>
      <c r="G410" s="309"/>
      <c r="H410" s="309"/>
      <c r="I410" s="309"/>
      <c r="J410" s="309"/>
      <c r="K410" s="309"/>
      <c r="L410" s="309"/>
      <c r="M410" s="310"/>
      <c r="N410" s="309"/>
      <c r="O410" s="309"/>
      <c r="P410" s="309"/>
      <c r="Q410" s="309"/>
      <c r="R410" s="310"/>
      <c r="S410" s="310"/>
      <c r="T410" s="349">
        <f>U410/4</f>
        <v>717804</v>
      </c>
      <c r="U410" s="329">
        <f>U380+U391+U402+U409</f>
        <v>2871216</v>
      </c>
      <c r="V410" s="309"/>
      <c r="W410" s="309"/>
      <c r="X410" s="329">
        <f>X380+X391+X402+X409</f>
        <v>455276</v>
      </c>
      <c r="Y410" s="329"/>
      <c r="Z410" s="329">
        <f>Z380+Z391+Z402+Z409</f>
        <v>0</v>
      </c>
      <c r="AA410" s="329">
        <f>AA380+AA391+AA402+AA409</f>
        <v>75721.279999999999</v>
      </c>
      <c r="AB410" s="329"/>
      <c r="AC410" s="329"/>
      <c r="AD410" s="329">
        <f>AD380+AD391+AD402+AD409</f>
        <v>45537.579168831173</v>
      </c>
      <c r="AE410" s="329"/>
      <c r="AF410" s="329">
        <f>AF380+AF391+AF402+AF409</f>
        <v>0</v>
      </c>
      <c r="AG410" s="329">
        <f>AG380+AG391+AG402+AG409</f>
        <v>159381.52709090908</v>
      </c>
      <c r="AH410" s="329"/>
      <c r="AI410" s="329">
        <f>AI380+AI391+AI402+AI409</f>
        <v>0</v>
      </c>
      <c r="AJ410" s="329">
        <f>AJ380+AJ391+AJ402+AJ409</f>
        <v>133975.64107142857</v>
      </c>
      <c r="AK410" s="329"/>
      <c r="AL410" s="329">
        <f>AL380+AL391+AL402+AL409</f>
        <v>0</v>
      </c>
      <c r="AM410" s="329">
        <f>AM380+AM391+AM402+AM409</f>
        <v>216882.56</v>
      </c>
      <c r="AN410" s="329"/>
      <c r="AO410" s="329">
        <f>AO380+AO391+AO402+AO409</f>
        <v>0</v>
      </c>
      <c r="AP410" s="329">
        <f>AP380+AP391+AP402+AP409</f>
        <v>22165</v>
      </c>
      <c r="AQ410" s="329">
        <f>AQ380+AQ391+AQ402+AQ409</f>
        <v>1108939.5873311688</v>
      </c>
      <c r="AR410" s="329"/>
      <c r="AS410" s="329">
        <f>AS380+AS391+AS402+AS409</f>
        <v>287374.40000000002</v>
      </c>
      <c r="AT410" s="329">
        <f>AT380+AT391+AT402+AT409</f>
        <v>574243.20000000007</v>
      </c>
      <c r="AU410" s="329">
        <f>AU380+AU391+AU402+AU409</f>
        <v>15</v>
      </c>
      <c r="AV410" s="329"/>
      <c r="AW410" s="329">
        <f>AW380+AW391+AW402+AW409</f>
        <v>202426</v>
      </c>
      <c r="AX410" s="329"/>
      <c r="AY410" s="329">
        <f>AY380+AY391+AY402+AY409</f>
        <v>0</v>
      </c>
      <c r="AZ410" s="329">
        <f>AZ380+AZ391+AZ402+AZ409</f>
        <v>0</v>
      </c>
      <c r="BA410" s="329">
        <f>BA380+BA391+BA402+BA409</f>
        <v>776669.20000000019</v>
      </c>
      <c r="BB410" s="329">
        <f>BB380+BB391+BB402+BB409</f>
        <v>1574224.8588674781</v>
      </c>
      <c r="BC410" s="329">
        <f>BC380+BC391+BC402+BC409</f>
        <v>4756824.7873311685</v>
      </c>
      <c r="BD410" s="286">
        <f t="shared" si="272"/>
        <v>18654.214852279092</v>
      </c>
      <c r="BE410" s="378"/>
      <c r="BF410" s="379">
        <f t="shared" ref="BF410:BM410" si="339">BF380+BF402+BF409</f>
        <v>0</v>
      </c>
      <c r="BG410" s="379">
        <f t="shared" si="339"/>
        <v>0</v>
      </c>
      <c r="BH410" s="379">
        <f t="shared" si="339"/>
        <v>0</v>
      </c>
      <c r="BI410" s="379">
        <f t="shared" si="339"/>
        <v>0</v>
      </c>
      <c r="BJ410" s="379">
        <f t="shared" si="339"/>
        <v>240018.24</v>
      </c>
      <c r="BK410" s="379">
        <f t="shared" si="339"/>
        <v>0</v>
      </c>
      <c r="BL410" s="379">
        <f t="shared" si="339"/>
        <v>0</v>
      </c>
      <c r="BM410" s="379">
        <f t="shared" si="339"/>
        <v>0</v>
      </c>
    </row>
    <row r="411" spans="1:66" s="287" customFormat="1" ht="86.25" hidden="1" customHeight="1" x14ac:dyDescent="0.25">
      <c r="A411" s="380"/>
      <c r="B411" s="274"/>
      <c r="C411" s="381"/>
      <c r="M411" s="382"/>
      <c r="R411" s="382"/>
      <c r="S411" s="382"/>
      <c r="T411" s="323"/>
      <c r="U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T411" s="382"/>
      <c r="AZ411" s="382"/>
      <c r="BA411" s="323"/>
      <c r="BB411" s="323"/>
      <c r="BC411" s="323"/>
      <c r="BD411" s="286"/>
      <c r="BE411" s="323"/>
    </row>
    <row r="412" spans="1:66" s="275" customFormat="1" ht="26.45" customHeight="1" x14ac:dyDescent="0.25">
      <c r="A412" s="270" t="s">
        <v>258</v>
      </c>
      <c r="B412" s="271" t="s">
        <v>99</v>
      </c>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c r="AY412" s="272"/>
      <c r="AZ412" s="272"/>
      <c r="BA412" s="272"/>
      <c r="BB412" s="272"/>
      <c r="BC412" s="273"/>
      <c r="BD412" s="286"/>
      <c r="BE412" s="274"/>
    </row>
    <row r="413" spans="1:66" s="388" customFormat="1" ht="22.15" customHeight="1" x14ac:dyDescent="0.25">
      <c r="A413" s="383"/>
      <c r="B413" s="384" t="s">
        <v>259</v>
      </c>
      <c r="C413" s="385"/>
      <c r="D413" s="384"/>
      <c r="E413" s="384"/>
      <c r="F413" s="384"/>
      <c r="G413" s="384"/>
      <c r="H413" s="384"/>
      <c r="I413" s="384"/>
      <c r="J413" s="384"/>
      <c r="K413" s="384"/>
      <c r="L413" s="384"/>
      <c r="M413" s="386"/>
      <c r="N413" s="384"/>
      <c r="O413" s="384"/>
      <c r="P413" s="384"/>
      <c r="Q413" s="384"/>
      <c r="R413" s="386"/>
      <c r="S413" s="386"/>
      <c r="T413" s="385"/>
      <c r="U413" s="384"/>
      <c r="V413" s="384"/>
      <c r="W413" s="384"/>
      <c r="X413" s="384"/>
      <c r="Y413" s="384"/>
      <c r="Z413" s="384"/>
      <c r="AA413" s="384"/>
      <c r="AB413" s="384"/>
      <c r="AC413" s="384"/>
      <c r="AD413" s="384"/>
      <c r="AE413" s="384"/>
      <c r="AF413" s="384"/>
      <c r="AG413" s="384"/>
      <c r="AH413" s="384"/>
      <c r="AI413" s="384"/>
      <c r="AJ413" s="384"/>
      <c r="AK413" s="384"/>
      <c r="AL413" s="384"/>
      <c r="AM413" s="384"/>
      <c r="AN413" s="384"/>
      <c r="AO413" s="384"/>
      <c r="AP413" s="384"/>
      <c r="AQ413" s="387"/>
      <c r="AR413" s="384"/>
      <c r="AS413" s="384"/>
      <c r="AT413" s="386"/>
      <c r="AU413" s="384"/>
      <c r="AV413" s="384"/>
      <c r="AW413" s="384"/>
      <c r="AX413" s="384"/>
      <c r="AY413" s="384"/>
      <c r="AZ413" s="386"/>
      <c r="BA413" s="384"/>
      <c r="BB413" s="384"/>
      <c r="BC413" s="387"/>
      <c r="BD413" s="286"/>
      <c r="BE413" s="371"/>
    </row>
    <row r="414" spans="1:66" s="287" customFormat="1" x14ac:dyDescent="0.25">
      <c r="A414" s="276"/>
      <c r="B414" s="277" t="s">
        <v>260</v>
      </c>
      <c r="C414" s="425">
        <f>1</f>
        <v>1</v>
      </c>
      <c r="D414" s="279"/>
      <c r="E414" s="279"/>
      <c r="F414" s="279"/>
      <c r="G414" s="279"/>
      <c r="H414" s="279"/>
      <c r="I414" s="279"/>
      <c r="J414" s="279">
        <v>1</v>
      </c>
      <c r="K414" s="279"/>
      <c r="L414" s="277"/>
      <c r="M414" s="280">
        <f>M$356</f>
        <v>3028</v>
      </c>
      <c r="N414" s="281">
        <f>N$244</f>
        <v>2</v>
      </c>
      <c r="O414" s="282">
        <v>2.35</v>
      </c>
      <c r="P414" s="282">
        <f>P$244</f>
        <v>1.58</v>
      </c>
      <c r="Q414" s="282"/>
      <c r="R414" s="283">
        <f>$R$352</f>
        <v>686</v>
      </c>
      <c r="S414" s="280">
        <f>T414/(R414/4)</f>
        <v>131.1137026239067</v>
      </c>
      <c r="T414" s="425">
        <f>ROUND(M414*N414*O414*P414,0)</f>
        <v>22486</v>
      </c>
      <c r="U414" s="284">
        <f>T414*C414*4</f>
        <v>89944</v>
      </c>
      <c r="V414" s="277">
        <v>30</v>
      </c>
      <c r="W414" s="285"/>
      <c r="X414" s="285">
        <f>U414*V414%</f>
        <v>26983.200000000001</v>
      </c>
      <c r="Y414" s="277"/>
      <c r="Z414" s="277"/>
      <c r="AA414" s="277"/>
      <c r="AB414" s="277"/>
      <c r="AC414" s="277"/>
      <c r="AD414" s="277"/>
      <c r="AE414" s="277"/>
      <c r="AF414" s="277"/>
      <c r="AG414" s="277"/>
      <c r="AH414" s="277"/>
      <c r="AI414" s="277"/>
      <c r="AJ414" s="277"/>
      <c r="AK414" s="277">
        <v>15</v>
      </c>
      <c r="AL414" s="277"/>
      <c r="AM414" s="285">
        <f>T414*AK414%*4</f>
        <v>13491.6</v>
      </c>
      <c r="AN414" s="277"/>
      <c r="AO414" s="277"/>
      <c r="AP414" s="277"/>
      <c r="AQ414" s="284">
        <f t="shared" ref="AQ414:AQ420" si="340">X414+AA414+AD414+AG414+AJ414+AM414+AP414</f>
        <v>40474.800000000003</v>
      </c>
      <c r="AR414" s="277">
        <f>AR$29</f>
        <v>20</v>
      </c>
      <c r="AS414" s="277">
        <f>AT414/C414</f>
        <v>17988.8</v>
      </c>
      <c r="AT414" s="280">
        <f>(U414)*AR414%</f>
        <v>17988.8</v>
      </c>
      <c r="AU414" s="277"/>
      <c r="AV414" s="277">
        <v>100</v>
      </c>
      <c r="AW414" s="277">
        <f>AU414*T414</f>
        <v>0</v>
      </c>
      <c r="AX414" s="277"/>
      <c r="AY414" s="277"/>
      <c r="AZ414" s="280"/>
      <c r="BA414" s="284">
        <f>AT414+AW414+AZ414</f>
        <v>17988.8</v>
      </c>
      <c r="BB414" s="284">
        <f>BC414/C414</f>
        <v>148407.6</v>
      </c>
      <c r="BC414" s="284">
        <f>BA414+AQ414+U414</f>
        <v>148407.6</v>
      </c>
      <c r="BD414" s="286">
        <f t="shared" si="272"/>
        <v>29681.52</v>
      </c>
      <c r="BE414" s="286"/>
      <c r="BF414" s="251">
        <f>IF(D414=1,BC414,0)</f>
        <v>0</v>
      </c>
      <c r="BG414" s="251">
        <f>IF(E414=1,BC414,0)</f>
        <v>0</v>
      </c>
      <c r="BH414" s="251">
        <f>IF(F414=1,BC414,0)</f>
        <v>0</v>
      </c>
      <c r="BI414" s="251">
        <f>IF(G414=1,BC414,0)</f>
        <v>0</v>
      </c>
      <c r="BJ414" s="251">
        <f>IF(H414=1,BC414,0)</f>
        <v>0</v>
      </c>
      <c r="BK414" s="251">
        <f>IF(I414=1,BC414,0)</f>
        <v>0</v>
      </c>
      <c r="BL414" s="251">
        <f>IF(J414=1,BC414,0)</f>
        <v>148407.6</v>
      </c>
      <c r="BM414" s="251">
        <f>IF(K414=1,BC414,0)</f>
        <v>0</v>
      </c>
    </row>
    <row r="415" spans="1:66" s="287" customFormat="1" ht="14.25" customHeight="1" x14ac:dyDescent="0.25">
      <c r="A415" s="276"/>
      <c r="B415" s="288" t="s">
        <v>238</v>
      </c>
      <c r="C415" s="425">
        <v>2</v>
      </c>
      <c r="D415" s="279"/>
      <c r="E415" s="279"/>
      <c r="F415" s="279"/>
      <c r="G415" s="279"/>
      <c r="H415" s="279"/>
      <c r="I415" s="279"/>
      <c r="J415" s="279">
        <v>1</v>
      </c>
      <c r="K415" s="279"/>
      <c r="L415" s="277"/>
      <c r="M415" s="280">
        <f>M$356</f>
        <v>3028</v>
      </c>
      <c r="N415" s="281">
        <f>N$244</f>
        <v>2</v>
      </c>
      <c r="O415" s="282">
        <v>1.8</v>
      </c>
      <c r="P415" s="282">
        <f>P$244</f>
        <v>1.58</v>
      </c>
      <c r="Q415" s="282"/>
      <c r="R415" s="283">
        <f>$R$352</f>
        <v>686</v>
      </c>
      <c r="S415" s="280">
        <f>T415/(R415/4)</f>
        <v>100.42565597667638</v>
      </c>
      <c r="T415" s="425">
        <f>ROUND(M415*N415*O415*P415,0)</f>
        <v>17223</v>
      </c>
      <c r="U415" s="284">
        <f>T415*C415*4</f>
        <v>137784</v>
      </c>
      <c r="V415" s="277">
        <v>20</v>
      </c>
      <c r="W415" s="285"/>
      <c r="X415" s="285">
        <f>U415*V415%</f>
        <v>27556.800000000003</v>
      </c>
      <c r="Y415" s="277"/>
      <c r="Z415" s="277"/>
      <c r="AA415" s="277"/>
      <c r="AB415" s="277"/>
      <c r="AC415" s="277"/>
      <c r="AD415" s="277"/>
      <c r="AE415" s="277"/>
      <c r="AF415" s="277"/>
      <c r="AG415" s="277"/>
      <c r="AH415" s="277"/>
      <c r="AI415" s="277"/>
      <c r="AJ415" s="277"/>
      <c r="AK415" s="277">
        <f>(15+15)/2</f>
        <v>15</v>
      </c>
      <c r="AL415" s="277"/>
      <c r="AM415" s="342">
        <f>2*T415*AK415%*4</f>
        <v>20667.599999999999</v>
      </c>
      <c r="AN415" s="277"/>
      <c r="AO415" s="277"/>
      <c r="AP415" s="277"/>
      <c r="AQ415" s="284">
        <f t="shared" si="340"/>
        <v>48224.4</v>
      </c>
      <c r="AR415" s="277">
        <f>AR$29</f>
        <v>20</v>
      </c>
      <c r="AS415" s="285">
        <f>AT415/C415</f>
        <v>13778.400000000001</v>
      </c>
      <c r="AT415" s="280">
        <f>(U415)*AR415%</f>
        <v>27556.800000000003</v>
      </c>
      <c r="AU415" s="277">
        <v>2</v>
      </c>
      <c r="AV415" s="277">
        <v>100</v>
      </c>
      <c r="AW415" s="277">
        <f>AU415*T415</f>
        <v>34446</v>
      </c>
      <c r="AX415" s="277"/>
      <c r="AY415" s="285"/>
      <c r="AZ415" s="280"/>
      <c r="BA415" s="284">
        <f>AT415+AW415+AZ415</f>
        <v>62002.8</v>
      </c>
      <c r="BB415" s="284">
        <f>BC415/C415</f>
        <v>124005.6</v>
      </c>
      <c r="BC415" s="284">
        <f>BA415+AQ415+U415</f>
        <v>248011.2</v>
      </c>
      <c r="BD415" s="286">
        <f t="shared" si="272"/>
        <v>24801.120000000003</v>
      </c>
      <c r="BE415" s="286"/>
      <c r="BF415" s="251">
        <f>IF(D415=1,BC415,0)</f>
        <v>0</v>
      </c>
      <c r="BG415" s="251">
        <f>IF(E415=1,BC415,0)</f>
        <v>0</v>
      </c>
      <c r="BH415" s="251">
        <f>IF(F415=1,BC415,0)</f>
        <v>0</v>
      </c>
      <c r="BI415" s="251">
        <f>IF(G415=1,BC415,0)</f>
        <v>0</v>
      </c>
      <c r="BJ415" s="251">
        <f>IF(H415=1,BC415,0)</f>
        <v>0</v>
      </c>
      <c r="BK415" s="251">
        <f>IF(I415=1,BC415,0)</f>
        <v>0</v>
      </c>
      <c r="BL415" s="251">
        <f>IF(J415=1,BC415,0)</f>
        <v>248011.2</v>
      </c>
      <c r="BM415" s="251">
        <f>IF(K415=1,BC415,0)</f>
        <v>0</v>
      </c>
    </row>
    <row r="416" spans="1:66" s="287" customFormat="1" ht="28.5" x14ac:dyDescent="0.25">
      <c r="A416" s="276"/>
      <c r="B416" s="288" t="s">
        <v>261</v>
      </c>
      <c r="C416" s="278">
        <v>1</v>
      </c>
      <c r="D416" s="279"/>
      <c r="E416" s="279"/>
      <c r="F416" s="279"/>
      <c r="G416" s="279"/>
      <c r="H416" s="279">
        <v>1</v>
      </c>
      <c r="I416" s="279"/>
      <c r="J416" s="279"/>
      <c r="K416" s="279"/>
      <c r="L416" s="277"/>
      <c r="M416" s="280">
        <f>M$356</f>
        <v>3028</v>
      </c>
      <c r="N416" s="281">
        <f>N$244</f>
        <v>2</v>
      </c>
      <c r="O416" s="282">
        <v>1.32</v>
      </c>
      <c r="P416" s="282">
        <f>P$244</f>
        <v>1.58</v>
      </c>
      <c r="Q416" s="282"/>
      <c r="R416" s="283">
        <f>$R$352</f>
        <v>686</v>
      </c>
      <c r="S416" s="280">
        <f>T416/(R416/4)</f>
        <v>73.64431486880467</v>
      </c>
      <c r="T416" s="425">
        <f>ROUND(M416*N416*O416*P416,0)</f>
        <v>12630</v>
      </c>
      <c r="U416" s="284">
        <f>T416*C416*4</f>
        <v>50520</v>
      </c>
      <c r="V416" s="277">
        <v>12</v>
      </c>
      <c r="W416" s="285"/>
      <c r="X416" s="285">
        <f>U416*V416%</f>
        <v>6062.4</v>
      </c>
      <c r="Y416" s="277"/>
      <c r="Z416" s="277"/>
      <c r="AA416" s="277"/>
      <c r="AB416" s="277"/>
      <c r="AC416" s="277"/>
      <c r="AD416" s="277"/>
      <c r="AE416" s="277"/>
      <c r="AF416" s="277"/>
      <c r="AG416" s="277"/>
      <c r="AH416" s="277"/>
      <c r="AI416" s="277"/>
      <c r="AJ416" s="277"/>
      <c r="AK416" s="277">
        <v>20</v>
      </c>
      <c r="AL416" s="277"/>
      <c r="AM416" s="342">
        <f>1*T416*AK416%*4</f>
        <v>10104</v>
      </c>
      <c r="AN416" s="277"/>
      <c r="AO416" s="277"/>
      <c r="AP416" s="277"/>
      <c r="AQ416" s="284">
        <f>X416+AA416+AD416+AG416+AJ416+AM416+AP416</f>
        <v>16166.4</v>
      </c>
      <c r="AR416" s="277">
        <f>AR$29</f>
        <v>20</v>
      </c>
      <c r="AS416" s="285">
        <f>AT416/C416</f>
        <v>10104</v>
      </c>
      <c r="AT416" s="280">
        <f>(U416)*AR416%</f>
        <v>10104</v>
      </c>
      <c r="AU416" s="339">
        <v>1</v>
      </c>
      <c r="AV416" s="277">
        <v>100</v>
      </c>
      <c r="AW416" s="277">
        <f>AU416*T416</f>
        <v>12630</v>
      </c>
      <c r="AX416" s="277"/>
      <c r="AY416" s="285"/>
      <c r="AZ416" s="280"/>
      <c r="BA416" s="284">
        <f>AT416+AW416+AZ416</f>
        <v>22734</v>
      </c>
      <c r="BB416" s="284">
        <f>BC416/C416</f>
        <v>89420.4</v>
      </c>
      <c r="BC416" s="284">
        <f>BA416+AQ416+U416</f>
        <v>89420.4</v>
      </c>
      <c r="BD416" s="286">
        <f>BC416/C416/5</f>
        <v>17884.079999999998</v>
      </c>
      <c r="BE416" s="286"/>
      <c r="BF416" s="251">
        <f>IF(D416=1,BC416,0)</f>
        <v>0</v>
      </c>
      <c r="BG416" s="251">
        <f>IF(E416=1,BC416,0)</f>
        <v>0</v>
      </c>
      <c r="BH416" s="251">
        <f>IF(F416=1,BC416,0)</f>
        <v>0</v>
      </c>
      <c r="BI416" s="251">
        <f>IF(G416=1,BC416,0)</f>
        <v>0</v>
      </c>
      <c r="BJ416" s="251">
        <f>IF(H416=1,BC416,0)</f>
        <v>89420.4</v>
      </c>
      <c r="BK416" s="251">
        <f>IF(I416=1,BC416,0)</f>
        <v>0</v>
      </c>
      <c r="BL416" s="251">
        <f>IF(J416=1,BC416,0)</f>
        <v>0</v>
      </c>
      <c r="BM416" s="251">
        <f>IF(K416=1,BC416,0)</f>
        <v>0</v>
      </c>
    </row>
    <row r="417" spans="1:65" s="287" customFormat="1" ht="17.25" customHeight="1" x14ac:dyDescent="0.25">
      <c r="A417" s="276"/>
      <c r="B417" s="288" t="s">
        <v>262</v>
      </c>
      <c r="C417" s="278">
        <f>4</f>
        <v>4</v>
      </c>
      <c r="D417" s="279"/>
      <c r="E417" s="279"/>
      <c r="F417" s="279"/>
      <c r="G417" s="279"/>
      <c r="H417" s="279">
        <v>1</v>
      </c>
      <c r="I417" s="279"/>
      <c r="J417" s="279"/>
      <c r="K417" s="279"/>
      <c r="L417" s="277"/>
      <c r="M417" s="280">
        <f>M$356</f>
        <v>3028</v>
      </c>
      <c r="N417" s="281">
        <f>N$244</f>
        <v>2</v>
      </c>
      <c r="O417" s="282">
        <v>1.2</v>
      </c>
      <c r="P417" s="282">
        <f>P$244</f>
        <v>1.58</v>
      </c>
      <c r="Q417" s="282"/>
      <c r="R417" s="283">
        <f>$R$352</f>
        <v>686</v>
      </c>
      <c r="S417" s="280">
        <f>T417/(R417/4)</f>
        <v>66.95043731778425</v>
      </c>
      <c r="T417" s="425">
        <f>ROUND(M417*N417*O417*P417,0)</f>
        <v>11482</v>
      </c>
      <c r="U417" s="284">
        <f>T417*C417*4</f>
        <v>183712</v>
      </c>
      <c r="V417" s="277">
        <v>12</v>
      </c>
      <c r="W417" s="285"/>
      <c r="X417" s="285">
        <f>U417*V417%</f>
        <v>22045.439999999999</v>
      </c>
      <c r="Y417" s="277"/>
      <c r="Z417" s="277"/>
      <c r="AA417" s="277"/>
      <c r="AB417" s="277"/>
      <c r="AC417" s="277"/>
      <c r="AD417" s="277"/>
      <c r="AE417" s="277"/>
      <c r="AF417" s="277"/>
      <c r="AG417" s="277"/>
      <c r="AH417" s="277"/>
      <c r="AI417" s="277"/>
      <c r="AJ417" s="277"/>
      <c r="AK417" s="277">
        <f>(15+20+10+10)/4</f>
        <v>13.75</v>
      </c>
      <c r="AL417" s="277"/>
      <c r="AM417" s="342">
        <f>4*T417*AK417%*4</f>
        <v>25260.400000000001</v>
      </c>
      <c r="AN417" s="277"/>
      <c r="AO417" s="277"/>
      <c r="AP417" s="277"/>
      <c r="AQ417" s="284">
        <f t="shared" si="340"/>
        <v>47305.84</v>
      </c>
      <c r="AR417" s="277">
        <f>AR$29</f>
        <v>20</v>
      </c>
      <c r="AS417" s="285">
        <f>AT417/C417</f>
        <v>9185.6</v>
      </c>
      <c r="AT417" s="280">
        <f>(U417)*AR417%</f>
        <v>36742.400000000001</v>
      </c>
      <c r="AU417" s="277">
        <v>2</v>
      </c>
      <c r="AV417" s="277">
        <v>100</v>
      </c>
      <c r="AW417" s="277">
        <f>AU417*T417</f>
        <v>22964</v>
      </c>
      <c r="AX417" s="277"/>
      <c r="AY417" s="285"/>
      <c r="AZ417" s="280"/>
      <c r="BA417" s="284">
        <f>AT417+AW417+AZ417</f>
        <v>59706.400000000001</v>
      </c>
      <c r="BB417" s="284">
        <f>BC417/C417</f>
        <v>72681.06</v>
      </c>
      <c r="BC417" s="284">
        <f>BA417+AQ417+U417</f>
        <v>290724.24</v>
      </c>
      <c r="BD417" s="286">
        <f t="shared" si="272"/>
        <v>14536.212</v>
      </c>
      <c r="BE417" s="286"/>
      <c r="BF417" s="251">
        <f>IF(D417=1,BC417,0)</f>
        <v>0</v>
      </c>
      <c r="BG417" s="251">
        <f>IF(E417=1,BC417,0)</f>
        <v>0</v>
      </c>
      <c r="BH417" s="251">
        <f>IF(F417=1,BC417,0)</f>
        <v>0</v>
      </c>
      <c r="BI417" s="251">
        <f>IF(G417=1,BC417,0)</f>
        <v>0</v>
      </c>
      <c r="BJ417" s="251">
        <f>IF(H417=1,BC417,0)</f>
        <v>290724.24</v>
      </c>
      <c r="BK417" s="251">
        <f>IF(I417=1,BC417,0)</f>
        <v>0</v>
      </c>
      <c r="BL417" s="251">
        <f>IF(J417=1,BC417,0)</f>
        <v>0</v>
      </c>
      <c r="BM417" s="251">
        <f>IF(K417=1,BC417,0)</f>
        <v>0</v>
      </c>
    </row>
    <row r="418" spans="1:65" s="301" customFormat="1" ht="17.25" customHeight="1" x14ac:dyDescent="0.25">
      <c r="A418" s="289"/>
      <c r="B418" s="290" t="s">
        <v>262</v>
      </c>
      <c r="C418" s="376">
        <v>6</v>
      </c>
      <c r="D418" s="292"/>
      <c r="E418" s="292"/>
      <c r="F418" s="292"/>
      <c r="G418" s="292"/>
      <c r="H418" s="292"/>
      <c r="I418" s="292">
        <v>1</v>
      </c>
      <c r="J418" s="292"/>
      <c r="K418" s="292"/>
      <c r="L418" s="293"/>
      <c r="M418" s="294">
        <f>M$356</f>
        <v>3028</v>
      </c>
      <c r="N418" s="429">
        <f>N$244</f>
        <v>2</v>
      </c>
      <c r="O418" s="295">
        <v>1.2</v>
      </c>
      <c r="P418" s="295">
        <f>P$244</f>
        <v>1.58</v>
      </c>
      <c r="Q418" s="295"/>
      <c r="R418" s="296">
        <f>$R$352</f>
        <v>686</v>
      </c>
      <c r="S418" s="294">
        <f>T418/(R418/4)</f>
        <v>66.95043731778425</v>
      </c>
      <c r="T418" s="291">
        <f>ROUND(M418*N418*O418*P418,0)</f>
        <v>11482</v>
      </c>
      <c r="U418" s="297">
        <f>T418*C418*4</f>
        <v>275568</v>
      </c>
      <c r="V418" s="293">
        <v>12</v>
      </c>
      <c r="W418" s="298"/>
      <c r="X418" s="298">
        <f>U418*V418%</f>
        <v>33068.159999999996</v>
      </c>
      <c r="Y418" s="293"/>
      <c r="Z418" s="293"/>
      <c r="AA418" s="293"/>
      <c r="AB418" s="293"/>
      <c r="AC418" s="293"/>
      <c r="AD418" s="293"/>
      <c r="AE418" s="293"/>
      <c r="AF418" s="293"/>
      <c r="AG418" s="293"/>
      <c r="AH418" s="293"/>
      <c r="AI418" s="293"/>
      <c r="AJ418" s="293"/>
      <c r="AK418" s="277">
        <f>(10+10)/2</f>
        <v>10</v>
      </c>
      <c r="AL418" s="293"/>
      <c r="AM418" s="298">
        <f>2*T418*AK418%*4</f>
        <v>9185.6</v>
      </c>
      <c r="AN418" s="293"/>
      <c r="AO418" s="293"/>
      <c r="AP418" s="293"/>
      <c r="AQ418" s="297">
        <f t="shared" si="340"/>
        <v>42253.759999999995</v>
      </c>
      <c r="AR418" s="293">
        <f>AR$29</f>
        <v>20</v>
      </c>
      <c r="AS418" s="298">
        <f>AT418/C418</f>
        <v>9185.6</v>
      </c>
      <c r="AT418" s="294">
        <f>(U418)*AR418%</f>
        <v>55113.600000000006</v>
      </c>
      <c r="AU418" s="293">
        <f>1+1</f>
        <v>2</v>
      </c>
      <c r="AV418" s="293">
        <v>100</v>
      </c>
      <c r="AW418" s="293">
        <f>AU418*T418</f>
        <v>22964</v>
      </c>
      <c r="AX418" s="293"/>
      <c r="AY418" s="298"/>
      <c r="AZ418" s="294"/>
      <c r="BA418" s="297">
        <f>AT418+AW418+AZ418</f>
        <v>78077.600000000006</v>
      </c>
      <c r="BB418" s="297">
        <f>BC418/C418</f>
        <v>65983.226666666669</v>
      </c>
      <c r="BC418" s="297">
        <f>BA418+AQ418+U418</f>
        <v>395899.36</v>
      </c>
      <c r="BD418" s="299">
        <f t="shared" si="272"/>
        <v>13196.645333333334</v>
      </c>
      <c r="BE418" s="299"/>
      <c r="BF418" s="300">
        <f>IF(D418=1,BC418,0)</f>
        <v>0</v>
      </c>
      <c r="BG418" s="300">
        <f>IF(E418=1,BC418,0)</f>
        <v>0</v>
      </c>
      <c r="BH418" s="300">
        <f>IF(F418=1,BC418,0)</f>
        <v>0</v>
      </c>
      <c r="BI418" s="300">
        <f>IF(G418=1,BC418,0)</f>
        <v>0</v>
      </c>
      <c r="BJ418" s="300">
        <f>IF(H418=1,BC418,0)</f>
        <v>0</v>
      </c>
      <c r="BK418" s="300">
        <f>IF(I418=1,BC418,0)</f>
        <v>395899.36</v>
      </c>
      <c r="BL418" s="300">
        <f>IF(J418=1,BC418,0)</f>
        <v>0</v>
      </c>
      <c r="BM418" s="300">
        <f>IF(K418=1,BC418,0)</f>
        <v>0</v>
      </c>
    </row>
    <row r="419" spans="1:65" s="301" customFormat="1" ht="18.75" customHeight="1" x14ac:dyDescent="0.25">
      <c r="A419" s="289"/>
      <c r="B419" s="290"/>
      <c r="C419" s="291"/>
      <c r="D419" s="292"/>
      <c r="E419" s="292"/>
      <c r="F419" s="292"/>
      <c r="G419" s="292"/>
      <c r="H419" s="292"/>
      <c r="I419" s="292"/>
      <c r="J419" s="292"/>
      <c r="K419" s="292"/>
      <c r="L419" s="293"/>
      <c r="M419" s="294"/>
      <c r="N419" s="429"/>
      <c r="O419" s="430"/>
      <c r="P419" s="295"/>
      <c r="Q419" s="295"/>
      <c r="R419" s="296"/>
      <c r="S419" s="294"/>
      <c r="T419" s="291"/>
      <c r="U419" s="297"/>
      <c r="V419" s="293"/>
      <c r="W419" s="298"/>
      <c r="X419" s="298"/>
      <c r="Y419" s="293"/>
      <c r="Z419" s="293"/>
      <c r="AA419" s="293"/>
      <c r="AB419" s="293"/>
      <c r="AC419" s="293"/>
      <c r="AD419" s="293"/>
      <c r="AE419" s="293"/>
      <c r="AF419" s="293"/>
      <c r="AG419" s="293"/>
      <c r="AH419" s="293"/>
      <c r="AI419" s="293"/>
      <c r="AJ419" s="293"/>
      <c r="AK419" s="277"/>
      <c r="AL419" s="293"/>
      <c r="AM419" s="298"/>
      <c r="AN419" s="293"/>
      <c r="AO419" s="293"/>
      <c r="AP419" s="293"/>
      <c r="AQ419" s="297"/>
      <c r="AR419" s="293"/>
      <c r="AS419" s="298"/>
      <c r="AT419" s="294"/>
      <c r="AU419" s="293"/>
      <c r="AV419" s="293"/>
      <c r="AW419" s="293"/>
      <c r="AX419" s="293"/>
      <c r="AY419" s="298"/>
      <c r="AZ419" s="304"/>
      <c r="BA419" s="297"/>
      <c r="BB419" s="297"/>
      <c r="BC419" s="297"/>
      <c r="BD419" s="299"/>
      <c r="BE419" s="299"/>
      <c r="BF419" s="300"/>
      <c r="BG419" s="300"/>
      <c r="BH419" s="300"/>
      <c r="BI419" s="300"/>
      <c r="BJ419" s="300"/>
      <c r="BK419" s="300"/>
      <c r="BL419" s="300"/>
      <c r="BM419" s="300"/>
    </row>
    <row r="420" spans="1:65" s="287" customFormat="1" x14ac:dyDescent="0.25">
      <c r="A420" s="276"/>
      <c r="B420" s="288"/>
      <c r="C420" s="425"/>
      <c r="D420" s="279"/>
      <c r="E420" s="279"/>
      <c r="F420" s="279"/>
      <c r="G420" s="279"/>
      <c r="H420" s="279"/>
      <c r="I420" s="279"/>
      <c r="J420" s="279"/>
      <c r="K420" s="279"/>
      <c r="L420" s="277"/>
      <c r="M420" s="280"/>
      <c r="N420" s="281"/>
      <c r="O420" s="282"/>
      <c r="P420" s="282"/>
      <c r="Q420" s="282"/>
      <c r="R420" s="283"/>
      <c r="S420" s="280"/>
      <c r="T420" s="425"/>
      <c r="U420" s="284"/>
      <c r="V420" s="277"/>
      <c r="W420" s="285"/>
      <c r="X420" s="285"/>
      <c r="Y420" s="277"/>
      <c r="Z420" s="277"/>
      <c r="AA420" s="277"/>
      <c r="AB420" s="277"/>
      <c r="AC420" s="277"/>
      <c r="AD420" s="285"/>
      <c r="AE420" s="277"/>
      <c r="AF420" s="285"/>
      <c r="AG420" s="285"/>
      <c r="AH420" s="277"/>
      <c r="AI420" s="285"/>
      <c r="AJ420" s="285"/>
      <c r="AK420" s="277"/>
      <c r="AL420" s="277"/>
      <c r="AM420" s="285">
        <f>T420*AK420%*2*4</f>
        <v>0</v>
      </c>
      <c r="AN420" s="277"/>
      <c r="AO420" s="277"/>
      <c r="AP420" s="277"/>
      <c r="AQ420" s="284">
        <f t="shared" si="340"/>
        <v>0</v>
      </c>
      <c r="AR420" s="277"/>
      <c r="AS420" s="285"/>
      <c r="AT420" s="280"/>
      <c r="AU420" s="277"/>
      <c r="AV420" s="277"/>
      <c r="AW420" s="277"/>
      <c r="AX420" s="277"/>
      <c r="AY420" s="285"/>
      <c r="AZ420" s="280"/>
      <c r="BA420" s="284"/>
      <c r="BB420" s="284"/>
      <c r="BC420" s="284"/>
      <c r="BD420" s="286"/>
      <c r="BE420" s="286"/>
      <c r="BF420" s="251"/>
      <c r="BG420" s="251"/>
      <c r="BH420" s="251"/>
      <c r="BI420" s="251"/>
      <c r="BJ420" s="251"/>
      <c r="BK420" s="251"/>
      <c r="BL420" s="251"/>
      <c r="BM420" s="251"/>
    </row>
    <row r="421" spans="1:65" s="316" customFormat="1" ht="14.25" x14ac:dyDescent="0.25">
      <c r="A421" s="306"/>
      <c r="B421" s="372" t="s">
        <v>229</v>
      </c>
      <c r="C421" s="329">
        <f>SUM(C414:C420)</f>
        <v>14</v>
      </c>
      <c r="D421" s="309"/>
      <c r="E421" s="309"/>
      <c r="F421" s="309"/>
      <c r="G421" s="309"/>
      <c r="H421" s="309"/>
      <c r="I421" s="309"/>
      <c r="J421" s="309"/>
      <c r="K421" s="309"/>
      <c r="L421" s="309"/>
      <c r="M421" s="310"/>
      <c r="N421" s="309"/>
      <c r="O421" s="309"/>
      <c r="P421" s="309"/>
      <c r="Q421" s="309"/>
      <c r="R421" s="310"/>
      <c r="S421" s="310"/>
      <c r="T421" s="349">
        <f>U421/4</f>
        <v>184382</v>
      </c>
      <c r="U421" s="312">
        <f>SUM(U414:U420)</f>
        <v>737528</v>
      </c>
      <c r="V421" s="309"/>
      <c r="W421" s="309"/>
      <c r="X421" s="312">
        <f>SUM(X414:X420)</f>
        <v>115716</v>
      </c>
      <c r="Y421" s="312"/>
      <c r="Z421" s="312"/>
      <c r="AA421" s="312">
        <f>SUM(AA414:AA420)</f>
        <v>0</v>
      </c>
      <c r="AB421" s="312"/>
      <c r="AC421" s="312"/>
      <c r="AD421" s="312">
        <f>SUM(AD414:AD420)</f>
        <v>0</v>
      </c>
      <c r="AE421" s="312"/>
      <c r="AF421" s="312"/>
      <c r="AG421" s="312">
        <f>SUM(AG414:AG420)</f>
        <v>0</v>
      </c>
      <c r="AH421" s="312"/>
      <c r="AI421" s="312"/>
      <c r="AJ421" s="312">
        <f>SUM(AJ414:AJ420)</f>
        <v>0</v>
      </c>
      <c r="AK421" s="312"/>
      <c r="AL421" s="312"/>
      <c r="AM421" s="312">
        <f>SUM(AM414:AM420)</f>
        <v>78709.200000000012</v>
      </c>
      <c r="AN421" s="312"/>
      <c r="AO421" s="312"/>
      <c r="AP421" s="312">
        <f>SUM(AP414:AP420)</f>
        <v>0</v>
      </c>
      <c r="AQ421" s="312">
        <f>SUM(AQ414:AQ420)</f>
        <v>194425.2</v>
      </c>
      <c r="AR421" s="312"/>
      <c r="AS421" s="312">
        <f>SUM(AS414:AS420)</f>
        <v>60242.399999999994</v>
      </c>
      <c r="AT421" s="312">
        <f>SUM(AT414:AT420)</f>
        <v>147505.60000000001</v>
      </c>
      <c r="AU421" s="312">
        <f>SUM(AU414:AU420)</f>
        <v>7</v>
      </c>
      <c r="AV421" s="312"/>
      <c r="AW421" s="312">
        <f>SUM(AW414:AW420)</f>
        <v>93004</v>
      </c>
      <c r="AX421" s="312"/>
      <c r="AY421" s="312">
        <f>SUM(AY414:AY420)</f>
        <v>0</v>
      </c>
      <c r="AZ421" s="312">
        <f>SUM(AZ414:AZ420)</f>
        <v>0</v>
      </c>
      <c r="BA421" s="312">
        <f>SUM(BA414:BA420)</f>
        <v>240509.6</v>
      </c>
      <c r="BB421" s="312">
        <f>BC421/C421</f>
        <v>83747.342857142867</v>
      </c>
      <c r="BC421" s="312">
        <f>SUM(BC414:BC420)</f>
        <v>1172462.8</v>
      </c>
      <c r="BD421" s="286">
        <f t="shared" si="272"/>
        <v>16749.468571428573</v>
      </c>
      <c r="BE421" s="286"/>
    </row>
    <row r="422" spans="1:65" s="287" customFormat="1" ht="15.75" customHeight="1" x14ac:dyDescent="0.25">
      <c r="A422" s="276"/>
      <c r="B422" s="288"/>
      <c r="C422" s="425"/>
      <c r="D422" s="279"/>
      <c r="E422" s="279"/>
      <c r="F422" s="279"/>
      <c r="G422" s="279"/>
      <c r="H422" s="279"/>
      <c r="I422" s="279"/>
      <c r="J422" s="279"/>
      <c r="K422" s="279"/>
      <c r="L422" s="277"/>
      <c r="M422" s="280"/>
      <c r="N422" s="282"/>
      <c r="O422" s="282"/>
      <c r="P422" s="282"/>
      <c r="Q422" s="282"/>
      <c r="R422" s="283"/>
      <c r="S422" s="364"/>
      <c r="T422" s="425"/>
      <c r="U422" s="307"/>
      <c r="V422" s="277"/>
      <c r="W422" s="285"/>
      <c r="X422" s="285"/>
      <c r="Y422" s="277"/>
      <c r="Z422" s="277"/>
      <c r="AA422" s="277"/>
      <c r="AB422" s="277"/>
      <c r="AC422" s="277"/>
      <c r="AD422" s="285"/>
      <c r="AE422" s="277"/>
      <c r="AF422" s="285"/>
      <c r="AG422" s="285"/>
      <c r="AH422" s="277"/>
      <c r="AI422" s="285"/>
      <c r="AJ422" s="285"/>
      <c r="AK422" s="274"/>
      <c r="AL422" s="277"/>
      <c r="AM422" s="277"/>
      <c r="AN422" s="277"/>
      <c r="AO422" s="277"/>
      <c r="AP422" s="277"/>
      <c r="AQ422" s="307"/>
      <c r="AR422" s="277"/>
      <c r="AS422" s="285"/>
      <c r="AT422" s="280"/>
      <c r="AU422" s="277"/>
      <c r="AV422" s="277"/>
      <c r="AW422" s="277"/>
      <c r="AX422" s="277"/>
      <c r="AY422" s="285"/>
      <c r="AZ422" s="280"/>
      <c r="BA422" s="307"/>
      <c r="BB422" s="307"/>
      <c r="BC422" s="307"/>
      <c r="BD422" s="286"/>
      <c r="BE422" s="274"/>
      <c r="BF422" s="251"/>
      <c r="BG422" s="251"/>
      <c r="BH422" s="251"/>
      <c r="BI422" s="251"/>
      <c r="BJ422" s="251"/>
      <c r="BK422" s="251"/>
      <c r="BL422" s="251"/>
      <c r="BM422" s="251"/>
    </row>
    <row r="423" spans="1:65" s="275" customFormat="1" ht="23.25" customHeight="1" x14ac:dyDescent="0.25">
      <c r="A423" s="270" t="s">
        <v>263</v>
      </c>
      <c r="B423" s="324" t="s">
        <v>264</v>
      </c>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c r="AY423" s="272"/>
      <c r="AZ423" s="272"/>
      <c r="BA423" s="272"/>
      <c r="BB423" s="272"/>
      <c r="BC423" s="273"/>
      <c r="BD423" s="286"/>
      <c r="BE423" s="274"/>
    </row>
    <row r="424" spans="1:65" s="377" customFormat="1" x14ac:dyDescent="0.25">
      <c r="A424" s="375"/>
      <c r="B424" s="288" t="s">
        <v>265</v>
      </c>
      <c r="C424" s="376">
        <v>1</v>
      </c>
      <c r="D424" s="292"/>
      <c r="E424" s="292"/>
      <c r="F424" s="292"/>
      <c r="G424" s="292"/>
      <c r="H424" s="292"/>
      <c r="I424" s="292">
        <v>1</v>
      </c>
      <c r="J424" s="292"/>
      <c r="K424" s="292"/>
      <c r="L424" s="293"/>
      <c r="M424" s="280">
        <f>M$356</f>
        <v>3028</v>
      </c>
      <c r="N424" s="281">
        <f>N$29</f>
        <v>2</v>
      </c>
      <c r="O424" s="293">
        <v>1.9</v>
      </c>
      <c r="P424" s="295">
        <f>P$244</f>
        <v>1.58</v>
      </c>
      <c r="Q424" s="293"/>
      <c r="R424" s="296">
        <f>$R$352</f>
        <v>686</v>
      </c>
      <c r="S424" s="294">
        <f>T424/(R424/4)</f>
        <v>106.00583090379008</v>
      </c>
      <c r="T424" s="291">
        <f>ROUND(M424*N424*O424*P424,0)</f>
        <v>18180</v>
      </c>
      <c r="U424" s="297">
        <f>T424*C424*4</f>
        <v>72720</v>
      </c>
      <c r="V424" s="293">
        <v>20</v>
      </c>
      <c r="W424" s="298"/>
      <c r="X424" s="298">
        <f>U424*V424%</f>
        <v>14544</v>
      </c>
      <c r="Y424" s="293"/>
      <c r="Z424" s="293"/>
      <c r="AA424" s="293"/>
      <c r="AB424" s="293"/>
      <c r="AC424" s="293"/>
      <c r="AD424" s="293"/>
      <c r="AE424" s="293"/>
      <c r="AF424" s="293"/>
      <c r="AG424" s="293"/>
      <c r="AH424" s="293"/>
      <c r="AI424" s="293"/>
      <c r="AJ424" s="293"/>
      <c r="AK424" s="293">
        <v>15</v>
      </c>
      <c r="AL424" s="293"/>
      <c r="AM424" s="298">
        <f>T424*AK424%*4</f>
        <v>10908</v>
      </c>
      <c r="AN424" s="293"/>
      <c r="AO424" s="293"/>
      <c r="AP424" s="293"/>
      <c r="AQ424" s="297">
        <f>X424+AA424+AD424+AG424+AJ424+AM424+AP424</f>
        <v>25452</v>
      </c>
      <c r="AR424" s="293">
        <v>20</v>
      </c>
      <c r="AS424" s="298">
        <f>AT424/C424</f>
        <v>14544</v>
      </c>
      <c r="AT424" s="294">
        <f>(U424)*AR424%</f>
        <v>14544</v>
      </c>
      <c r="AU424" s="293">
        <v>1</v>
      </c>
      <c r="AV424" s="293">
        <v>100</v>
      </c>
      <c r="AW424" s="293">
        <f>AU424*T424</f>
        <v>18180</v>
      </c>
      <c r="AX424" s="293"/>
      <c r="AY424" s="298"/>
      <c r="AZ424" s="294"/>
      <c r="BA424" s="297">
        <f>AT424+AW424+AZ424</f>
        <v>32724</v>
      </c>
      <c r="BB424" s="297">
        <f t="shared" ref="BB424:BB431" si="341">BC424/C424</f>
        <v>130896</v>
      </c>
      <c r="BC424" s="297">
        <f>BA424+AQ424+U424</f>
        <v>130896</v>
      </c>
      <c r="BD424" s="299">
        <f t="shared" ref="BD424:BD441" si="342">BC424/C424/5</f>
        <v>26179.200000000001</v>
      </c>
      <c r="BE424" s="299"/>
      <c r="BF424" s="377">
        <f>IF(D424=1,BC424,0)</f>
        <v>0</v>
      </c>
      <c r="BG424" s="377">
        <f>IF(E424=1,BC424,0)</f>
        <v>0</v>
      </c>
      <c r="BH424" s="377">
        <f>IF(F424=1,BC424,0)</f>
        <v>0</v>
      </c>
      <c r="BI424" s="377">
        <f>IF(G424=1,BC424,0)</f>
        <v>0</v>
      </c>
      <c r="BJ424" s="300">
        <f>IF(H424=1,BC424,0)</f>
        <v>0</v>
      </c>
      <c r="BK424" s="300">
        <f>IF(I424=1,BC424,0)</f>
        <v>130896</v>
      </c>
      <c r="BL424" s="300">
        <f>IF(J424=1,BC424,0)</f>
        <v>0</v>
      </c>
      <c r="BM424" s="377">
        <f>IF(K424=1,BC424,0)</f>
        <v>0</v>
      </c>
    </row>
    <row r="425" spans="1:65" ht="27.75" customHeight="1" x14ac:dyDescent="0.25">
      <c r="A425" s="344"/>
      <c r="B425" s="288" t="s">
        <v>266</v>
      </c>
      <c r="C425" s="393">
        <v>2.25</v>
      </c>
      <c r="D425" s="279"/>
      <c r="E425" s="279"/>
      <c r="F425" s="279"/>
      <c r="G425" s="279"/>
      <c r="H425" s="279"/>
      <c r="I425" s="279">
        <v>1</v>
      </c>
      <c r="J425" s="279"/>
      <c r="K425" s="279"/>
      <c r="L425" s="277">
        <v>4</v>
      </c>
      <c r="M425" s="280">
        <f>M$356</f>
        <v>3028</v>
      </c>
      <c r="N425" s="281">
        <f>N$29</f>
        <v>2</v>
      </c>
      <c r="O425" s="277">
        <v>1.43</v>
      </c>
      <c r="P425" s="282">
        <v>1.58</v>
      </c>
      <c r="Q425" s="277"/>
      <c r="R425" s="283">
        <f>$R$352</f>
        <v>686</v>
      </c>
      <c r="S425" s="280">
        <f>T425/(R425/4)</f>
        <v>79.78425655976676</v>
      </c>
      <c r="T425" s="425">
        <f>ROUND(M425*N425*O425*P425,0)</f>
        <v>13683</v>
      </c>
      <c r="U425" s="284">
        <f>T425*C425*4</f>
        <v>123147</v>
      </c>
      <c r="V425" s="277">
        <v>16</v>
      </c>
      <c r="W425" s="285"/>
      <c r="X425" s="285">
        <f>U425*V425%</f>
        <v>19703.52</v>
      </c>
      <c r="Y425" s="277"/>
      <c r="Z425" s="277"/>
      <c r="AA425" s="277"/>
      <c r="AB425" s="277"/>
      <c r="AC425" s="277"/>
      <c r="AD425" s="277"/>
      <c r="AE425" s="277"/>
      <c r="AF425" s="277"/>
      <c r="AG425" s="277"/>
      <c r="AH425" s="277"/>
      <c r="AI425" s="277"/>
      <c r="AJ425" s="277"/>
      <c r="AK425" s="277">
        <v>7</v>
      </c>
      <c r="AL425" s="277"/>
      <c r="AM425" s="342">
        <f>T425*AK425%*4-2</f>
        <v>3829.2400000000002</v>
      </c>
      <c r="AN425" s="277"/>
      <c r="AO425" s="277"/>
      <c r="AP425" s="277"/>
      <c r="AQ425" s="284">
        <f>X425+AA425+AD425+AG425+AJ425+AM425+AP425</f>
        <v>23532.760000000002</v>
      </c>
      <c r="AR425" s="277">
        <v>20</v>
      </c>
      <c r="AS425" s="285">
        <f>AT425/C425</f>
        <v>10946.400000000001</v>
      </c>
      <c r="AT425" s="280">
        <f>(U425)*AR425%</f>
        <v>24629.4</v>
      </c>
      <c r="AU425" s="277"/>
      <c r="AV425" s="277">
        <v>100</v>
      </c>
      <c r="AW425" s="277">
        <f>AU425*T425</f>
        <v>0</v>
      </c>
      <c r="AX425" s="277"/>
      <c r="AY425" s="285"/>
      <c r="AZ425" s="280"/>
      <c r="BA425" s="284">
        <f>AT425+AW425+AZ425</f>
        <v>24629.4</v>
      </c>
      <c r="BB425" s="284">
        <f t="shared" si="341"/>
        <v>76137.404444444444</v>
      </c>
      <c r="BC425" s="284">
        <f>BA425+AQ425+U425</f>
        <v>171309.16</v>
      </c>
      <c r="BD425" s="286">
        <f t="shared" si="342"/>
        <v>15227.480888888889</v>
      </c>
      <c r="BE425" s="286"/>
      <c r="BF425" s="241">
        <f>IF(D425=1,BC425,0)</f>
        <v>0</v>
      </c>
      <c r="BG425" s="241">
        <f>IF(E425=1,BC425,0)</f>
        <v>0</v>
      </c>
      <c r="BH425" s="251">
        <f>IF(F425=1,BC425,0)</f>
        <v>0</v>
      </c>
      <c r="BI425" s="241">
        <f>IF(G425=1,BC425,0)</f>
        <v>0</v>
      </c>
      <c r="BJ425" s="251">
        <f>IF(H425=1,BC425,0)</f>
        <v>0</v>
      </c>
      <c r="BK425" s="251">
        <f>IF(I425=1,BC425,0)</f>
        <v>171309.16</v>
      </c>
      <c r="BL425" s="251">
        <f>IF(J425=1,BC425,0)</f>
        <v>0</v>
      </c>
      <c r="BM425" s="241">
        <f>IF(K425=1,BC425,0)</f>
        <v>0</v>
      </c>
    </row>
    <row r="426" spans="1:65" x14ac:dyDescent="0.25">
      <c r="A426" s="344"/>
      <c r="B426" s="288" t="s">
        <v>240</v>
      </c>
      <c r="C426" s="393">
        <v>0.25</v>
      </c>
      <c r="D426" s="279"/>
      <c r="E426" s="279"/>
      <c r="F426" s="279"/>
      <c r="G426" s="279"/>
      <c r="H426" s="279"/>
      <c r="I426" s="279">
        <v>1</v>
      </c>
      <c r="J426" s="279"/>
      <c r="K426" s="279"/>
      <c r="L426" s="277">
        <v>4</v>
      </c>
      <c r="M426" s="280">
        <f>M$356</f>
        <v>3028</v>
      </c>
      <c r="N426" s="281">
        <f>N$29</f>
        <v>2</v>
      </c>
      <c r="O426" s="277">
        <v>1.43</v>
      </c>
      <c r="P426" s="282">
        <v>1.58</v>
      </c>
      <c r="Q426" s="277"/>
      <c r="R426" s="283">
        <f>$R$352</f>
        <v>686</v>
      </c>
      <c r="S426" s="280">
        <f>T426/(R426/4)</f>
        <v>79.78425655976676</v>
      </c>
      <c r="T426" s="425">
        <f>ROUND(M426*N426*O426*P426,0)</f>
        <v>13683</v>
      </c>
      <c r="U426" s="284">
        <f>T426*C426*4</f>
        <v>13683</v>
      </c>
      <c r="V426" s="277">
        <v>16</v>
      </c>
      <c r="W426" s="285"/>
      <c r="X426" s="285">
        <f>U426*V426%</f>
        <v>2189.2800000000002</v>
      </c>
      <c r="Y426" s="277">
        <v>4</v>
      </c>
      <c r="Z426" s="285"/>
      <c r="AA426" s="285">
        <f>U426*Y426%</f>
        <v>547.32000000000005</v>
      </c>
      <c r="AB426" s="277"/>
      <c r="AC426" s="277"/>
      <c r="AD426" s="277"/>
      <c r="AE426" s="277"/>
      <c r="AF426" s="277"/>
      <c r="AG426" s="277"/>
      <c r="AH426" s="277"/>
      <c r="AI426" s="277"/>
      <c r="AJ426" s="277"/>
      <c r="AK426" s="277"/>
      <c r="AL426" s="277"/>
      <c r="AM426" s="285">
        <f>T426*AK426%*4</f>
        <v>0</v>
      </c>
      <c r="AN426" s="277"/>
      <c r="AO426" s="277"/>
      <c r="AP426" s="277"/>
      <c r="AQ426" s="284">
        <f>X426+AA426+AD426+AG426+AJ426+AM426+AP426</f>
        <v>2736.6000000000004</v>
      </c>
      <c r="AR426" s="277">
        <v>20</v>
      </c>
      <c r="AS426" s="285">
        <f>AT426/C426</f>
        <v>10946.400000000001</v>
      </c>
      <c r="AT426" s="280">
        <f>(U426)*AR426%</f>
        <v>2736.6000000000004</v>
      </c>
      <c r="AU426" s="339"/>
      <c r="AV426" s="277">
        <v>100</v>
      </c>
      <c r="AW426" s="277">
        <f>AU426*T426</f>
        <v>0</v>
      </c>
      <c r="AX426" s="277"/>
      <c r="AY426" s="285"/>
      <c r="AZ426" s="280"/>
      <c r="BA426" s="284">
        <f>AT426+AW426+AZ426</f>
        <v>2736.6000000000004</v>
      </c>
      <c r="BB426" s="284">
        <f t="shared" si="341"/>
        <v>76624.800000000003</v>
      </c>
      <c r="BC426" s="284">
        <f>BA426+AQ426+U426</f>
        <v>19156.2</v>
      </c>
      <c r="BD426" s="286">
        <f>BC426/C426/5</f>
        <v>15324.960000000001</v>
      </c>
      <c r="BE426" s="286"/>
      <c r="BF426" s="241">
        <f>IF(D426=1,BC426,0)</f>
        <v>0</v>
      </c>
      <c r="BG426" s="241">
        <f>IF(E426=1,BC426,0)</f>
        <v>0</v>
      </c>
      <c r="BH426" s="251">
        <f>IF(F426=1,BC426,0)</f>
        <v>0</v>
      </c>
      <c r="BI426" s="241">
        <f>IF(G426=1,BC426,0)</f>
        <v>0</v>
      </c>
      <c r="BJ426" s="251">
        <f>IF(H426=1,BC426,0)</f>
        <v>0</v>
      </c>
      <c r="BK426" s="251">
        <f>IF(I426=1,BC426,0)</f>
        <v>19156.2</v>
      </c>
      <c r="BL426" s="251">
        <f>IF(J426=1,BC426,0)</f>
        <v>0</v>
      </c>
      <c r="BM426" s="241">
        <f>IF(K426=1,BC426,0)</f>
        <v>0</v>
      </c>
    </row>
    <row r="427" spans="1:65" x14ac:dyDescent="0.25">
      <c r="A427" s="344"/>
      <c r="B427" s="288" t="s">
        <v>267</v>
      </c>
      <c r="C427" s="446">
        <v>0.75</v>
      </c>
      <c r="D427" s="279"/>
      <c r="E427" s="279"/>
      <c r="F427" s="279"/>
      <c r="G427" s="279"/>
      <c r="H427" s="279"/>
      <c r="I427" s="279">
        <v>1</v>
      </c>
      <c r="J427" s="279"/>
      <c r="K427" s="279"/>
      <c r="L427" s="277"/>
      <c r="M427" s="280">
        <f>M$356</f>
        <v>3028</v>
      </c>
      <c r="N427" s="281">
        <f>N$29</f>
        <v>2</v>
      </c>
      <c r="O427" s="339">
        <v>1.95</v>
      </c>
      <c r="P427" s="282">
        <v>1</v>
      </c>
      <c r="Q427" s="277"/>
      <c r="R427" s="283">
        <f>$R$352</f>
        <v>686</v>
      </c>
      <c r="S427" s="280">
        <f>T427/(R427/4)</f>
        <v>68.857142857142861</v>
      </c>
      <c r="T427" s="425">
        <f>ROUND(M427*N427*O427*P427,0)</f>
        <v>11809</v>
      </c>
      <c r="U427" s="284">
        <f>T427*C427*4</f>
        <v>35427</v>
      </c>
      <c r="V427" s="277"/>
      <c r="W427" s="285"/>
      <c r="X427" s="285">
        <f>U427*V427%</f>
        <v>0</v>
      </c>
      <c r="Y427" s="277"/>
      <c r="Z427" s="277"/>
      <c r="AA427" s="277"/>
      <c r="AB427" s="277"/>
      <c r="AC427" s="277"/>
      <c r="AD427" s="277"/>
      <c r="AE427" s="277"/>
      <c r="AF427" s="277"/>
      <c r="AG427" s="277"/>
      <c r="AH427" s="277"/>
      <c r="AI427" s="277"/>
      <c r="AJ427" s="277"/>
      <c r="AK427" s="277"/>
      <c r="AL427" s="277"/>
      <c r="AM427" s="285">
        <f>T427*AK427%*4</f>
        <v>0</v>
      </c>
      <c r="AN427" s="277">
        <v>25</v>
      </c>
      <c r="AO427" s="285"/>
      <c r="AP427" s="285">
        <f>U427*AN427%</f>
        <v>8856.75</v>
      </c>
      <c r="AQ427" s="284">
        <f>X427+AA427+AD427+AG427+AJ427+AM427+AP427</f>
        <v>8856.75</v>
      </c>
      <c r="AR427" s="277">
        <v>20</v>
      </c>
      <c r="AS427" s="285">
        <f>AT427/C427</f>
        <v>9447.2000000000007</v>
      </c>
      <c r="AT427" s="280">
        <f>(U427)*AR427%</f>
        <v>7085.4000000000005</v>
      </c>
      <c r="AU427" s="339"/>
      <c r="AV427" s="277">
        <v>100</v>
      </c>
      <c r="AW427" s="277">
        <f>AU427*T427</f>
        <v>0</v>
      </c>
      <c r="AX427" s="277"/>
      <c r="AY427" s="285"/>
      <c r="AZ427" s="280"/>
      <c r="BA427" s="284">
        <f>AT427+AW427+AZ427</f>
        <v>7085.4000000000005</v>
      </c>
      <c r="BB427" s="284">
        <f t="shared" si="341"/>
        <v>68492.2</v>
      </c>
      <c r="BC427" s="284">
        <f>BA427+AQ427+U427</f>
        <v>51369.15</v>
      </c>
      <c r="BD427" s="286">
        <f t="shared" si="342"/>
        <v>13698.439999999999</v>
      </c>
      <c r="BE427" s="286"/>
      <c r="BF427" s="241">
        <f>IF(D427=1,BC427,0)</f>
        <v>0</v>
      </c>
      <c r="BG427" s="241">
        <f>IF(E427=1,BC427,0)</f>
        <v>0</v>
      </c>
      <c r="BH427" s="251">
        <f>IF(F427=1,BC427,0)</f>
        <v>0</v>
      </c>
      <c r="BI427" s="241">
        <f>IF(G427=1,BC427,0)</f>
        <v>0</v>
      </c>
      <c r="BJ427" s="251">
        <f>IF(H427=1,BC427,0)</f>
        <v>0</v>
      </c>
      <c r="BK427" s="251">
        <f>IF(I427=1,BC427,0)</f>
        <v>51369.15</v>
      </c>
      <c r="BL427" s="251">
        <f>IF(J427=1,BC427,0)</f>
        <v>0</v>
      </c>
      <c r="BM427" s="241">
        <f>IF(K427=1,BC427,0)</f>
        <v>0</v>
      </c>
    </row>
    <row r="428" spans="1:65" x14ac:dyDescent="0.25">
      <c r="A428" s="344"/>
      <c r="B428" s="288"/>
      <c r="C428" s="393"/>
      <c r="D428" s="279"/>
      <c r="E428" s="279"/>
      <c r="F428" s="279"/>
      <c r="G428" s="279"/>
      <c r="H428" s="279"/>
      <c r="I428" s="279"/>
      <c r="J428" s="279"/>
      <c r="K428" s="279"/>
      <c r="L428" s="277"/>
      <c r="M428" s="280"/>
      <c r="N428" s="281"/>
      <c r="O428" s="277"/>
      <c r="P428" s="282"/>
      <c r="Q428" s="277"/>
      <c r="R428" s="283"/>
      <c r="S428" s="280"/>
      <c r="T428" s="425"/>
      <c r="U428" s="284"/>
      <c r="V428" s="277"/>
      <c r="W428" s="285"/>
      <c r="X428" s="285"/>
      <c r="Y428" s="277"/>
      <c r="Z428" s="277"/>
      <c r="AA428" s="277"/>
      <c r="AB428" s="277"/>
      <c r="AC428" s="277"/>
      <c r="AD428" s="277"/>
      <c r="AE428" s="277"/>
      <c r="AF428" s="277"/>
      <c r="AG428" s="277"/>
      <c r="AH428" s="277"/>
      <c r="AI428" s="277"/>
      <c r="AJ428" s="277"/>
      <c r="AK428" s="277"/>
      <c r="AL428" s="277"/>
      <c r="AM428" s="285"/>
      <c r="AN428" s="277"/>
      <c r="AO428" s="277"/>
      <c r="AP428" s="277"/>
      <c r="AQ428" s="284"/>
      <c r="AR428" s="277"/>
      <c r="AS428" s="285"/>
      <c r="AT428" s="280"/>
      <c r="AU428" s="339"/>
      <c r="AV428" s="277"/>
      <c r="AW428" s="277"/>
      <c r="AX428" s="277"/>
      <c r="AY428" s="285"/>
      <c r="AZ428" s="280"/>
      <c r="BA428" s="284"/>
      <c r="BB428" s="284"/>
      <c r="BC428" s="284"/>
      <c r="BD428" s="286"/>
      <c r="BE428" s="286"/>
      <c r="BH428" s="251"/>
      <c r="BJ428" s="251"/>
      <c r="BK428" s="251"/>
      <c r="BL428" s="251"/>
    </row>
    <row r="429" spans="1:65" s="316" customFormat="1" ht="14.25" x14ac:dyDescent="0.25">
      <c r="A429" s="306"/>
      <c r="B429" s="372" t="s">
        <v>229</v>
      </c>
      <c r="C429" s="329">
        <f>SUM(C424:C427)</f>
        <v>4.25</v>
      </c>
      <c r="D429" s="309"/>
      <c r="E429" s="309"/>
      <c r="F429" s="309"/>
      <c r="G429" s="309"/>
      <c r="H429" s="309"/>
      <c r="I429" s="309"/>
      <c r="J429" s="309"/>
      <c r="K429" s="309"/>
      <c r="L429" s="309"/>
      <c r="M429" s="310"/>
      <c r="N429" s="309"/>
      <c r="O429" s="309"/>
      <c r="P429" s="309"/>
      <c r="Q429" s="309"/>
      <c r="R429" s="310"/>
      <c r="S429" s="310"/>
      <c r="T429" s="349">
        <f>U429/4</f>
        <v>61244.25</v>
      </c>
      <c r="U429" s="329">
        <f>SUM(U424:U427)</f>
        <v>244977</v>
      </c>
      <c r="V429" s="309"/>
      <c r="W429" s="309"/>
      <c r="X429" s="329">
        <f>SUM(X424:X427)</f>
        <v>36436.800000000003</v>
      </c>
      <c r="Y429" s="329"/>
      <c r="Z429" s="329"/>
      <c r="AA429" s="329">
        <f>SUM(AA424:AA427)</f>
        <v>547.32000000000005</v>
      </c>
      <c r="AB429" s="329"/>
      <c r="AC429" s="329"/>
      <c r="AD429" s="329">
        <f>SUM(AD424:AD427)</f>
        <v>0</v>
      </c>
      <c r="AE429" s="329"/>
      <c r="AF429" s="329"/>
      <c r="AG429" s="329">
        <f>SUM(AG424:AG427)</f>
        <v>0</v>
      </c>
      <c r="AH429" s="329"/>
      <c r="AI429" s="329"/>
      <c r="AJ429" s="329">
        <f>SUM(AJ424:AJ427)</f>
        <v>0</v>
      </c>
      <c r="AK429" s="329"/>
      <c r="AL429" s="329"/>
      <c r="AM429" s="329">
        <f>SUM(AM424:AM427)</f>
        <v>14737.24</v>
      </c>
      <c r="AN429" s="329"/>
      <c r="AO429" s="329"/>
      <c r="AP429" s="329">
        <f>SUM(AP424:AP427)</f>
        <v>8856.75</v>
      </c>
      <c r="AQ429" s="329">
        <f>SUM(AQ424:AQ427)</f>
        <v>60578.11</v>
      </c>
      <c r="AR429" s="329"/>
      <c r="AS429" s="329">
        <f>SUM(AS424:AS427)</f>
        <v>45884</v>
      </c>
      <c r="AT429" s="329">
        <f>SUM(AT424:AT427)</f>
        <v>48995.4</v>
      </c>
      <c r="AU429" s="329">
        <f>SUM(AU424:AU427)</f>
        <v>1</v>
      </c>
      <c r="AV429" s="329"/>
      <c r="AW429" s="329">
        <f>SUM(AW424:AW427)</f>
        <v>18180</v>
      </c>
      <c r="AX429" s="329"/>
      <c r="AY429" s="329">
        <f>SUM(AY424:AY427)</f>
        <v>0</v>
      </c>
      <c r="AZ429" s="329">
        <f>SUM(AZ424:AZ427)</f>
        <v>0</v>
      </c>
      <c r="BA429" s="329">
        <f>SUM(BA424:BA427)</f>
        <v>67175.399999999994</v>
      </c>
      <c r="BB429" s="329">
        <f t="shared" si="341"/>
        <v>87701.296470588248</v>
      </c>
      <c r="BC429" s="329">
        <f>SUM(BC424:BC427)</f>
        <v>372730.51000000007</v>
      </c>
      <c r="BD429" s="286">
        <f t="shared" si="342"/>
        <v>17540.259294117648</v>
      </c>
      <c r="BE429" s="323">
        <f>BC429/5</f>
        <v>74546.102000000014</v>
      </c>
    </row>
    <row r="430" spans="1:65" s="316" customFormat="1" ht="14.25" hidden="1" x14ac:dyDescent="0.25">
      <c r="A430" s="306"/>
      <c r="B430" s="372"/>
      <c r="C430" s="329"/>
      <c r="D430" s="309"/>
      <c r="E430" s="309"/>
      <c r="F430" s="309"/>
      <c r="G430" s="309"/>
      <c r="H430" s="309"/>
      <c r="I430" s="309"/>
      <c r="J430" s="309"/>
      <c r="K430" s="309"/>
      <c r="L430" s="309"/>
      <c r="M430" s="310"/>
      <c r="N430" s="309"/>
      <c r="O430" s="309"/>
      <c r="P430" s="309"/>
      <c r="Q430" s="309"/>
      <c r="R430" s="310"/>
      <c r="S430" s="310"/>
      <c r="T430" s="349"/>
      <c r="U430" s="329"/>
      <c r="V430" s="309"/>
      <c r="W430" s="309"/>
      <c r="X430" s="329"/>
      <c r="Y430" s="329"/>
      <c r="Z430" s="329"/>
      <c r="AA430" s="329"/>
      <c r="AB430" s="329"/>
      <c r="AC430" s="329"/>
      <c r="AD430" s="329"/>
      <c r="AE430" s="329"/>
      <c r="AF430" s="329"/>
      <c r="AG430" s="329"/>
      <c r="AH430" s="329"/>
      <c r="AI430" s="329"/>
      <c r="AJ430" s="329"/>
      <c r="AK430" s="329"/>
      <c r="AL430" s="329"/>
      <c r="AM430" s="329"/>
      <c r="AN430" s="329"/>
      <c r="AO430" s="329"/>
      <c r="AP430" s="329"/>
      <c r="AQ430" s="329"/>
      <c r="AR430" s="329"/>
      <c r="AS430" s="329"/>
      <c r="AT430" s="329"/>
      <c r="AU430" s="329"/>
      <c r="AV430" s="329"/>
      <c r="AW430" s="329"/>
      <c r="AX430" s="329"/>
      <c r="AY430" s="329"/>
      <c r="AZ430" s="329"/>
      <c r="BA430" s="329"/>
      <c r="BB430" s="329"/>
      <c r="BC430" s="329"/>
      <c r="BD430" s="286"/>
      <c r="BE430" s="323"/>
    </row>
    <row r="431" spans="1:65" s="316" customFormat="1" ht="14.25" hidden="1" x14ac:dyDescent="0.25">
      <c r="A431" s="306"/>
      <c r="B431" s="307" t="s">
        <v>229</v>
      </c>
      <c r="C431" s="329">
        <f>+C421+C429</f>
        <v>18.25</v>
      </c>
      <c r="D431" s="309"/>
      <c r="E431" s="309"/>
      <c r="F431" s="309"/>
      <c r="G431" s="309"/>
      <c r="H431" s="309"/>
      <c r="I431" s="309"/>
      <c r="J431" s="309"/>
      <c r="K431" s="309"/>
      <c r="L431" s="309"/>
      <c r="M431" s="310"/>
      <c r="N431" s="309"/>
      <c r="O431" s="309"/>
      <c r="P431" s="309"/>
      <c r="Q431" s="309"/>
      <c r="R431" s="310"/>
      <c r="S431" s="310"/>
      <c r="T431" s="349">
        <f>U431/4</f>
        <v>245626.25</v>
      </c>
      <c r="U431" s="329">
        <f>+U421+U429</f>
        <v>982505</v>
      </c>
      <c r="V431" s="309"/>
      <c r="W431" s="309"/>
      <c r="X431" s="329">
        <f>+X421+X429</f>
        <v>152152.79999999999</v>
      </c>
      <c r="Y431" s="329"/>
      <c r="Z431" s="329"/>
      <c r="AA431" s="329">
        <f>+AA421+AA429</f>
        <v>547.32000000000005</v>
      </c>
      <c r="AB431" s="329"/>
      <c r="AC431" s="329"/>
      <c r="AD431" s="329">
        <f>+AD421+AD429</f>
        <v>0</v>
      </c>
      <c r="AE431" s="329"/>
      <c r="AF431" s="329"/>
      <c r="AG431" s="329">
        <f>+AG421+AG429</f>
        <v>0</v>
      </c>
      <c r="AH431" s="329"/>
      <c r="AI431" s="329"/>
      <c r="AJ431" s="329">
        <f>+AJ421+AJ429</f>
        <v>0</v>
      </c>
      <c r="AK431" s="329"/>
      <c r="AL431" s="329"/>
      <c r="AM431" s="329">
        <f>+AM421+AM429</f>
        <v>93446.440000000017</v>
      </c>
      <c r="AN431" s="329"/>
      <c r="AO431" s="329"/>
      <c r="AP431" s="329">
        <f>+AP421+AP429</f>
        <v>8856.75</v>
      </c>
      <c r="AQ431" s="329">
        <f>+AQ421+AQ429</f>
        <v>255003.31</v>
      </c>
      <c r="AR431" s="329"/>
      <c r="AS431" s="329">
        <f>+AS421+AS429</f>
        <v>106126.39999999999</v>
      </c>
      <c r="AT431" s="329">
        <f>+AT421+AT429</f>
        <v>196501</v>
      </c>
      <c r="AU431" s="329">
        <f>+AU421+AU429</f>
        <v>8</v>
      </c>
      <c r="AV431" s="329"/>
      <c r="AW431" s="329">
        <f>+AW421+AW429</f>
        <v>111184</v>
      </c>
      <c r="AX431" s="329"/>
      <c r="AY431" s="329">
        <f>+AY421+AY429</f>
        <v>0</v>
      </c>
      <c r="AZ431" s="329">
        <f>+AZ421+AZ429</f>
        <v>0</v>
      </c>
      <c r="BA431" s="329">
        <f>+BA421+BA429</f>
        <v>307685</v>
      </c>
      <c r="BB431" s="329">
        <f t="shared" si="341"/>
        <v>84668.126575342467</v>
      </c>
      <c r="BC431" s="329">
        <f>+BC421+BC429</f>
        <v>1545193.31</v>
      </c>
      <c r="BD431" s="286">
        <f t="shared" si="342"/>
        <v>16933.625315068493</v>
      </c>
      <c r="BE431" s="323"/>
      <c r="BF431" s="315">
        <f t="shared" ref="BF431:BM431" si="343">SUM(BF414:BF429)</f>
        <v>0</v>
      </c>
      <c r="BG431" s="315">
        <f t="shared" si="343"/>
        <v>0</v>
      </c>
      <c r="BH431" s="315">
        <f t="shared" si="343"/>
        <v>0</v>
      </c>
      <c r="BI431" s="315">
        <f t="shared" si="343"/>
        <v>0</v>
      </c>
      <c r="BJ431" s="315">
        <f t="shared" si="343"/>
        <v>380144.64000000001</v>
      </c>
      <c r="BK431" s="315">
        <f t="shared" si="343"/>
        <v>768629.87</v>
      </c>
      <c r="BL431" s="315">
        <f t="shared" si="343"/>
        <v>396418.80000000005</v>
      </c>
      <c r="BM431" s="315">
        <f t="shared" si="343"/>
        <v>0</v>
      </c>
    </row>
    <row r="432" spans="1:65" s="287" customFormat="1" ht="8.25" customHeight="1" x14ac:dyDescent="0.25">
      <c r="A432" s="380"/>
      <c r="B432" s="274"/>
      <c r="C432" s="323"/>
      <c r="M432" s="382"/>
      <c r="R432" s="382"/>
      <c r="S432" s="382"/>
      <c r="U432" s="323"/>
      <c r="X432" s="323"/>
      <c r="Y432" s="323"/>
      <c r="Z432" s="323"/>
      <c r="AA432" s="323"/>
      <c r="AB432" s="323"/>
      <c r="AC432" s="323"/>
      <c r="AD432" s="323"/>
      <c r="AE432" s="323"/>
      <c r="AF432" s="323"/>
      <c r="AG432" s="323"/>
      <c r="AH432" s="323"/>
      <c r="AI432" s="323"/>
      <c r="AJ432" s="323"/>
      <c r="AK432" s="394"/>
      <c r="AL432" s="323"/>
      <c r="AM432" s="323"/>
      <c r="AN432" s="323"/>
      <c r="AO432" s="323"/>
      <c r="AP432" s="323"/>
      <c r="AQ432" s="323"/>
      <c r="AR432" s="323"/>
      <c r="AS432" s="323"/>
      <c r="AT432" s="323"/>
      <c r="AU432" s="323"/>
      <c r="AV432" s="323"/>
      <c r="AW432" s="323"/>
      <c r="AX432" s="323"/>
      <c r="AY432" s="323"/>
      <c r="AZ432" s="323"/>
      <c r="BA432" s="323"/>
      <c r="BB432" s="323"/>
      <c r="BC432" s="323"/>
      <c r="BD432" s="286"/>
      <c r="BE432" s="323"/>
      <c r="BF432" s="323"/>
      <c r="BG432" s="323"/>
      <c r="BH432" s="323"/>
      <c r="BI432" s="323"/>
      <c r="BJ432" s="323"/>
      <c r="BK432" s="323"/>
      <c r="BL432" s="323"/>
      <c r="BM432" s="323"/>
    </row>
    <row r="433" spans="1:65" s="275" customFormat="1" ht="26.45" customHeight="1" x14ac:dyDescent="0.25">
      <c r="A433" s="270" t="s">
        <v>280</v>
      </c>
      <c r="B433" s="324" t="s">
        <v>281</v>
      </c>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2"/>
      <c r="AR433" s="272"/>
      <c r="AS433" s="272"/>
      <c r="AT433" s="272"/>
      <c r="AU433" s="272"/>
      <c r="AV433" s="272"/>
      <c r="AW433" s="272"/>
      <c r="AX433" s="272"/>
      <c r="AY433" s="272"/>
      <c r="AZ433" s="272"/>
      <c r="BA433" s="272"/>
      <c r="BB433" s="272"/>
      <c r="BC433" s="273"/>
      <c r="BD433" s="286"/>
      <c r="BE433" s="274"/>
    </row>
    <row r="434" spans="1:65" s="377" customFormat="1" ht="28.5" customHeight="1" x14ac:dyDescent="0.25">
      <c r="A434" s="375"/>
      <c r="B434" s="293" t="s">
        <v>265</v>
      </c>
      <c r="C434" s="376">
        <v>1</v>
      </c>
      <c r="D434" s="292"/>
      <c r="E434" s="292"/>
      <c r="F434" s="292"/>
      <c r="G434" s="292"/>
      <c r="H434" s="292"/>
      <c r="I434" s="292">
        <v>1</v>
      </c>
      <c r="J434" s="292"/>
      <c r="K434" s="292"/>
      <c r="L434" s="293"/>
      <c r="M434" s="294">
        <f>M352</f>
        <v>3028</v>
      </c>
      <c r="N434" s="429">
        <f>N$244</f>
        <v>2</v>
      </c>
      <c r="O434" s="293">
        <v>1.9</v>
      </c>
      <c r="P434" s="295">
        <f>P$244</f>
        <v>1.58</v>
      </c>
      <c r="Q434" s="293"/>
      <c r="R434" s="296">
        <f>$R$352</f>
        <v>686</v>
      </c>
      <c r="S434" s="294">
        <f>T434/(R434/4)</f>
        <v>106.00583090379008</v>
      </c>
      <c r="T434" s="291">
        <f>ROUND(M434*N434*O434*P434,0)</f>
        <v>18180</v>
      </c>
      <c r="U434" s="297">
        <f>T434*C434*4</f>
        <v>72720</v>
      </c>
      <c r="V434" s="293">
        <v>0</v>
      </c>
      <c r="W434" s="298"/>
      <c r="X434" s="298">
        <f>U434*V434%</f>
        <v>0</v>
      </c>
      <c r="Y434" s="293"/>
      <c r="Z434" s="293"/>
      <c r="AA434" s="293"/>
      <c r="AB434" s="293"/>
      <c r="AC434" s="293"/>
      <c r="AD434" s="293"/>
      <c r="AE434" s="293"/>
      <c r="AF434" s="293"/>
      <c r="AG434" s="293"/>
      <c r="AH434" s="293"/>
      <c r="AI434" s="293"/>
      <c r="AJ434" s="293"/>
      <c r="AK434" s="277"/>
      <c r="AL434" s="293"/>
      <c r="AM434" s="293"/>
      <c r="AN434" s="293"/>
      <c r="AO434" s="293"/>
      <c r="AP434" s="293"/>
      <c r="AQ434" s="297">
        <f>X434+AA434+AD434+AG434+AJ434+AM434+AP434</f>
        <v>0</v>
      </c>
      <c r="AR434" s="293">
        <v>0</v>
      </c>
      <c r="AS434" s="298">
        <f>AT434/C434</f>
        <v>0</v>
      </c>
      <c r="AT434" s="294">
        <f>(U434)*AR434%</f>
        <v>0</v>
      </c>
      <c r="AU434" s="293"/>
      <c r="AV434" s="293">
        <v>100</v>
      </c>
      <c r="AW434" s="293">
        <f>AU434*T434</f>
        <v>0</v>
      </c>
      <c r="AX434" s="293"/>
      <c r="AY434" s="298"/>
      <c r="AZ434" s="294"/>
      <c r="BA434" s="297">
        <f>AT434+AW434+AZ434</f>
        <v>0</v>
      </c>
      <c r="BB434" s="297">
        <f>BC434/C434</f>
        <v>72720</v>
      </c>
      <c r="BC434" s="297">
        <f>BA434+AQ434+U434</f>
        <v>72720</v>
      </c>
      <c r="BD434" s="299">
        <f t="shared" si="342"/>
        <v>14544</v>
      </c>
      <c r="BE434" s="299"/>
      <c r="BF434" s="377">
        <f>IF(D434=1,BC434,0)</f>
        <v>0</v>
      </c>
      <c r="BG434" s="377">
        <f>IF(E434=1,BC434,0)</f>
        <v>0</v>
      </c>
      <c r="BH434" s="377">
        <f>IF(F434=1,BC434,0)</f>
        <v>0</v>
      </c>
      <c r="BI434" s="377">
        <f>IF(G434=1,BC434,0)</f>
        <v>0</v>
      </c>
      <c r="BJ434" s="300">
        <f>IF(H434=1,BC434,0)</f>
        <v>0</v>
      </c>
      <c r="BK434" s="300">
        <f>IF(I434=1,BC434,0)</f>
        <v>72720</v>
      </c>
      <c r="BL434" s="300">
        <f>IF(J434=1,BC434,0)</f>
        <v>0</v>
      </c>
      <c r="BM434" s="377">
        <f>IF(K434=1,BC434,0)</f>
        <v>0</v>
      </c>
    </row>
    <row r="435" spans="1:65" s="287" customFormat="1" x14ac:dyDescent="0.25">
      <c r="A435" s="276"/>
      <c r="B435" s="288" t="s">
        <v>240</v>
      </c>
      <c r="C435" s="278">
        <v>5</v>
      </c>
      <c r="D435" s="279"/>
      <c r="E435" s="279"/>
      <c r="F435" s="328"/>
      <c r="G435" s="328"/>
      <c r="H435" s="279">
        <v>1</v>
      </c>
      <c r="I435" s="328"/>
      <c r="J435" s="328"/>
      <c r="K435" s="279"/>
      <c r="L435" s="277">
        <v>4</v>
      </c>
      <c r="M435" s="461">
        <f>M434</f>
        <v>3028</v>
      </c>
      <c r="N435" s="281">
        <f>N$244</f>
        <v>2</v>
      </c>
      <c r="O435" s="277">
        <v>1.43</v>
      </c>
      <c r="P435" s="282">
        <f>P$244</f>
        <v>1.58</v>
      </c>
      <c r="Q435" s="277"/>
      <c r="R435" s="283">
        <f>$R$352</f>
        <v>686</v>
      </c>
      <c r="S435" s="280">
        <f>T435/(R435/4)</f>
        <v>79.78425655976676</v>
      </c>
      <c r="T435" s="425">
        <f>ROUND(M435*N435*O435*P435,0)</f>
        <v>13683</v>
      </c>
      <c r="U435" s="284">
        <f>T435*C435*4</f>
        <v>273660</v>
      </c>
      <c r="V435" s="277">
        <v>16</v>
      </c>
      <c r="W435" s="285"/>
      <c r="X435" s="285">
        <f>U435*V435%</f>
        <v>43785.599999999999</v>
      </c>
      <c r="Y435" s="277">
        <v>4</v>
      </c>
      <c r="Z435" s="285"/>
      <c r="AA435" s="285">
        <f>U435*Y435%</f>
        <v>10946.4</v>
      </c>
      <c r="AB435" s="277"/>
      <c r="AC435" s="277"/>
      <c r="AD435" s="277"/>
      <c r="AE435" s="277"/>
      <c r="AF435" s="277"/>
      <c r="AG435" s="277"/>
      <c r="AH435" s="277"/>
      <c r="AI435" s="277"/>
      <c r="AJ435" s="277"/>
      <c r="AK435" s="277"/>
      <c r="AL435" s="277"/>
      <c r="AM435" s="285"/>
      <c r="AN435" s="277"/>
      <c r="AO435" s="277"/>
      <c r="AP435" s="285">
        <f>U435*AN435%</f>
        <v>0</v>
      </c>
      <c r="AQ435" s="284">
        <f>X435+AA435+AD435+AG435+AJ435+AM435+AP435</f>
        <v>54732</v>
      </c>
      <c r="AR435" s="277">
        <v>10</v>
      </c>
      <c r="AS435" s="277">
        <f>AT435/C435</f>
        <v>5473.2</v>
      </c>
      <c r="AT435" s="280">
        <f>(U435)*AR435%</f>
        <v>27366</v>
      </c>
      <c r="AU435" s="339"/>
      <c r="AV435" s="277">
        <v>100</v>
      </c>
      <c r="AW435" s="277">
        <f>AU435*T435</f>
        <v>0</v>
      </c>
      <c r="AX435" s="277"/>
      <c r="AY435" s="277"/>
      <c r="AZ435" s="283"/>
      <c r="BA435" s="284">
        <f>AT435+AW435+AZ435</f>
        <v>27366</v>
      </c>
      <c r="BB435" s="284">
        <f>BC435/C435</f>
        <v>71151.600000000006</v>
      </c>
      <c r="BC435" s="284">
        <f>BA435+AQ435+U435</f>
        <v>355758</v>
      </c>
      <c r="BD435" s="286">
        <f t="shared" si="342"/>
        <v>14230.320000000002</v>
      </c>
      <c r="BE435" s="286"/>
      <c r="BF435" s="241">
        <f>IF(D435=1,BC435,0)</f>
        <v>0</v>
      </c>
      <c r="BG435" s="241">
        <f>IF(E435=1,BC435,0)</f>
        <v>0</v>
      </c>
      <c r="BH435" s="241">
        <f>IF(F435=1,BC435,0)</f>
        <v>0</v>
      </c>
      <c r="BI435" s="241">
        <f>IF(G435=1,BC435,0)</f>
        <v>0</v>
      </c>
      <c r="BJ435" s="251">
        <f>IF(H435=1,BC435,0)</f>
        <v>355758</v>
      </c>
      <c r="BK435" s="241">
        <f>IF(I435=1,BC435,0)</f>
        <v>0</v>
      </c>
      <c r="BL435" s="241">
        <f>IF(J435=1,BC435,0)</f>
        <v>0</v>
      </c>
      <c r="BM435" s="241">
        <f>IF(K435=1,BC435,0)</f>
        <v>0</v>
      </c>
    </row>
    <row r="436" spans="1:65" s="301" customFormat="1" x14ac:dyDescent="0.25">
      <c r="A436" s="289"/>
      <c r="B436" s="290" t="s">
        <v>217</v>
      </c>
      <c r="C436" s="448">
        <v>0.25</v>
      </c>
      <c r="D436" s="292"/>
      <c r="E436" s="292"/>
      <c r="F436" s="292"/>
      <c r="G436" s="292"/>
      <c r="H436" s="292"/>
      <c r="I436" s="292"/>
      <c r="J436" s="292">
        <v>1</v>
      </c>
      <c r="K436" s="292"/>
      <c r="L436" s="293"/>
      <c r="M436" s="294">
        <f>M434</f>
        <v>3028</v>
      </c>
      <c r="N436" s="429">
        <f>N$244</f>
        <v>2</v>
      </c>
      <c r="O436" s="295">
        <v>2</v>
      </c>
      <c r="P436" s="295">
        <f>P$244</f>
        <v>1.58</v>
      </c>
      <c r="Q436" s="295"/>
      <c r="R436" s="296">
        <f>$R$352</f>
        <v>686</v>
      </c>
      <c r="S436" s="294">
        <f>T436/(R436/4)</f>
        <v>111.58600583090379</v>
      </c>
      <c r="T436" s="291">
        <f>ROUND(M436*N436*O436*P436,0)</f>
        <v>19137</v>
      </c>
      <c r="U436" s="297">
        <f>T436*C436*4</f>
        <v>19137</v>
      </c>
      <c r="V436" s="293"/>
      <c r="W436" s="298"/>
      <c r="X436" s="298">
        <f>U436*V436%</f>
        <v>0</v>
      </c>
      <c r="Y436" s="293"/>
      <c r="Z436" s="293"/>
      <c r="AA436" s="293"/>
      <c r="AB436" s="293"/>
      <c r="AC436" s="293"/>
      <c r="AD436" s="293"/>
      <c r="AE436" s="293"/>
      <c r="AF436" s="293"/>
      <c r="AG436" s="293"/>
      <c r="AH436" s="293"/>
      <c r="AI436" s="293"/>
      <c r="AJ436" s="293"/>
      <c r="AK436" s="277"/>
      <c r="AL436" s="293"/>
      <c r="AM436" s="293"/>
      <c r="AN436" s="293"/>
      <c r="AO436" s="293"/>
      <c r="AP436" s="293"/>
      <c r="AQ436" s="297">
        <f>X436+AA436+AD436+AG436+AJ436+AM436+AP436</f>
        <v>0</v>
      </c>
      <c r="AR436" s="293"/>
      <c r="AS436" s="293">
        <f>AT436/C436</f>
        <v>0</v>
      </c>
      <c r="AT436" s="294">
        <f>(U436)*AR436%</f>
        <v>0</v>
      </c>
      <c r="AU436" s="293"/>
      <c r="AV436" s="293">
        <v>100</v>
      </c>
      <c r="AW436" s="293">
        <f>AU436*T436</f>
        <v>0</v>
      </c>
      <c r="AX436" s="293"/>
      <c r="AY436" s="293"/>
      <c r="AZ436" s="296"/>
      <c r="BA436" s="297">
        <f>AT436+AW436+AZ436</f>
        <v>0</v>
      </c>
      <c r="BB436" s="297">
        <f>BC436/C436</f>
        <v>76548</v>
      </c>
      <c r="BC436" s="297">
        <f>BA436+AQ436+U436</f>
        <v>19137</v>
      </c>
      <c r="BD436" s="299">
        <f t="shared" si="342"/>
        <v>15309.6</v>
      </c>
      <c r="BE436" s="299"/>
      <c r="BF436" s="300">
        <f>IF(D436=1,BC436,0)</f>
        <v>0</v>
      </c>
      <c r="BG436" s="300">
        <f>IF(E436=1,BC436,0)</f>
        <v>0</v>
      </c>
      <c r="BH436" s="300">
        <f>IF(F436=1,BC436,0)</f>
        <v>0</v>
      </c>
      <c r="BI436" s="300">
        <f>IF(G436=1,BC436,0)</f>
        <v>0</v>
      </c>
      <c r="BJ436" s="300">
        <f>IF(H436=1,BC436,0)</f>
        <v>0</v>
      </c>
      <c r="BK436" s="300">
        <f>IF(I436=1,BC436,0)</f>
        <v>0</v>
      </c>
      <c r="BL436" s="300">
        <f>IF(J436=1,BC436,0)</f>
        <v>19137</v>
      </c>
      <c r="BM436" s="300">
        <f>IF(K436=1,BC436,0)</f>
        <v>0</v>
      </c>
    </row>
    <row r="437" spans="1:65" ht="21" customHeight="1" x14ac:dyDescent="0.25">
      <c r="A437" s="344"/>
      <c r="B437" s="288" t="s">
        <v>243</v>
      </c>
      <c r="C437" s="393">
        <v>0.25</v>
      </c>
      <c r="D437" s="279"/>
      <c r="E437" s="279"/>
      <c r="F437" s="328"/>
      <c r="G437" s="328"/>
      <c r="H437" s="279">
        <v>1</v>
      </c>
      <c r="I437" s="328"/>
      <c r="J437" s="328"/>
      <c r="K437" s="279"/>
      <c r="L437" s="277"/>
      <c r="M437" s="461">
        <f>M434</f>
        <v>3028</v>
      </c>
      <c r="N437" s="281">
        <f>N$244</f>
        <v>2</v>
      </c>
      <c r="O437" s="339">
        <v>1.95</v>
      </c>
      <c r="P437" s="282">
        <v>1</v>
      </c>
      <c r="Q437" s="277"/>
      <c r="R437" s="283">
        <f>$R$352</f>
        <v>686</v>
      </c>
      <c r="S437" s="280">
        <f>T437/(R437/4)</f>
        <v>68.857142857142861</v>
      </c>
      <c r="T437" s="425">
        <f>ROUND(M437*N437*O437*P437,0)</f>
        <v>11809</v>
      </c>
      <c r="U437" s="284">
        <f>T437*C437*4</f>
        <v>11809</v>
      </c>
      <c r="V437" s="277"/>
      <c r="W437" s="285"/>
      <c r="X437" s="285">
        <f>U437*V437%</f>
        <v>0</v>
      </c>
      <c r="Y437" s="277"/>
      <c r="Z437" s="277"/>
      <c r="AA437" s="277"/>
      <c r="AB437" s="345"/>
      <c r="AC437" s="345"/>
      <c r="AD437" s="345"/>
      <c r="AE437" s="345"/>
      <c r="AF437" s="345"/>
      <c r="AG437" s="345"/>
      <c r="AH437" s="345"/>
      <c r="AI437" s="345"/>
      <c r="AJ437" s="345"/>
      <c r="AK437" s="277"/>
      <c r="AL437" s="285"/>
      <c r="AM437" s="285"/>
      <c r="AN437" s="277">
        <f>25+12</f>
        <v>37</v>
      </c>
      <c r="AO437" s="285"/>
      <c r="AP437" s="285">
        <f>U437*AN437%</f>
        <v>4369.33</v>
      </c>
      <c r="AQ437" s="284">
        <f>X437+AA437+AD437+AG437+AJ437+AM437+AP437</f>
        <v>4369.33</v>
      </c>
      <c r="AR437" s="277">
        <v>10</v>
      </c>
      <c r="AS437" s="277">
        <f>AT437/C437</f>
        <v>4723.6000000000004</v>
      </c>
      <c r="AT437" s="280">
        <f>(U437)*AR437%</f>
        <v>1180.9000000000001</v>
      </c>
      <c r="AU437" s="277"/>
      <c r="AV437" s="277">
        <v>100</v>
      </c>
      <c r="AW437" s="277">
        <f>AU437*T437</f>
        <v>0</v>
      </c>
      <c r="AX437" s="277"/>
      <c r="AY437" s="277"/>
      <c r="AZ437" s="304"/>
      <c r="BA437" s="284">
        <f>AT437+AW437+AZ437</f>
        <v>1180.9000000000001</v>
      </c>
      <c r="BB437" s="284">
        <f>BC437/C437</f>
        <v>69436.92</v>
      </c>
      <c r="BC437" s="284">
        <f>BA437+AQ437+U437</f>
        <v>17359.23</v>
      </c>
      <c r="BD437" s="286">
        <f t="shared" si="342"/>
        <v>13887.384</v>
      </c>
      <c r="BE437" s="286"/>
      <c r="BF437" s="251">
        <f>IF(D437=1,BC437,0)</f>
        <v>0</v>
      </c>
      <c r="BG437" s="251">
        <f>IF(E437=1,BC437,0)</f>
        <v>0</v>
      </c>
      <c r="BH437" s="251">
        <f>IF(F437=1,BC437,0)</f>
        <v>0</v>
      </c>
      <c r="BI437" s="251">
        <f>IF(G437=1,BC437,0)</f>
        <v>0</v>
      </c>
      <c r="BJ437" s="251">
        <f>IF(H437=1,BC437,0)</f>
        <v>17359.23</v>
      </c>
      <c r="BK437" s="251">
        <f>IF(I437=1,BC437,0)</f>
        <v>0</v>
      </c>
      <c r="BL437" s="251">
        <f>IF(J437=1,BC437,0)</f>
        <v>0</v>
      </c>
      <c r="BM437" s="251">
        <f>IF(K437=1,BC437,0)</f>
        <v>0</v>
      </c>
    </row>
    <row r="438" spans="1:65" s="316" customFormat="1" ht="18.75" customHeight="1" x14ac:dyDescent="0.25">
      <c r="A438" s="306"/>
      <c r="B438" s="307" t="s">
        <v>229</v>
      </c>
      <c r="C438" s="436">
        <f>SUM(C434:C437)</f>
        <v>6.5</v>
      </c>
      <c r="D438" s="309"/>
      <c r="E438" s="309"/>
      <c r="F438" s="309"/>
      <c r="G438" s="309"/>
      <c r="H438" s="309"/>
      <c r="I438" s="309"/>
      <c r="J438" s="309"/>
      <c r="K438" s="309"/>
      <c r="L438" s="309"/>
      <c r="M438" s="310"/>
      <c r="N438" s="309"/>
      <c r="O438" s="309"/>
      <c r="P438" s="309"/>
      <c r="Q438" s="309"/>
      <c r="R438" s="310"/>
      <c r="S438" s="310"/>
      <c r="T438" s="349">
        <f>U438/4</f>
        <v>94331.5</v>
      </c>
      <c r="U438" s="329">
        <f>SUM(U434:U437)</f>
        <v>377326</v>
      </c>
      <c r="V438" s="309"/>
      <c r="W438" s="309"/>
      <c r="X438" s="329">
        <f>SUM(X434:X437)</f>
        <v>43785.599999999999</v>
      </c>
      <c r="Y438" s="329"/>
      <c r="Z438" s="329"/>
      <c r="AA438" s="329">
        <f>SUM(AA434:AA437)</f>
        <v>10946.4</v>
      </c>
      <c r="AB438" s="329"/>
      <c r="AC438" s="329"/>
      <c r="AD438" s="329">
        <f>SUM(AD434:AD437)</f>
        <v>0</v>
      </c>
      <c r="AE438" s="329"/>
      <c r="AF438" s="329"/>
      <c r="AG438" s="329">
        <f>SUM(AG434:AG437)</f>
        <v>0</v>
      </c>
      <c r="AH438" s="329"/>
      <c r="AI438" s="329"/>
      <c r="AJ438" s="329">
        <f>SUM(AJ434:AJ437)</f>
        <v>0</v>
      </c>
      <c r="AK438" s="329"/>
      <c r="AL438" s="329"/>
      <c r="AM438" s="329">
        <f>SUM(AM434:AM437)</f>
        <v>0</v>
      </c>
      <c r="AN438" s="329"/>
      <c r="AO438" s="329"/>
      <c r="AP438" s="329">
        <f>SUM(AP434:AP437)</f>
        <v>4369.33</v>
      </c>
      <c r="AQ438" s="329">
        <f>SUM(AQ434:AQ437)</f>
        <v>59101.33</v>
      </c>
      <c r="AR438" s="329"/>
      <c r="AS438" s="329">
        <f>SUM(AS434:AS437)</f>
        <v>10196.799999999999</v>
      </c>
      <c r="AT438" s="329">
        <f>SUM(AT434:AT437)</f>
        <v>28546.9</v>
      </c>
      <c r="AU438" s="329">
        <f>SUM(AU434:AU437)</f>
        <v>0</v>
      </c>
      <c r="AV438" s="329"/>
      <c r="AW438" s="329">
        <f>SUM(AW434:AW437)</f>
        <v>0</v>
      </c>
      <c r="AX438" s="329"/>
      <c r="AY438" s="329">
        <f>SUM(AY434:AY437)</f>
        <v>0</v>
      </c>
      <c r="AZ438" s="329">
        <f>SUM(AZ434:AZ437)</f>
        <v>0</v>
      </c>
      <c r="BA438" s="329">
        <f>SUM(BA434:BA437)</f>
        <v>28546.9</v>
      </c>
      <c r="BB438" s="329">
        <f>BC438/C438</f>
        <v>71534.49692307692</v>
      </c>
      <c r="BC438" s="329">
        <f>SUM(BC434:BC437)</f>
        <v>464974.23</v>
      </c>
      <c r="BD438" s="286">
        <f t="shared" si="342"/>
        <v>14306.899384615384</v>
      </c>
      <c r="BE438" s="323"/>
    </row>
    <row r="439" spans="1:65" s="316" customFormat="1" ht="18.75" hidden="1" customHeight="1" x14ac:dyDescent="0.25">
      <c r="A439" s="306"/>
      <c r="B439" s="307"/>
      <c r="C439" s="329"/>
      <c r="D439" s="309"/>
      <c r="E439" s="309"/>
      <c r="F439" s="309"/>
      <c r="G439" s="309"/>
      <c r="H439" s="309"/>
      <c r="I439" s="309"/>
      <c r="J439" s="309"/>
      <c r="K439" s="309"/>
      <c r="L439" s="309"/>
      <c r="M439" s="310"/>
      <c r="N439" s="309"/>
      <c r="O439" s="309"/>
      <c r="P439" s="309"/>
      <c r="Q439" s="309"/>
      <c r="R439" s="310"/>
      <c r="S439" s="310"/>
      <c r="T439" s="311"/>
      <c r="U439" s="329"/>
      <c r="V439" s="309"/>
      <c r="W439" s="309"/>
      <c r="X439" s="329"/>
      <c r="Y439" s="329"/>
      <c r="Z439" s="329"/>
      <c r="AA439" s="329"/>
      <c r="AB439" s="329"/>
      <c r="AC439" s="329"/>
      <c r="AD439" s="329"/>
      <c r="AE439" s="329"/>
      <c r="AF439" s="329"/>
      <c r="AG439" s="329"/>
      <c r="AH439" s="329"/>
      <c r="AI439" s="329"/>
      <c r="AJ439" s="329"/>
      <c r="AK439" s="329"/>
      <c r="AL439" s="329"/>
      <c r="AM439" s="329"/>
      <c r="AN439" s="329"/>
      <c r="AO439" s="329"/>
      <c r="AP439" s="329"/>
      <c r="AQ439" s="329"/>
      <c r="AR439" s="329"/>
      <c r="AS439" s="329"/>
      <c r="AT439" s="329"/>
      <c r="AU439" s="329"/>
      <c r="AV439" s="329"/>
      <c r="AW439" s="329"/>
      <c r="AX439" s="329"/>
      <c r="AY439" s="329"/>
      <c r="AZ439" s="329"/>
      <c r="BA439" s="329"/>
      <c r="BB439" s="329"/>
      <c r="BC439" s="329"/>
      <c r="BD439" s="286"/>
      <c r="BE439" s="323"/>
    </row>
    <row r="440" spans="1:65" s="316" customFormat="1" ht="18.75" hidden="1" customHeight="1" x14ac:dyDescent="0.25">
      <c r="A440" s="306"/>
      <c r="B440" s="307"/>
      <c r="C440" s="329"/>
      <c r="D440" s="309"/>
      <c r="E440" s="309"/>
      <c r="F440" s="309"/>
      <c r="G440" s="309"/>
      <c r="H440" s="309"/>
      <c r="I440" s="309"/>
      <c r="J440" s="309"/>
      <c r="K440" s="309"/>
      <c r="L440" s="309"/>
      <c r="M440" s="310"/>
      <c r="N440" s="309"/>
      <c r="O440" s="309"/>
      <c r="P440" s="309"/>
      <c r="Q440" s="309"/>
      <c r="R440" s="310"/>
      <c r="S440" s="310"/>
      <c r="T440" s="311"/>
      <c r="U440" s="329"/>
      <c r="V440" s="309"/>
      <c r="W440" s="309"/>
      <c r="X440" s="329"/>
      <c r="Y440" s="329"/>
      <c r="Z440" s="329"/>
      <c r="AA440" s="329"/>
      <c r="AB440" s="329"/>
      <c r="AC440" s="329"/>
      <c r="AD440" s="329"/>
      <c r="AE440" s="329"/>
      <c r="AF440" s="329"/>
      <c r="AG440" s="329"/>
      <c r="AH440" s="329"/>
      <c r="AI440" s="329"/>
      <c r="AJ440" s="329"/>
      <c r="AK440" s="329"/>
      <c r="AL440" s="329"/>
      <c r="AM440" s="329"/>
      <c r="AN440" s="329"/>
      <c r="AO440" s="329"/>
      <c r="AP440" s="329"/>
      <c r="AQ440" s="329"/>
      <c r="AR440" s="329"/>
      <c r="AS440" s="329"/>
      <c r="AT440" s="329"/>
      <c r="AU440" s="329"/>
      <c r="AV440" s="329"/>
      <c r="AW440" s="329"/>
      <c r="AX440" s="329"/>
      <c r="AY440" s="329"/>
      <c r="AZ440" s="329"/>
      <c r="BA440" s="329"/>
      <c r="BB440" s="329"/>
      <c r="BC440" s="329"/>
      <c r="BD440" s="286"/>
      <c r="BE440" s="323"/>
    </row>
    <row r="441" spans="1:65" s="316" customFormat="1" ht="35.25" customHeight="1" thickBot="1" x14ac:dyDescent="0.3">
      <c r="A441" s="398"/>
      <c r="B441" s="399" t="s">
        <v>268</v>
      </c>
      <c r="C441" s="450">
        <f>C369+C410+C431+C438</f>
        <v>94.75</v>
      </c>
      <c r="D441" s="401"/>
      <c r="E441" s="401"/>
      <c r="F441" s="401"/>
      <c r="G441" s="401"/>
      <c r="H441" s="401"/>
      <c r="I441" s="401"/>
      <c r="J441" s="401"/>
      <c r="K441" s="401"/>
      <c r="L441" s="401"/>
      <c r="M441" s="402"/>
      <c r="N441" s="401"/>
      <c r="O441" s="401"/>
      <c r="P441" s="401"/>
      <c r="Q441" s="401"/>
      <c r="R441" s="402"/>
      <c r="S441" s="402"/>
      <c r="T441" s="349">
        <f>U441/4</f>
        <v>1487064.75</v>
      </c>
      <c r="U441" s="403">
        <f>U369+U410+U431+U438</f>
        <v>5948259</v>
      </c>
      <c r="V441" s="403"/>
      <c r="W441" s="403">
        <f>W369+W410+W431+W438</f>
        <v>0</v>
      </c>
      <c r="X441" s="403">
        <f>X369+X410+X431+X438</f>
        <v>1006588.7999999999</v>
      </c>
      <c r="Y441" s="403"/>
      <c r="Z441" s="403">
        <f>Z369+Z410+Z431+Z438</f>
        <v>0</v>
      </c>
      <c r="AA441" s="403">
        <f>AA369+AA410+AA431+AA438</f>
        <v>87215</v>
      </c>
      <c r="AB441" s="403"/>
      <c r="AC441" s="403"/>
      <c r="AD441" s="403">
        <f>AD369+AD410+AD431+AD438</f>
        <v>45537.579168831173</v>
      </c>
      <c r="AE441" s="403"/>
      <c r="AF441" s="403">
        <f>AF369+AF410+AF431+AF438</f>
        <v>0</v>
      </c>
      <c r="AG441" s="403">
        <f>AG369+AG410+AG431+AG438</f>
        <v>159381.52709090908</v>
      </c>
      <c r="AH441" s="403"/>
      <c r="AI441" s="403">
        <f>AI369+AI410+AI431+AI438</f>
        <v>0</v>
      </c>
      <c r="AJ441" s="403">
        <f>AJ369+AJ410+AJ431+AJ438</f>
        <v>133975.64107142857</v>
      </c>
      <c r="AK441" s="403"/>
      <c r="AL441" s="403">
        <f>AL369+AL410+AL431+AL438</f>
        <v>0</v>
      </c>
      <c r="AM441" s="403">
        <f>AM369+AM410+AM431+AM438</f>
        <v>422255.12</v>
      </c>
      <c r="AN441" s="403"/>
      <c r="AO441" s="403">
        <f>AO369+AO410+AO431+AO438</f>
        <v>0</v>
      </c>
      <c r="AP441" s="403">
        <f>AP369+AP410+AP431+AP438</f>
        <v>35391.08</v>
      </c>
      <c r="AQ441" s="403">
        <f>AQ369+AQ410+AQ431+AQ438</f>
        <v>1890344.747331169</v>
      </c>
      <c r="AR441" s="403"/>
      <c r="AS441" s="403">
        <f>AS369+AS410+AS431+AS438</f>
        <v>752880.8</v>
      </c>
      <c r="AT441" s="403">
        <f>AT369+AT410+AT431+AT438</f>
        <v>1194403.0999999999</v>
      </c>
      <c r="AU441" s="403">
        <f>AU369+AU410+AU431+AU438</f>
        <v>33</v>
      </c>
      <c r="AV441" s="403"/>
      <c r="AW441" s="403">
        <f>AW369+AW410+AW431+AW438</f>
        <v>558277</v>
      </c>
      <c r="AX441" s="403"/>
      <c r="AY441" s="403">
        <f>AY369+AY410+AY431+AY438</f>
        <v>0</v>
      </c>
      <c r="AZ441" s="403">
        <f>AZ369+AZ410+AZ431+AZ438</f>
        <v>0</v>
      </c>
      <c r="BA441" s="403">
        <f>BA369+BA410+BA431+BA438</f>
        <v>1752680.1</v>
      </c>
      <c r="BB441" s="403">
        <f>BB369+BB410+BB431+BB438</f>
        <v>1879074.4044711606</v>
      </c>
      <c r="BC441" s="403">
        <f>BC369+BC410+BC431+BC438</f>
        <v>9591283.8473311681</v>
      </c>
      <c r="BD441" s="286">
        <f t="shared" si="342"/>
        <v>20245.454031305897</v>
      </c>
      <c r="BE441" s="323"/>
    </row>
    <row r="442" spans="1:65" x14ac:dyDescent="0.25">
      <c r="D442" s="241"/>
      <c r="E442" s="241"/>
      <c r="F442" s="241"/>
      <c r="G442" s="241"/>
      <c r="H442" s="241"/>
      <c r="I442" s="241"/>
      <c r="J442" s="241"/>
      <c r="K442" s="241"/>
      <c r="AQ442" s="251"/>
      <c r="BA442" s="251">
        <f>AT441+AW441+AZ441</f>
        <v>1752680.0999999999</v>
      </c>
    </row>
    <row r="443" spans="1:65" x14ac:dyDescent="0.25">
      <c r="D443" s="241"/>
      <c r="E443" s="241"/>
      <c r="F443" s="241"/>
      <c r="G443" s="241"/>
      <c r="H443" s="241"/>
      <c r="I443" s="241"/>
      <c r="J443" s="241"/>
      <c r="K443" s="241"/>
    </row>
    <row r="444" spans="1:65" ht="16.5" x14ac:dyDescent="0.25">
      <c r="D444" s="241"/>
      <c r="E444" s="241"/>
      <c r="F444" s="241"/>
      <c r="G444" s="241"/>
      <c r="H444" s="241"/>
      <c r="I444" s="241"/>
      <c r="J444" s="241"/>
      <c r="K444" s="241"/>
      <c r="S444" s="120"/>
      <c r="T444" s="404"/>
      <c r="U444" s="120" t="s">
        <v>289</v>
      </c>
      <c r="V444" s="405"/>
      <c r="W444" s="405"/>
      <c r="AT444" s="462">
        <f>C441</f>
        <v>94.75</v>
      </c>
      <c r="AZ444" s="407"/>
      <c r="BA444" s="251">
        <f>BC444/AT444/4</f>
        <v>25306.817539132371</v>
      </c>
      <c r="BC444" s="251">
        <f>BC441</f>
        <v>9591283.8473311681</v>
      </c>
      <c r="BD444" s="251"/>
      <c r="BE444" s="251"/>
      <c r="BF444" s="241">
        <f>BC444/12</f>
        <v>799273.65394426405</v>
      </c>
      <c r="BH444" s="252">
        <f>BA441/2</f>
        <v>876340.05</v>
      </c>
    </row>
    <row r="445" spans="1:65" ht="17.25" x14ac:dyDescent="0.3">
      <c r="D445" s="241"/>
      <c r="E445" s="241"/>
      <c r="F445" s="241"/>
      <c r="G445" s="241"/>
      <c r="H445" s="241"/>
      <c r="I445" s="241"/>
      <c r="J445" s="241"/>
      <c r="K445" s="241"/>
      <c r="S445" s="148"/>
      <c r="T445" s="408"/>
      <c r="U445" s="148"/>
      <c r="V445" s="409" t="s">
        <v>270</v>
      </c>
      <c r="W445" s="410"/>
      <c r="AT445" s="462"/>
    </row>
    <row r="446" spans="1:65" ht="17.25" x14ac:dyDescent="0.3">
      <c r="D446" s="241"/>
      <c r="E446" s="241"/>
      <c r="F446" s="241"/>
      <c r="G446" s="241"/>
      <c r="H446" s="241"/>
      <c r="I446" s="241"/>
      <c r="J446" s="241"/>
      <c r="K446" s="241"/>
      <c r="S446" s="411"/>
      <c r="T446" s="412"/>
      <c r="U446" s="411" t="s">
        <v>271</v>
      </c>
      <c r="V446" s="413"/>
      <c r="W446" s="414"/>
      <c r="X446" s="415"/>
      <c r="Y446" s="415"/>
      <c r="Z446" s="415"/>
      <c r="AA446" s="415"/>
      <c r="AB446" s="415"/>
      <c r="AC446" s="415"/>
      <c r="AE446" s="415"/>
      <c r="AT446" s="462">
        <f>C369-C367+C380+C414+C415+C424+C434+C436</f>
        <v>29.25</v>
      </c>
      <c r="AZ446" s="407"/>
      <c r="BA446" s="251">
        <f>BC446/AT446/4</f>
        <v>34762.106666666667</v>
      </c>
      <c r="BC446" s="251">
        <f>BC369-BC367-BC368+BC380+BC414+BC415+BC424+BC434+BC436</f>
        <v>4067166.48</v>
      </c>
      <c r="BD446" s="251"/>
      <c r="BE446" s="251"/>
      <c r="BF446" s="241">
        <f>BC446/12</f>
        <v>338930.54</v>
      </c>
    </row>
    <row r="447" spans="1:65" ht="16.5" x14ac:dyDescent="0.25">
      <c r="D447" s="241"/>
      <c r="E447" s="241"/>
      <c r="F447" s="241"/>
      <c r="G447" s="241"/>
      <c r="H447" s="241"/>
      <c r="I447" s="241"/>
      <c r="J447" s="241"/>
      <c r="K447" s="241"/>
      <c r="S447" s="148"/>
      <c r="T447" s="408"/>
      <c r="U447" s="148"/>
      <c r="V447" s="410"/>
      <c r="W447" s="410"/>
      <c r="AT447" s="462"/>
    </row>
    <row r="448" spans="1:65" ht="20.25" customHeight="1" x14ac:dyDescent="0.3">
      <c r="D448" s="241"/>
      <c r="E448" s="241"/>
      <c r="F448" s="241"/>
      <c r="G448" s="241"/>
      <c r="H448" s="241"/>
      <c r="I448" s="241"/>
      <c r="J448" s="241"/>
      <c r="K448" s="241"/>
      <c r="S448" s="416"/>
      <c r="T448" s="412"/>
      <c r="U448" s="416" t="s">
        <v>272</v>
      </c>
      <c r="V448" s="409"/>
      <c r="W448" s="409"/>
      <c r="AT448" s="462">
        <f>C367+C391+C402+C409+C416+C417+C418+C419+C425+C426+C427+C435+C437</f>
        <v>65.5</v>
      </c>
      <c r="AZ448" s="407"/>
      <c r="BA448" s="251">
        <f>BC448/AT448/4</f>
        <v>21084.41743256172</v>
      </c>
      <c r="BC448" s="251">
        <f>BC367+BC391+BC402+BC409+BC416+BC417+BC418+BC419+BC425+BC426+BC427+BC435+BC437</f>
        <v>5524117.3673311705</v>
      </c>
      <c r="BD448" s="251"/>
      <c r="BE448" s="251"/>
      <c r="BF448" s="241">
        <f>BC448/12</f>
        <v>460343.11394426419</v>
      </c>
    </row>
    <row r="449" spans="1:65" x14ac:dyDescent="0.25">
      <c r="D449" s="241"/>
      <c r="E449" s="241"/>
      <c r="F449" s="241"/>
      <c r="G449" s="241"/>
      <c r="H449" s="241"/>
      <c r="I449" s="241"/>
      <c r="J449" s="241"/>
      <c r="K449" s="241"/>
      <c r="AT449" s="462">
        <f>SUM(AT446:AT448)</f>
        <v>94.75</v>
      </c>
      <c r="BC449" s="417">
        <f>SUM(BC446:BC448)</f>
        <v>9591283.84733117</v>
      </c>
    </row>
    <row r="450" spans="1:65" hidden="1" x14ac:dyDescent="0.25">
      <c r="D450" s="241"/>
      <c r="E450" s="241"/>
      <c r="F450" s="241"/>
      <c r="G450" s="241"/>
      <c r="H450" s="241"/>
      <c r="I450" s="241"/>
      <c r="J450" s="241"/>
      <c r="K450" s="241"/>
      <c r="AT450" s="418">
        <f>SUM(AT446:AT448)</f>
        <v>94.75</v>
      </c>
      <c r="AU450" s="418"/>
      <c r="AV450" s="418"/>
      <c r="AW450" s="418"/>
      <c r="AX450" s="419"/>
      <c r="AY450" s="419"/>
      <c r="AZ450" s="418"/>
      <c r="BA450" s="418"/>
      <c r="BB450" s="418">
        <f>SUM(BB446:BB448)</f>
        <v>0</v>
      </c>
      <c r="BC450" s="418">
        <f>SUM(BC446:BC448)</f>
        <v>9591283.84733117</v>
      </c>
    </row>
    <row r="451" spans="1:65" ht="15.75" hidden="1" x14ac:dyDescent="0.25">
      <c r="B451" s="420"/>
      <c r="C451" s="420"/>
      <c r="D451" s="241"/>
      <c r="E451" s="241"/>
      <c r="F451" s="241"/>
      <c r="G451" s="241"/>
      <c r="H451" s="241"/>
      <c r="I451" s="241"/>
      <c r="J451" s="241"/>
      <c r="K451" s="241"/>
      <c r="X451" s="420"/>
      <c r="Y451" s="416"/>
      <c r="Z451" s="416"/>
    </row>
    <row r="452" spans="1:65" ht="15" hidden="1" customHeight="1" x14ac:dyDescent="0.25">
      <c r="B452" s="421"/>
      <c r="C452" s="422"/>
      <c r="D452" s="241"/>
      <c r="E452" s="241"/>
      <c r="F452" s="241"/>
      <c r="G452" s="241"/>
      <c r="H452" s="241"/>
      <c r="I452" s="241"/>
      <c r="J452" s="241"/>
      <c r="K452" s="241"/>
      <c r="X452" s="420"/>
      <c r="Y452" s="420"/>
      <c r="Z452" s="420"/>
    </row>
    <row r="453" spans="1:65" ht="84" hidden="1" customHeight="1" x14ac:dyDescent="0.25">
      <c r="B453" s="421"/>
      <c r="C453" s="422"/>
      <c r="D453" s="241"/>
      <c r="E453" s="241"/>
      <c r="F453" s="241"/>
      <c r="G453" s="241"/>
      <c r="H453" s="241"/>
      <c r="I453" s="241"/>
      <c r="J453" s="241"/>
      <c r="K453" s="241"/>
      <c r="X453" s="420"/>
      <c r="Y453" s="420"/>
      <c r="Z453" s="420"/>
    </row>
    <row r="454" spans="1:65" ht="31.5" customHeight="1" thickBot="1" x14ac:dyDescent="0.3">
      <c r="B454" s="257" t="s">
        <v>290</v>
      </c>
      <c r="C454" s="257"/>
      <c r="D454" s="257"/>
      <c r="E454" s="257"/>
      <c r="F454" s="257"/>
      <c r="G454" s="257"/>
      <c r="H454" s="257"/>
      <c r="I454" s="257"/>
      <c r="J454" s="257"/>
      <c r="K454" s="257"/>
      <c r="L454" s="257"/>
      <c r="M454" s="257">
        <f>M346</f>
        <v>3028</v>
      </c>
      <c r="N454" s="257" t="s">
        <v>173</v>
      </c>
      <c r="O454" s="257"/>
    </row>
    <row r="455" spans="1:65" ht="100.9" customHeight="1" x14ac:dyDescent="0.25">
      <c r="A455" s="2019" t="s">
        <v>291</v>
      </c>
      <c r="B455" s="2021" t="s">
        <v>175</v>
      </c>
      <c r="C455" s="2024"/>
      <c r="D455" s="2027" t="s">
        <v>177</v>
      </c>
      <c r="E455" s="2028"/>
      <c r="F455" s="2028"/>
      <c r="G455" s="2028"/>
      <c r="H455" s="2028"/>
      <c r="I455" s="2028"/>
      <c r="J455" s="2028"/>
      <c r="K455" s="2029"/>
      <c r="L455" s="2030" t="s">
        <v>178</v>
      </c>
      <c r="M455" s="2033" t="s">
        <v>179</v>
      </c>
      <c r="N455" s="2013" t="s">
        <v>180</v>
      </c>
      <c r="O455" s="2013" t="s">
        <v>181</v>
      </c>
      <c r="P455" s="2013" t="s">
        <v>182</v>
      </c>
      <c r="Q455" s="2013" t="s">
        <v>183</v>
      </c>
      <c r="R455" s="2013" t="s">
        <v>184</v>
      </c>
      <c r="S455" s="2015" t="s">
        <v>274</v>
      </c>
      <c r="T455" s="2016"/>
      <c r="U455" s="2010" t="s">
        <v>186</v>
      </c>
      <c r="V455" s="1991" t="s">
        <v>275</v>
      </c>
      <c r="W455" s="1992"/>
      <c r="X455" s="1993"/>
      <c r="Y455" s="1994" t="s">
        <v>188</v>
      </c>
      <c r="Z455" s="1992"/>
      <c r="AA455" s="1993"/>
      <c r="AB455" s="2036" t="s">
        <v>189</v>
      </c>
      <c r="AC455" s="2037"/>
      <c r="AD455" s="2038"/>
      <c r="AE455" s="1994" t="s">
        <v>190</v>
      </c>
      <c r="AF455" s="1992"/>
      <c r="AG455" s="1993"/>
      <c r="AH455" s="1994" t="s">
        <v>191</v>
      </c>
      <c r="AI455" s="1992"/>
      <c r="AJ455" s="1993"/>
      <c r="AK455" s="2036" t="s">
        <v>192</v>
      </c>
      <c r="AL455" s="2037"/>
      <c r="AM455" s="2038"/>
      <c r="AN455" s="1994" t="s">
        <v>193</v>
      </c>
      <c r="AO455" s="1992"/>
      <c r="AP455" s="1993"/>
      <c r="AQ455" s="2010" t="s">
        <v>194</v>
      </c>
      <c r="AR455" s="1991" t="s">
        <v>195</v>
      </c>
      <c r="AS455" s="1992"/>
      <c r="AT455" s="1993"/>
      <c r="AU455" s="1994" t="s">
        <v>196</v>
      </c>
      <c r="AV455" s="1992"/>
      <c r="AW455" s="1992"/>
      <c r="AX455" s="1992"/>
      <c r="AY455" s="1992"/>
      <c r="AZ455" s="1993"/>
      <c r="BA455" s="1995" t="s">
        <v>197</v>
      </c>
      <c r="BB455" s="1998" t="s">
        <v>198</v>
      </c>
      <c r="BC455" s="1999"/>
      <c r="BD455" s="258"/>
      <c r="BE455" s="258"/>
      <c r="BF455" s="251">
        <f>BC477-BA460</f>
        <v>623377.13</v>
      </c>
    </row>
    <row r="456" spans="1:65" ht="10.9" customHeight="1" x14ac:dyDescent="0.25">
      <c r="A456" s="2020"/>
      <c r="B456" s="2022"/>
      <c r="C456" s="2025"/>
      <c r="D456" s="2004" t="s">
        <v>199</v>
      </c>
      <c r="E456" s="2005"/>
      <c r="F456" s="2005"/>
      <c r="G456" s="2005"/>
      <c r="H456" s="2005"/>
      <c r="I456" s="2005"/>
      <c r="J456" s="2005"/>
      <c r="K456" s="2006"/>
      <c r="L456" s="2031"/>
      <c r="M456" s="2034"/>
      <c r="N456" s="2014"/>
      <c r="O456" s="2014"/>
      <c r="P456" s="2014"/>
      <c r="Q456" s="2014"/>
      <c r="R456" s="2014"/>
      <c r="S456" s="2017"/>
      <c r="T456" s="2018"/>
      <c r="U456" s="2011"/>
      <c r="V456" s="1989" t="s">
        <v>200</v>
      </c>
      <c r="W456" s="1979" t="s">
        <v>201</v>
      </c>
      <c r="X456" s="1980"/>
      <c r="Y456" s="1983" t="s">
        <v>200</v>
      </c>
      <c r="Z456" s="1979" t="s">
        <v>201</v>
      </c>
      <c r="AA456" s="1980"/>
      <c r="AB456" s="1983" t="s">
        <v>200</v>
      </c>
      <c r="AC456" s="259"/>
      <c r="AD456" s="1985" t="s">
        <v>201</v>
      </c>
      <c r="AE456" s="1983" t="s">
        <v>200</v>
      </c>
      <c r="AF456" s="1979" t="s">
        <v>201</v>
      </c>
      <c r="AG456" s="1980"/>
      <c r="AH456" s="1983" t="s">
        <v>200</v>
      </c>
      <c r="AI456" s="1979" t="s">
        <v>201</v>
      </c>
      <c r="AJ456" s="1980"/>
      <c r="AK456" s="1983" t="s">
        <v>200</v>
      </c>
      <c r="AL456" s="1979" t="s">
        <v>201</v>
      </c>
      <c r="AM456" s="1980"/>
      <c r="AN456" s="1983" t="s">
        <v>200</v>
      </c>
      <c r="AO456" s="1979" t="s">
        <v>201</v>
      </c>
      <c r="AP456" s="1980"/>
      <c r="AQ456" s="2011"/>
      <c r="AR456" s="1989" t="s">
        <v>200</v>
      </c>
      <c r="AS456" s="1979" t="s">
        <v>201</v>
      </c>
      <c r="AT456" s="1980"/>
      <c r="AU456" s="1983" t="s">
        <v>277</v>
      </c>
      <c r="AV456" s="1985" t="s">
        <v>200</v>
      </c>
      <c r="AW456" s="1987" t="s">
        <v>201</v>
      </c>
      <c r="AX456" s="1989" t="s">
        <v>200</v>
      </c>
      <c r="AY456" s="1979" t="s">
        <v>201</v>
      </c>
      <c r="AZ456" s="1980"/>
      <c r="BA456" s="1996"/>
      <c r="BB456" s="2000"/>
      <c r="BC456" s="2001"/>
      <c r="BD456" s="258"/>
      <c r="BE456" s="258"/>
    </row>
    <row r="457" spans="1:65" ht="50.25" customHeight="1" x14ac:dyDescent="0.25">
      <c r="A457" s="1990"/>
      <c r="B457" s="2023"/>
      <c r="C457" s="2026"/>
      <c r="D457" s="260" t="s">
        <v>203</v>
      </c>
      <c r="E457" s="261" t="s">
        <v>204</v>
      </c>
      <c r="F457" s="261" t="s">
        <v>205</v>
      </c>
      <c r="G457" s="261" t="s">
        <v>206</v>
      </c>
      <c r="H457" s="261" t="s">
        <v>207</v>
      </c>
      <c r="I457" s="261" t="s">
        <v>208</v>
      </c>
      <c r="J457" s="261" t="s">
        <v>209</v>
      </c>
      <c r="K457" s="262" t="s">
        <v>210</v>
      </c>
      <c r="L457" s="2032"/>
      <c r="M457" s="2035"/>
      <c r="N457" s="1986"/>
      <c r="O457" s="1986"/>
      <c r="P457" s="1986"/>
      <c r="Q457" s="1986"/>
      <c r="R457" s="1986"/>
      <c r="S457" s="263" t="s">
        <v>211</v>
      </c>
      <c r="T457" s="424" t="s">
        <v>212</v>
      </c>
      <c r="U457" s="2012"/>
      <c r="V457" s="1990"/>
      <c r="W457" s="1981"/>
      <c r="X457" s="1982"/>
      <c r="Y457" s="1984"/>
      <c r="Z457" s="1981"/>
      <c r="AA457" s="1982"/>
      <c r="AB457" s="1984"/>
      <c r="AC457" s="264"/>
      <c r="AD457" s="1986"/>
      <c r="AE457" s="1984"/>
      <c r="AF457" s="1981"/>
      <c r="AG457" s="1982"/>
      <c r="AH457" s="1984"/>
      <c r="AI457" s="1981"/>
      <c r="AJ457" s="1982"/>
      <c r="AK457" s="1984"/>
      <c r="AL457" s="1981"/>
      <c r="AM457" s="1982"/>
      <c r="AN457" s="1984"/>
      <c r="AO457" s="1981"/>
      <c r="AP457" s="1982"/>
      <c r="AQ457" s="2012"/>
      <c r="AR457" s="1990"/>
      <c r="AS457" s="1981"/>
      <c r="AT457" s="1982"/>
      <c r="AU457" s="1984"/>
      <c r="AV457" s="1986"/>
      <c r="AW457" s="1988"/>
      <c r="AX457" s="1990" t="s">
        <v>200</v>
      </c>
      <c r="AY457" s="1981"/>
      <c r="AZ457" s="1982"/>
      <c r="BA457" s="1997"/>
      <c r="BB457" s="2002"/>
      <c r="BC457" s="2003"/>
      <c r="BD457" s="265"/>
      <c r="BE457" s="265"/>
      <c r="BF457" s="260" t="s">
        <v>203</v>
      </c>
      <c r="BG457" s="261" t="s">
        <v>204</v>
      </c>
      <c r="BH457" s="261" t="s">
        <v>205</v>
      </c>
      <c r="BI457" s="261" t="s">
        <v>206</v>
      </c>
      <c r="BJ457" s="261" t="s">
        <v>207</v>
      </c>
      <c r="BK457" s="261" t="s">
        <v>208</v>
      </c>
      <c r="BL457" s="261" t="s">
        <v>209</v>
      </c>
      <c r="BM457" s="262" t="s">
        <v>210</v>
      </c>
    </row>
    <row r="458" spans="1:65" s="251" customFormat="1" x14ac:dyDescent="0.25">
      <c r="A458" s="427">
        <v>1</v>
      </c>
      <c r="B458" s="428">
        <v>2</v>
      </c>
      <c r="C458" s="345">
        <v>3</v>
      </c>
      <c r="D458" s="428">
        <v>5</v>
      </c>
      <c r="E458" s="345">
        <v>6</v>
      </c>
      <c r="F458" s="345">
        <v>7</v>
      </c>
      <c r="G458" s="428">
        <v>8</v>
      </c>
      <c r="H458" s="345">
        <v>9</v>
      </c>
      <c r="I458" s="345">
        <v>10</v>
      </c>
      <c r="J458" s="428">
        <v>11</v>
      </c>
      <c r="K458" s="345">
        <v>12</v>
      </c>
      <c r="L458" s="345">
        <v>4</v>
      </c>
      <c r="M458" s="428">
        <v>5</v>
      </c>
      <c r="N458" s="345">
        <v>6</v>
      </c>
      <c r="O458" s="345">
        <v>7</v>
      </c>
      <c r="P458" s="428">
        <v>8</v>
      </c>
      <c r="Q458" s="345">
        <v>9</v>
      </c>
      <c r="R458" s="345">
        <v>10</v>
      </c>
      <c r="S458" s="428">
        <v>11</v>
      </c>
      <c r="T458" s="345">
        <v>12</v>
      </c>
      <c r="U458" s="345">
        <v>13</v>
      </c>
      <c r="V458" s="428">
        <v>14</v>
      </c>
      <c r="W458" s="345">
        <v>24</v>
      </c>
      <c r="X458" s="345">
        <v>15</v>
      </c>
      <c r="Y458" s="428">
        <v>16</v>
      </c>
      <c r="Z458" s="345">
        <v>30</v>
      </c>
      <c r="AA458" s="345">
        <v>17</v>
      </c>
      <c r="AB458" s="428">
        <v>18</v>
      </c>
      <c r="AC458" s="428"/>
      <c r="AD458" s="345">
        <v>19</v>
      </c>
      <c r="AE458" s="428">
        <v>18</v>
      </c>
      <c r="AF458" s="345">
        <v>33</v>
      </c>
      <c r="AG458" s="345">
        <v>19</v>
      </c>
      <c r="AH458" s="428">
        <v>20</v>
      </c>
      <c r="AI458" s="345">
        <v>36</v>
      </c>
      <c r="AJ458" s="345">
        <v>21</v>
      </c>
      <c r="AK458" s="428">
        <v>22</v>
      </c>
      <c r="AL458" s="345">
        <v>39</v>
      </c>
      <c r="AM458" s="345">
        <v>23</v>
      </c>
      <c r="AN458" s="428">
        <v>22</v>
      </c>
      <c r="AO458" s="345">
        <v>39</v>
      </c>
      <c r="AP458" s="345">
        <v>23</v>
      </c>
      <c r="AQ458" s="428">
        <v>24</v>
      </c>
      <c r="AR458" s="345">
        <v>25</v>
      </c>
      <c r="AS458" s="345">
        <v>43</v>
      </c>
      <c r="AT458" s="428">
        <v>26</v>
      </c>
      <c r="AU458" s="345">
        <v>27</v>
      </c>
      <c r="AV458" s="345">
        <v>28</v>
      </c>
      <c r="AW458" s="428">
        <v>29</v>
      </c>
      <c r="AX458" s="345">
        <v>30</v>
      </c>
      <c r="AY458" s="345">
        <v>43</v>
      </c>
      <c r="AZ458" s="428">
        <v>31</v>
      </c>
      <c r="BA458" s="345">
        <v>32</v>
      </c>
      <c r="BB458" s="345">
        <v>49</v>
      </c>
      <c r="BC458" s="428">
        <v>33</v>
      </c>
    </row>
    <row r="459" spans="1:65" s="275" customFormat="1" ht="21" customHeight="1" x14ac:dyDescent="0.25">
      <c r="A459" s="270" t="s">
        <v>213</v>
      </c>
      <c r="B459" s="271" t="s">
        <v>97</v>
      </c>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c r="AA459" s="272"/>
      <c r="AB459" s="272"/>
      <c r="AC459" s="272"/>
      <c r="AD459" s="272"/>
      <c r="AE459" s="272"/>
      <c r="AF459" s="272"/>
      <c r="AG459" s="272"/>
      <c r="AH459" s="272"/>
      <c r="AI459" s="272"/>
      <c r="AJ459" s="272"/>
      <c r="AK459" s="272"/>
      <c r="AL459" s="272"/>
      <c r="AM459" s="272"/>
      <c r="AN459" s="272"/>
      <c r="AO459" s="272"/>
      <c r="AP459" s="272"/>
      <c r="AQ459" s="272"/>
      <c r="AR459" s="272"/>
      <c r="AS459" s="272"/>
      <c r="AT459" s="272"/>
      <c r="AU459" s="272"/>
      <c r="AV459" s="272"/>
      <c r="AW459" s="272"/>
      <c r="AX459" s="272"/>
      <c r="AY459" s="272"/>
      <c r="AZ459" s="272"/>
      <c r="BA459" s="272"/>
      <c r="BB459" s="272"/>
      <c r="BC459" s="273"/>
      <c r="BD459" s="274"/>
      <c r="BE459" s="274"/>
    </row>
    <row r="460" spans="1:65" s="287" customFormat="1" ht="18.75" customHeight="1" x14ac:dyDescent="0.25">
      <c r="A460" s="276"/>
      <c r="B460" s="277" t="s">
        <v>146</v>
      </c>
      <c r="C460" s="278">
        <v>1</v>
      </c>
      <c r="D460" s="279"/>
      <c r="E460" s="279"/>
      <c r="F460" s="279"/>
      <c r="G460" s="279"/>
      <c r="H460" s="279"/>
      <c r="I460" s="279"/>
      <c r="J460" s="279">
        <v>1</v>
      </c>
      <c r="K460" s="279"/>
      <c r="L460" s="277"/>
      <c r="M460" s="280">
        <f>M244</f>
        <v>3028</v>
      </c>
      <c r="N460" s="281">
        <f t="shared" ref="N460:N474" si="344">N$244</f>
        <v>2</v>
      </c>
      <c r="O460" s="282">
        <v>4.5</v>
      </c>
      <c r="P460" s="282">
        <f t="shared" ref="P460:P474" si="345">P$244</f>
        <v>1.58</v>
      </c>
      <c r="Q460" s="282"/>
      <c r="R460" s="280" t="e">
        <f>[3]тар!#REF!</f>
        <v>#REF!</v>
      </c>
      <c r="S460" s="280" t="e">
        <f>T460/(R460/1)</f>
        <v>#REF!</v>
      </c>
      <c r="T460" s="425">
        <f t="shared" ref="T460:T475" si="346">ROUND(M460*N460*O460*P460,0)</f>
        <v>43058</v>
      </c>
      <c r="U460" s="284">
        <f t="shared" ref="U460:U474" si="347">T460*C460</f>
        <v>43058</v>
      </c>
      <c r="V460" s="277"/>
      <c r="W460" s="285"/>
      <c r="X460" s="285">
        <f>U460*V460%</f>
        <v>0</v>
      </c>
      <c r="Y460" s="277"/>
      <c r="Z460" s="277"/>
      <c r="AA460" s="277"/>
      <c r="AB460" s="277"/>
      <c r="AC460" s="277"/>
      <c r="AD460" s="277"/>
      <c r="AE460" s="277"/>
      <c r="AF460" s="277"/>
      <c r="AG460" s="277"/>
      <c r="AH460" s="277"/>
      <c r="AI460" s="277"/>
      <c r="AJ460" s="277"/>
      <c r="AK460" s="277"/>
      <c r="AL460" s="277"/>
      <c r="AM460" s="285">
        <f>T460*AK460%</f>
        <v>0</v>
      </c>
      <c r="AN460" s="277"/>
      <c r="AO460" s="277"/>
      <c r="AP460" s="285"/>
      <c r="AQ460" s="284">
        <f t="shared" ref="AQ460:AQ476" si="348">X460+AA460+AD460+AG460+AJ460+AM460+AP460</f>
        <v>0</v>
      </c>
      <c r="AR460" s="285"/>
      <c r="AS460" s="285">
        <f t="shared" ref="AS460:AS474" si="349">AT460/C460</f>
        <v>0</v>
      </c>
      <c r="AT460" s="280"/>
      <c r="AU460" s="277"/>
      <c r="AV460" s="277">
        <v>100</v>
      </c>
      <c r="AW460" s="277">
        <f t="shared" ref="AW460:AW475" si="350">AU460*T460</f>
        <v>0</v>
      </c>
      <c r="AX460" s="285"/>
      <c r="AY460" s="285"/>
      <c r="AZ460" s="280"/>
      <c r="BA460" s="284">
        <f t="shared" ref="BA460:BA475" si="351">AT460+AW460+AZ460</f>
        <v>0</v>
      </c>
      <c r="BB460" s="284">
        <f t="shared" ref="BB460:BB474" si="352">BC460/C460</f>
        <v>43058</v>
      </c>
      <c r="BC460" s="284">
        <f t="shared" ref="BC460:BC474" si="353">BA460+AQ460+U460</f>
        <v>43058</v>
      </c>
      <c r="BD460" s="286">
        <f t="shared" ref="BD460:BD474" si="354">BC460/C460</f>
        <v>43058</v>
      </c>
      <c r="BE460" s="286"/>
      <c r="BF460" s="251">
        <f>IF(D460=1,BC460,0)</f>
        <v>0</v>
      </c>
      <c r="BG460" s="251">
        <f>IF(E460=1,BC460,0)</f>
        <v>0</v>
      </c>
      <c r="BH460" s="251">
        <f>IF(F460=1,BC460,0)</f>
        <v>0</v>
      </c>
      <c r="BI460" s="251">
        <f>IF(G460=1,BC460,0)</f>
        <v>0</v>
      </c>
      <c r="BJ460" s="251">
        <f>IF(H460=1,BC460,0)</f>
        <v>0</v>
      </c>
      <c r="BK460" s="251">
        <f>IF(I460=1,BC460,0)</f>
        <v>0</v>
      </c>
      <c r="BL460" s="251">
        <f>IF(J460=1,BC460,0)</f>
        <v>43058</v>
      </c>
      <c r="BM460" s="251">
        <f>IF(K460=1,BC460,0)</f>
        <v>0</v>
      </c>
    </row>
    <row r="461" spans="1:65" s="287" customFormat="1" x14ac:dyDescent="0.25">
      <c r="A461" s="276"/>
      <c r="B461" s="288" t="s">
        <v>214</v>
      </c>
      <c r="C461" s="278">
        <v>1</v>
      </c>
      <c r="D461" s="279"/>
      <c r="E461" s="279"/>
      <c r="F461" s="279"/>
      <c r="G461" s="279"/>
      <c r="H461" s="279"/>
      <c r="I461" s="279"/>
      <c r="J461" s="279">
        <v>1</v>
      </c>
      <c r="K461" s="279"/>
      <c r="L461" s="277"/>
      <c r="M461" s="280">
        <f>M$467</f>
        <v>3028</v>
      </c>
      <c r="N461" s="281">
        <f t="shared" si="344"/>
        <v>2</v>
      </c>
      <c r="O461" s="282">
        <f>O460*80%</f>
        <v>3.6</v>
      </c>
      <c r="P461" s="282">
        <f t="shared" si="345"/>
        <v>1.58</v>
      </c>
      <c r="Q461" s="282"/>
      <c r="R461" s="280">
        <f t="shared" ref="R461:R475" si="355">$R$565</f>
        <v>174</v>
      </c>
      <c r="S461" s="280">
        <f t="shared" ref="S461:S475" si="356">T461/(R461/1)</f>
        <v>197.9712643678161</v>
      </c>
      <c r="T461" s="425">
        <f t="shared" si="346"/>
        <v>34447</v>
      </c>
      <c r="U461" s="284">
        <f t="shared" si="347"/>
        <v>34447</v>
      </c>
      <c r="V461" s="277">
        <v>30</v>
      </c>
      <c r="W461" s="285"/>
      <c r="X461" s="285">
        <f>U461*V461%</f>
        <v>10334.1</v>
      </c>
      <c r="Y461" s="277"/>
      <c r="Z461" s="277"/>
      <c r="AA461" s="277"/>
      <c r="AB461" s="277"/>
      <c r="AC461" s="277"/>
      <c r="AD461" s="277"/>
      <c r="AE461" s="277"/>
      <c r="AF461" s="277"/>
      <c r="AG461" s="277"/>
      <c r="AH461" s="277"/>
      <c r="AI461" s="277"/>
      <c r="AJ461" s="277"/>
      <c r="AK461" s="277">
        <v>7</v>
      </c>
      <c r="AL461" s="277"/>
      <c r="AM461" s="285">
        <f t="shared" ref="AM461:AM476" si="357">T461*AK461%</f>
        <v>2411.2900000000004</v>
      </c>
      <c r="AN461" s="277"/>
      <c r="AO461" s="277"/>
      <c r="AP461" s="277"/>
      <c r="AQ461" s="284">
        <f t="shared" si="348"/>
        <v>12745.390000000001</v>
      </c>
      <c r="AR461" s="277">
        <f t="shared" ref="AR461:AR475" si="358">AR$29</f>
        <v>20</v>
      </c>
      <c r="AS461" s="277">
        <f t="shared" si="349"/>
        <v>6889.4000000000005</v>
      </c>
      <c r="AT461" s="280">
        <f t="shared" ref="AT461:AT474" si="359">(U461)*AR461%</f>
        <v>6889.4000000000005</v>
      </c>
      <c r="AU461" s="277"/>
      <c r="AV461" s="277">
        <v>100</v>
      </c>
      <c r="AW461" s="277">
        <f t="shared" si="350"/>
        <v>0</v>
      </c>
      <c r="AX461" s="277"/>
      <c r="AY461" s="277"/>
      <c r="AZ461" s="280"/>
      <c r="BA461" s="284">
        <f t="shared" si="351"/>
        <v>6889.4000000000005</v>
      </c>
      <c r="BB461" s="284">
        <f t="shared" si="352"/>
        <v>54081.79</v>
      </c>
      <c r="BC461" s="284">
        <f t="shared" si="353"/>
        <v>54081.79</v>
      </c>
      <c r="BD461" s="286">
        <f t="shared" si="354"/>
        <v>54081.79</v>
      </c>
      <c r="BE461" s="286"/>
      <c r="BF461" s="251">
        <f>IF(D461=1,BC461,0)</f>
        <v>0</v>
      </c>
      <c r="BG461" s="251">
        <f>IF(E461=1,BC461,0)</f>
        <v>0</v>
      </c>
      <c r="BH461" s="251">
        <f>IF(F461=1,BC461,0)</f>
        <v>0</v>
      </c>
      <c r="BI461" s="251">
        <f>IF(G461=1,BC461,0)</f>
        <v>0</v>
      </c>
      <c r="BJ461" s="251">
        <f>IF(H461=1,BC461,0)</f>
        <v>0</v>
      </c>
      <c r="BK461" s="251">
        <f>IF(I461=1,BC461,0)</f>
        <v>0</v>
      </c>
      <c r="BL461" s="251">
        <f>IF(J461=1,BC461,0)</f>
        <v>54081.79</v>
      </c>
      <c r="BM461" s="251">
        <f>IF(K461=1,BC461,0)</f>
        <v>0</v>
      </c>
    </row>
    <row r="462" spans="1:65" s="301" customFormat="1" x14ac:dyDescent="0.25">
      <c r="A462" s="289"/>
      <c r="B462" s="290" t="s">
        <v>215</v>
      </c>
      <c r="C462" s="376">
        <v>1</v>
      </c>
      <c r="D462" s="292"/>
      <c r="E462" s="292"/>
      <c r="F462" s="292"/>
      <c r="G462" s="292"/>
      <c r="H462" s="292"/>
      <c r="I462" s="292"/>
      <c r="J462" s="292">
        <v>1</v>
      </c>
      <c r="K462" s="292"/>
      <c r="L462" s="293"/>
      <c r="M462" s="280">
        <f>M$467</f>
        <v>3028</v>
      </c>
      <c r="N462" s="429">
        <f t="shared" si="344"/>
        <v>2</v>
      </c>
      <c r="O462" s="295">
        <v>3.38</v>
      </c>
      <c r="P462" s="295">
        <f t="shared" si="345"/>
        <v>1.58</v>
      </c>
      <c r="Q462" s="295"/>
      <c r="R462" s="294">
        <f t="shared" si="355"/>
        <v>174</v>
      </c>
      <c r="S462" s="294">
        <f>T462/(R462/1)</f>
        <v>185.86781609195401</v>
      </c>
      <c r="T462" s="291">
        <f t="shared" si="346"/>
        <v>32341</v>
      </c>
      <c r="U462" s="297">
        <f>T462*C462</f>
        <v>32341</v>
      </c>
      <c r="V462" s="293">
        <v>30</v>
      </c>
      <c r="W462" s="298"/>
      <c r="X462" s="298">
        <f>U462*V462%</f>
        <v>9702.2999999999993</v>
      </c>
      <c r="Y462" s="293"/>
      <c r="Z462" s="293"/>
      <c r="AA462" s="293"/>
      <c r="AB462" s="293"/>
      <c r="AC462" s="293"/>
      <c r="AD462" s="293"/>
      <c r="AE462" s="293"/>
      <c r="AF462" s="293"/>
      <c r="AG462" s="293"/>
      <c r="AH462" s="293"/>
      <c r="AI462" s="293"/>
      <c r="AJ462" s="293"/>
      <c r="AK462" s="293">
        <v>7</v>
      </c>
      <c r="AL462" s="293"/>
      <c r="AM462" s="298">
        <f>T462*AK462%</f>
        <v>2263.8700000000003</v>
      </c>
      <c r="AN462" s="293"/>
      <c r="AO462" s="293"/>
      <c r="AP462" s="293"/>
      <c r="AQ462" s="297">
        <f>X462+AA462+AD462+AG462+AJ462+AM462+AP462</f>
        <v>11966.17</v>
      </c>
      <c r="AR462" s="293">
        <f t="shared" si="358"/>
        <v>20</v>
      </c>
      <c r="AS462" s="293">
        <f>AT462/C462</f>
        <v>6468.2000000000007</v>
      </c>
      <c r="AT462" s="294">
        <f>(U462)*AR462%</f>
        <v>6468.2000000000007</v>
      </c>
      <c r="AU462" s="293"/>
      <c r="AV462" s="293">
        <v>100</v>
      </c>
      <c r="AW462" s="293">
        <f>AU462*T462</f>
        <v>0</v>
      </c>
      <c r="AX462" s="293"/>
      <c r="AY462" s="293"/>
      <c r="AZ462" s="294"/>
      <c r="BA462" s="297">
        <f>AT462+AW462+AZ462</f>
        <v>6468.2000000000007</v>
      </c>
      <c r="BB462" s="297">
        <f>BC462/C462</f>
        <v>50775.37</v>
      </c>
      <c r="BC462" s="297">
        <f>BA462+AQ462+U462</f>
        <v>50775.37</v>
      </c>
      <c r="BD462" s="299">
        <f>BC462/C462</f>
        <v>50775.37</v>
      </c>
      <c r="BE462" s="299"/>
      <c r="BF462" s="300">
        <f>IF(D462=1,BC462,0)</f>
        <v>0</v>
      </c>
      <c r="BG462" s="300">
        <f>IF(E462=1,BC462,0)</f>
        <v>0</v>
      </c>
      <c r="BH462" s="300">
        <f>IF(F462=1,BC462,0)</f>
        <v>0</v>
      </c>
      <c r="BI462" s="300">
        <f>IF(G462=1,BC462,0)</f>
        <v>0</v>
      </c>
      <c r="BJ462" s="300">
        <f>IF(H462=1,BC462,0)</f>
        <v>0</v>
      </c>
      <c r="BK462" s="300">
        <f>IF(I462=1,BC462,0)</f>
        <v>0</v>
      </c>
      <c r="BL462" s="300">
        <f>IF(J462=1,BC462,0)</f>
        <v>50775.37</v>
      </c>
      <c r="BM462" s="300">
        <f>IF(K462=1,BC462,0)</f>
        <v>0</v>
      </c>
    </row>
    <row r="463" spans="1:65" s="287" customFormat="1" x14ac:dyDescent="0.25">
      <c r="A463" s="276"/>
      <c r="B463" s="288" t="s">
        <v>216</v>
      </c>
      <c r="C463" s="278">
        <v>1</v>
      </c>
      <c r="D463" s="279"/>
      <c r="E463" s="279"/>
      <c r="F463" s="279"/>
      <c r="G463" s="279"/>
      <c r="H463" s="279"/>
      <c r="I463" s="279"/>
      <c r="J463" s="279">
        <v>1</v>
      </c>
      <c r="K463" s="279"/>
      <c r="L463" s="277"/>
      <c r="M463" s="280">
        <f>M$467</f>
        <v>3028</v>
      </c>
      <c r="N463" s="281">
        <f t="shared" si="344"/>
        <v>2</v>
      </c>
      <c r="O463" s="282">
        <v>3.38</v>
      </c>
      <c r="P463" s="282">
        <f t="shared" si="345"/>
        <v>1.58</v>
      </c>
      <c r="Q463" s="282"/>
      <c r="R463" s="280">
        <f t="shared" si="355"/>
        <v>174</v>
      </c>
      <c r="S463" s="280">
        <f t="shared" si="356"/>
        <v>185.86781609195401</v>
      </c>
      <c r="T463" s="425">
        <f t="shared" si="346"/>
        <v>32341</v>
      </c>
      <c r="U463" s="284">
        <f t="shared" si="347"/>
        <v>32341</v>
      </c>
      <c r="V463" s="277">
        <v>30</v>
      </c>
      <c r="W463" s="285"/>
      <c r="X463" s="285">
        <f t="shared" ref="X463:X475" si="360">U463*V463%</f>
        <v>9702.2999999999993</v>
      </c>
      <c r="Y463" s="277"/>
      <c r="Z463" s="277"/>
      <c r="AA463" s="277"/>
      <c r="AB463" s="277"/>
      <c r="AC463" s="277"/>
      <c r="AD463" s="277"/>
      <c r="AE463" s="277"/>
      <c r="AF463" s="277"/>
      <c r="AG463" s="277"/>
      <c r="AH463" s="277"/>
      <c r="AI463" s="277"/>
      <c r="AJ463" s="277"/>
      <c r="AK463" s="277">
        <v>15</v>
      </c>
      <c r="AL463" s="277"/>
      <c r="AM463" s="285">
        <f t="shared" si="357"/>
        <v>4851.1499999999996</v>
      </c>
      <c r="AN463" s="277"/>
      <c r="AO463" s="277"/>
      <c r="AP463" s="277"/>
      <c r="AQ463" s="284">
        <f t="shared" si="348"/>
        <v>14553.449999999999</v>
      </c>
      <c r="AR463" s="277">
        <f t="shared" si="358"/>
        <v>20</v>
      </c>
      <c r="AS463" s="277">
        <f t="shared" si="349"/>
        <v>6468.2000000000007</v>
      </c>
      <c r="AT463" s="280">
        <f t="shared" si="359"/>
        <v>6468.2000000000007</v>
      </c>
      <c r="AU463" s="277"/>
      <c r="AV463" s="277">
        <v>100</v>
      </c>
      <c r="AW463" s="277">
        <f t="shared" si="350"/>
        <v>0</v>
      </c>
      <c r="AX463" s="277"/>
      <c r="AY463" s="277"/>
      <c r="AZ463" s="280"/>
      <c r="BA463" s="284">
        <f t="shared" si="351"/>
        <v>6468.2000000000007</v>
      </c>
      <c r="BB463" s="284">
        <f t="shared" si="352"/>
        <v>53362.65</v>
      </c>
      <c r="BC463" s="284">
        <f t="shared" si="353"/>
        <v>53362.65</v>
      </c>
      <c r="BD463" s="286">
        <f t="shared" si="354"/>
        <v>53362.65</v>
      </c>
      <c r="BE463" s="286"/>
      <c r="BF463" s="251">
        <f t="shared" ref="BF463:BF474" si="361">IF(D463=1,BC463,0)</f>
        <v>0</v>
      </c>
      <c r="BG463" s="251">
        <f t="shared" ref="BG463:BG474" si="362">IF(E463=1,BC463,0)</f>
        <v>0</v>
      </c>
      <c r="BH463" s="251">
        <f t="shared" ref="BH463:BH474" si="363">IF(F463=1,BC463,0)</f>
        <v>0</v>
      </c>
      <c r="BI463" s="251">
        <f t="shared" ref="BI463:BI474" si="364">IF(G463=1,BC463,0)</f>
        <v>0</v>
      </c>
      <c r="BJ463" s="251">
        <f t="shared" ref="BJ463:BJ474" si="365">IF(H463=1,BC463,0)</f>
        <v>0</v>
      </c>
      <c r="BK463" s="251">
        <f t="shared" ref="BK463:BK474" si="366">IF(I463=1,BC463,0)</f>
        <v>0</v>
      </c>
      <c r="BL463" s="251">
        <f t="shared" ref="BL463:BL474" si="367">IF(J463=1,BC463,0)</f>
        <v>53362.65</v>
      </c>
      <c r="BM463" s="251">
        <f t="shared" ref="BM463:BM474" si="368">IF(K463=1,BC463,0)</f>
        <v>0</v>
      </c>
    </row>
    <row r="464" spans="1:65" s="287" customFormat="1" x14ac:dyDescent="0.25">
      <c r="A464" s="276"/>
      <c r="B464" s="288" t="s">
        <v>217</v>
      </c>
      <c r="C464" s="278">
        <v>4</v>
      </c>
      <c r="D464" s="279"/>
      <c r="E464" s="279"/>
      <c r="F464" s="279"/>
      <c r="G464" s="279"/>
      <c r="H464" s="279"/>
      <c r="I464" s="279"/>
      <c r="J464" s="279">
        <v>1</v>
      </c>
      <c r="K464" s="279"/>
      <c r="L464" s="277"/>
      <c r="M464" s="280">
        <f>M$454</f>
        <v>3028</v>
      </c>
      <c r="N464" s="281">
        <f t="shared" si="344"/>
        <v>2</v>
      </c>
      <c r="O464" s="282">
        <v>2</v>
      </c>
      <c r="P464" s="282">
        <f t="shared" si="345"/>
        <v>1.58</v>
      </c>
      <c r="Q464" s="282"/>
      <c r="R464" s="280">
        <f t="shared" si="355"/>
        <v>174</v>
      </c>
      <c r="S464" s="280">
        <f>T464/(R464/1)</f>
        <v>109.98275862068965</v>
      </c>
      <c r="T464" s="425">
        <f t="shared" si="346"/>
        <v>19137</v>
      </c>
      <c r="U464" s="284">
        <f>T464*C464</f>
        <v>76548</v>
      </c>
      <c r="V464" s="277">
        <v>20</v>
      </c>
      <c r="W464" s="285"/>
      <c r="X464" s="285">
        <f>U464*V464%</f>
        <v>15309.6</v>
      </c>
      <c r="Y464" s="277"/>
      <c r="Z464" s="277"/>
      <c r="AA464" s="277"/>
      <c r="AB464" s="277"/>
      <c r="AC464" s="277"/>
      <c r="AD464" s="277"/>
      <c r="AE464" s="277"/>
      <c r="AF464" s="277"/>
      <c r="AG464" s="277"/>
      <c r="AH464" s="277"/>
      <c r="AI464" s="277"/>
      <c r="AJ464" s="277"/>
      <c r="AK464" s="277">
        <f>(7)/1</f>
        <v>7</v>
      </c>
      <c r="AL464" s="277"/>
      <c r="AM464" s="342">
        <f>1*T464*AK464%</f>
        <v>1339.5900000000001</v>
      </c>
      <c r="AN464" s="277"/>
      <c r="AO464" s="277"/>
      <c r="AP464" s="277"/>
      <c r="AQ464" s="284">
        <f>X464+AA464+AD464+AG464+AJ464+AM464+AP464</f>
        <v>16649.190000000002</v>
      </c>
      <c r="AR464" s="277">
        <f t="shared" si="358"/>
        <v>20</v>
      </c>
      <c r="AS464" s="277">
        <f>AT464/C464</f>
        <v>3827.4</v>
      </c>
      <c r="AT464" s="280">
        <f>(U464)*AR464%</f>
        <v>15309.6</v>
      </c>
      <c r="AU464" s="277"/>
      <c r="AV464" s="277">
        <v>100</v>
      </c>
      <c r="AW464" s="277">
        <f>AU464*T464</f>
        <v>0</v>
      </c>
      <c r="AX464" s="277"/>
      <c r="AY464" s="277"/>
      <c r="AZ464" s="280"/>
      <c r="BA464" s="284">
        <f>AT464+AW464+AZ464</f>
        <v>15309.6</v>
      </c>
      <c r="BB464" s="284">
        <f>BC464/C464</f>
        <v>27126.697500000002</v>
      </c>
      <c r="BC464" s="284">
        <f>BA464+AQ464+U464</f>
        <v>108506.79000000001</v>
      </c>
      <c r="BD464" s="286">
        <f>BC464/C464</f>
        <v>27126.697500000002</v>
      </c>
      <c r="BE464" s="286"/>
      <c r="BF464" s="251">
        <f>IF(D464=1,BC464,0)</f>
        <v>0</v>
      </c>
      <c r="BG464" s="251">
        <f>IF(E464=1,BC464,0)</f>
        <v>0</v>
      </c>
      <c r="BH464" s="251">
        <f>IF(F464=1,BC464,0)</f>
        <v>0</v>
      </c>
      <c r="BI464" s="251">
        <f>IF(G464=1,BC464,0)</f>
        <v>0</v>
      </c>
      <c r="BJ464" s="251">
        <f>IF(H464=1,BC464,0)</f>
        <v>0</v>
      </c>
      <c r="BK464" s="251">
        <f>IF(I464=1,BC464,0)</f>
        <v>0</v>
      </c>
      <c r="BL464" s="251">
        <f>IF(J464=1,BC464,0)</f>
        <v>108506.79000000001</v>
      </c>
      <c r="BM464" s="251">
        <f>IF(K464=1,BC464,0)</f>
        <v>0</v>
      </c>
    </row>
    <row r="465" spans="1:65" s="287" customFormat="1" x14ac:dyDescent="0.25">
      <c r="A465" s="276"/>
      <c r="B465" s="288" t="s">
        <v>218</v>
      </c>
      <c r="C465" s="278">
        <v>1</v>
      </c>
      <c r="D465" s="279"/>
      <c r="E465" s="279"/>
      <c r="F465" s="279"/>
      <c r="G465" s="279"/>
      <c r="H465" s="279"/>
      <c r="I465" s="279"/>
      <c r="J465" s="279">
        <v>1</v>
      </c>
      <c r="K465" s="279"/>
      <c r="L465" s="277"/>
      <c r="M465" s="280">
        <f>M$467</f>
        <v>3028</v>
      </c>
      <c r="N465" s="281">
        <f t="shared" si="344"/>
        <v>2</v>
      </c>
      <c r="O465" s="282">
        <v>3.15</v>
      </c>
      <c r="P465" s="282">
        <f t="shared" si="345"/>
        <v>1.58</v>
      </c>
      <c r="Q465" s="282"/>
      <c r="R465" s="280">
        <f t="shared" si="355"/>
        <v>174</v>
      </c>
      <c r="S465" s="280">
        <f t="shared" si="356"/>
        <v>173.22413793103448</v>
      </c>
      <c r="T465" s="425">
        <f t="shared" si="346"/>
        <v>30141</v>
      </c>
      <c r="U465" s="284">
        <f t="shared" si="347"/>
        <v>30141</v>
      </c>
      <c r="V465" s="277">
        <v>30</v>
      </c>
      <c r="W465" s="285"/>
      <c r="X465" s="285">
        <f t="shared" si="360"/>
        <v>9042.2999999999993</v>
      </c>
      <c r="Y465" s="277"/>
      <c r="Z465" s="277"/>
      <c r="AA465" s="277"/>
      <c r="AB465" s="277"/>
      <c r="AC465" s="277"/>
      <c r="AD465" s="277"/>
      <c r="AE465" s="277"/>
      <c r="AF465" s="277"/>
      <c r="AG465" s="277"/>
      <c r="AH465" s="277"/>
      <c r="AI465" s="277"/>
      <c r="AJ465" s="277"/>
      <c r="AK465" s="277">
        <v>20</v>
      </c>
      <c r="AL465" s="277"/>
      <c r="AM465" s="285">
        <f t="shared" si="357"/>
        <v>6028.2000000000007</v>
      </c>
      <c r="AN465" s="277"/>
      <c r="AO465" s="277"/>
      <c r="AP465" s="277"/>
      <c r="AQ465" s="284">
        <f t="shared" si="348"/>
        <v>15070.5</v>
      </c>
      <c r="AR465" s="277">
        <f t="shared" si="358"/>
        <v>20</v>
      </c>
      <c r="AS465" s="277">
        <f t="shared" si="349"/>
        <v>6028.2000000000007</v>
      </c>
      <c r="AT465" s="280">
        <f t="shared" si="359"/>
        <v>6028.2000000000007</v>
      </c>
      <c r="AU465" s="277"/>
      <c r="AV465" s="277">
        <v>100</v>
      </c>
      <c r="AW465" s="277">
        <f t="shared" si="350"/>
        <v>0</v>
      </c>
      <c r="AX465" s="277"/>
      <c r="AY465" s="277"/>
      <c r="AZ465" s="280"/>
      <c r="BA465" s="284">
        <f t="shared" si="351"/>
        <v>6028.2000000000007</v>
      </c>
      <c r="BB465" s="284">
        <f t="shared" si="352"/>
        <v>51239.7</v>
      </c>
      <c r="BC465" s="284">
        <f t="shared" si="353"/>
        <v>51239.7</v>
      </c>
      <c r="BD465" s="286">
        <f t="shared" si="354"/>
        <v>51239.7</v>
      </c>
      <c r="BE465" s="286"/>
      <c r="BF465" s="251">
        <f t="shared" si="361"/>
        <v>0</v>
      </c>
      <c r="BG465" s="251">
        <f t="shared" si="362"/>
        <v>0</v>
      </c>
      <c r="BH465" s="251">
        <f t="shared" si="363"/>
        <v>0</v>
      </c>
      <c r="BI465" s="251">
        <f t="shared" si="364"/>
        <v>0</v>
      </c>
      <c r="BJ465" s="251">
        <f t="shared" si="365"/>
        <v>0</v>
      </c>
      <c r="BK465" s="251">
        <f t="shared" si="366"/>
        <v>0</v>
      </c>
      <c r="BL465" s="251">
        <f t="shared" si="367"/>
        <v>51239.7</v>
      </c>
      <c r="BM465" s="251">
        <f t="shared" si="368"/>
        <v>0</v>
      </c>
    </row>
    <row r="466" spans="1:65" s="301" customFormat="1" x14ac:dyDescent="0.25">
      <c r="A466" s="289"/>
      <c r="B466" s="290" t="s">
        <v>219</v>
      </c>
      <c r="C466" s="291">
        <v>1</v>
      </c>
      <c r="D466" s="292"/>
      <c r="E466" s="292"/>
      <c r="F466" s="292"/>
      <c r="G466" s="292"/>
      <c r="H466" s="292"/>
      <c r="I466" s="292"/>
      <c r="J466" s="292">
        <v>1</v>
      </c>
      <c r="K466" s="292"/>
      <c r="L466" s="293"/>
      <c r="M466" s="294">
        <f>M$454</f>
        <v>3028</v>
      </c>
      <c r="N466" s="429">
        <f t="shared" si="344"/>
        <v>2</v>
      </c>
      <c r="O466" s="295">
        <v>2.2000000000000002</v>
      </c>
      <c r="P466" s="295">
        <f t="shared" si="345"/>
        <v>1.58</v>
      </c>
      <c r="Q466" s="295"/>
      <c r="R466" s="294">
        <f t="shared" si="355"/>
        <v>174</v>
      </c>
      <c r="S466" s="294">
        <f t="shared" si="356"/>
        <v>120.98275862068965</v>
      </c>
      <c r="T466" s="291">
        <f t="shared" si="346"/>
        <v>21051</v>
      </c>
      <c r="U466" s="297">
        <f t="shared" si="347"/>
        <v>21051</v>
      </c>
      <c r="V466" s="293">
        <v>20</v>
      </c>
      <c r="W466" s="298"/>
      <c r="X466" s="298">
        <f t="shared" si="360"/>
        <v>4210.2</v>
      </c>
      <c r="Y466" s="293"/>
      <c r="Z466" s="293"/>
      <c r="AA466" s="293"/>
      <c r="AB466" s="293"/>
      <c r="AC466" s="293"/>
      <c r="AD466" s="293"/>
      <c r="AE466" s="293"/>
      <c r="AF466" s="293"/>
      <c r="AG466" s="293"/>
      <c r="AH466" s="293"/>
      <c r="AI466" s="293"/>
      <c r="AJ466" s="293"/>
      <c r="AK466" s="277">
        <v>7</v>
      </c>
      <c r="AL466" s="293"/>
      <c r="AM466" s="298">
        <f>T466*AK466%*1</f>
        <v>1473.5700000000002</v>
      </c>
      <c r="AN466" s="293"/>
      <c r="AO466" s="293"/>
      <c r="AP466" s="293"/>
      <c r="AQ466" s="297">
        <f t="shared" si="348"/>
        <v>5683.77</v>
      </c>
      <c r="AR466" s="293">
        <f t="shared" si="358"/>
        <v>20</v>
      </c>
      <c r="AS466" s="298">
        <f t="shared" si="349"/>
        <v>4210.2</v>
      </c>
      <c r="AT466" s="294">
        <f t="shared" si="359"/>
        <v>4210.2</v>
      </c>
      <c r="AU466" s="293"/>
      <c r="AV466" s="293">
        <v>100</v>
      </c>
      <c r="AW466" s="293">
        <f t="shared" si="350"/>
        <v>0</v>
      </c>
      <c r="AX466" s="293"/>
      <c r="AY466" s="298"/>
      <c r="AZ466" s="294"/>
      <c r="BA466" s="297">
        <f t="shared" si="351"/>
        <v>4210.2</v>
      </c>
      <c r="BB466" s="297">
        <f t="shared" si="352"/>
        <v>30944.97</v>
      </c>
      <c r="BC466" s="297">
        <f t="shared" si="353"/>
        <v>30944.97</v>
      </c>
      <c r="BD466" s="299">
        <f t="shared" si="354"/>
        <v>30944.97</v>
      </c>
      <c r="BE466" s="299"/>
      <c r="BF466" s="300">
        <f t="shared" si="361"/>
        <v>0</v>
      </c>
      <c r="BG466" s="300">
        <f t="shared" si="362"/>
        <v>0</v>
      </c>
      <c r="BH466" s="300">
        <f t="shared" si="363"/>
        <v>0</v>
      </c>
      <c r="BI466" s="300">
        <f t="shared" si="364"/>
        <v>0</v>
      </c>
      <c r="BJ466" s="300">
        <f t="shared" si="365"/>
        <v>0</v>
      </c>
      <c r="BK466" s="300">
        <f t="shared" si="366"/>
        <v>0</v>
      </c>
      <c r="BL466" s="300">
        <f t="shared" si="367"/>
        <v>30944.97</v>
      </c>
      <c r="BM466" s="300">
        <f t="shared" si="368"/>
        <v>0</v>
      </c>
    </row>
    <row r="467" spans="1:65" s="287" customFormat="1" x14ac:dyDescent="0.25">
      <c r="A467" s="276"/>
      <c r="B467" s="288" t="s">
        <v>220</v>
      </c>
      <c r="C467" s="278">
        <v>1</v>
      </c>
      <c r="D467" s="279"/>
      <c r="E467" s="279"/>
      <c r="F467" s="279"/>
      <c r="G467" s="279"/>
      <c r="H467" s="279"/>
      <c r="I467" s="279"/>
      <c r="J467" s="279">
        <v>1</v>
      </c>
      <c r="K467" s="279"/>
      <c r="L467" s="277"/>
      <c r="M467" s="304">
        <f>M$454</f>
        <v>3028</v>
      </c>
      <c r="N467" s="281">
        <f t="shared" si="344"/>
        <v>2</v>
      </c>
      <c r="O467" s="282">
        <v>2.8</v>
      </c>
      <c r="P467" s="282">
        <f t="shared" si="345"/>
        <v>1.58</v>
      </c>
      <c r="Q467" s="282"/>
      <c r="R467" s="280">
        <f t="shared" si="355"/>
        <v>174</v>
      </c>
      <c r="S467" s="280">
        <f t="shared" si="356"/>
        <v>153.97701149425288</v>
      </c>
      <c r="T467" s="425">
        <f t="shared" si="346"/>
        <v>26792</v>
      </c>
      <c r="U467" s="284">
        <f t="shared" si="347"/>
        <v>26792</v>
      </c>
      <c r="V467" s="277">
        <v>20</v>
      </c>
      <c r="W467" s="285"/>
      <c r="X467" s="285">
        <f t="shared" si="360"/>
        <v>5358.4000000000005</v>
      </c>
      <c r="Y467" s="277"/>
      <c r="Z467" s="277"/>
      <c r="AA467" s="277"/>
      <c r="AB467" s="277"/>
      <c r="AC467" s="277"/>
      <c r="AD467" s="277"/>
      <c r="AE467" s="277"/>
      <c r="AF467" s="277"/>
      <c r="AG467" s="277"/>
      <c r="AH467" s="277"/>
      <c r="AI467" s="277"/>
      <c r="AJ467" s="277"/>
      <c r="AK467" s="277"/>
      <c r="AL467" s="277"/>
      <c r="AM467" s="285">
        <f t="shared" si="357"/>
        <v>0</v>
      </c>
      <c r="AN467" s="277"/>
      <c r="AO467" s="277"/>
      <c r="AP467" s="277"/>
      <c r="AQ467" s="284">
        <f t="shared" si="348"/>
        <v>5358.4000000000005</v>
      </c>
      <c r="AR467" s="277">
        <f t="shared" si="358"/>
        <v>20</v>
      </c>
      <c r="AS467" s="277">
        <f t="shared" si="349"/>
        <v>5358.4000000000005</v>
      </c>
      <c r="AT467" s="280">
        <f t="shared" si="359"/>
        <v>5358.4000000000005</v>
      </c>
      <c r="AU467" s="277"/>
      <c r="AV467" s="277">
        <v>100</v>
      </c>
      <c r="AW467" s="277"/>
      <c r="AX467" s="277"/>
      <c r="AY467" s="277"/>
      <c r="AZ467" s="280"/>
      <c r="BA467" s="284">
        <f t="shared" si="351"/>
        <v>5358.4000000000005</v>
      </c>
      <c r="BB467" s="284">
        <f t="shared" si="352"/>
        <v>37508.800000000003</v>
      </c>
      <c r="BC467" s="284">
        <f t="shared" si="353"/>
        <v>37508.800000000003</v>
      </c>
      <c r="BD467" s="286">
        <f t="shared" si="354"/>
        <v>37508.800000000003</v>
      </c>
      <c r="BE467" s="286"/>
      <c r="BF467" s="251">
        <f t="shared" si="361"/>
        <v>0</v>
      </c>
      <c r="BG467" s="251">
        <f t="shared" si="362"/>
        <v>0</v>
      </c>
      <c r="BH467" s="251">
        <f t="shared" si="363"/>
        <v>0</v>
      </c>
      <c r="BI467" s="251">
        <f t="shared" si="364"/>
        <v>0</v>
      </c>
      <c r="BJ467" s="251">
        <f t="shared" si="365"/>
        <v>0</v>
      </c>
      <c r="BK467" s="251">
        <f t="shared" si="366"/>
        <v>0</v>
      </c>
      <c r="BL467" s="251">
        <f t="shared" si="367"/>
        <v>37508.800000000003</v>
      </c>
      <c r="BM467" s="251">
        <f t="shared" si="368"/>
        <v>0</v>
      </c>
    </row>
    <row r="468" spans="1:65" s="287" customFormat="1" x14ac:dyDescent="0.25">
      <c r="A468" s="276"/>
      <c r="B468" s="288" t="s">
        <v>221</v>
      </c>
      <c r="C468" s="425">
        <f>1</f>
        <v>1</v>
      </c>
      <c r="D468" s="279"/>
      <c r="E468" s="279"/>
      <c r="F468" s="279"/>
      <c r="G468" s="279"/>
      <c r="H468" s="279"/>
      <c r="I468" s="279"/>
      <c r="J468" s="279">
        <v>1</v>
      </c>
      <c r="K468" s="279"/>
      <c r="L468" s="277"/>
      <c r="M468" s="280">
        <f t="shared" ref="M468:M475" si="369">M$454</f>
        <v>3028</v>
      </c>
      <c r="N468" s="281">
        <f t="shared" si="344"/>
        <v>2</v>
      </c>
      <c r="O468" s="282">
        <v>2.2000000000000002</v>
      </c>
      <c r="P468" s="282">
        <f t="shared" si="345"/>
        <v>1.58</v>
      </c>
      <c r="Q468" s="282"/>
      <c r="R468" s="280">
        <f t="shared" si="355"/>
        <v>174</v>
      </c>
      <c r="S468" s="280">
        <f t="shared" si="356"/>
        <v>120.98275862068965</v>
      </c>
      <c r="T468" s="425">
        <f>ROUND(M468*N468*O468*P468,0)</f>
        <v>21051</v>
      </c>
      <c r="U468" s="284">
        <f t="shared" si="347"/>
        <v>21051</v>
      </c>
      <c r="V468" s="277">
        <v>20</v>
      </c>
      <c r="W468" s="285"/>
      <c r="X468" s="285">
        <f t="shared" si="360"/>
        <v>4210.2</v>
      </c>
      <c r="Y468" s="277"/>
      <c r="Z468" s="277"/>
      <c r="AA468" s="277"/>
      <c r="AB468" s="277"/>
      <c r="AC468" s="277"/>
      <c r="AD468" s="277"/>
      <c r="AE468" s="277"/>
      <c r="AF468" s="277"/>
      <c r="AG468" s="277"/>
      <c r="AH468" s="277"/>
      <c r="AI468" s="277"/>
      <c r="AJ468" s="277"/>
      <c r="AK468" s="277"/>
      <c r="AL468" s="277"/>
      <c r="AM468" s="285">
        <f t="shared" si="357"/>
        <v>0</v>
      </c>
      <c r="AN468" s="277"/>
      <c r="AO468" s="277"/>
      <c r="AP468" s="277"/>
      <c r="AQ468" s="284">
        <f t="shared" si="348"/>
        <v>4210.2</v>
      </c>
      <c r="AR468" s="277">
        <f t="shared" si="358"/>
        <v>20</v>
      </c>
      <c r="AS468" s="285">
        <f t="shared" si="349"/>
        <v>4210.2</v>
      </c>
      <c r="AT468" s="280">
        <f t="shared" si="359"/>
        <v>4210.2</v>
      </c>
      <c r="AU468" s="277"/>
      <c r="AV468" s="277">
        <v>100</v>
      </c>
      <c r="AW468" s="277">
        <f t="shared" si="350"/>
        <v>0</v>
      </c>
      <c r="AX468" s="277"/>
      <c r="AY468" s="285"/>
      <c r="AZ468" s="280"/>
      <c r="BA468" s="284">
        <f t="shared" si="351"/>
        <v>4210.2</v>
      </c>
      <c r="BB468" s="284">
        <f t="shared" si="352"/>
        <v>29471.4</v>
      </c>
      <c r="BC468" s="284">
        <f t="shared" si="353"/>
        <v>29471.4</v>
      </c>
      <c r="BD468" s="286">
        <f t="shared" si="354"/>
        <v>29471.4</v>
      </c>
      <c r="BE468" s="286"/>
      <c r="BF468" s="251">
        <f t="shared" si="361"/>
        <v>0</v>
      </c>
      <c r="BG468" s="251">
        <f t="shared" si="362"/>
        <v>0</v>
      </c>
      <c r="BH468" s="251">
        <f t="shared" si="363"/>
        <v>0</v>
      </c>
      <c r="BI468" s="251">
        <f t="shared" si="364"/>
        <v>0</v>
      </c>
      <c r="BJ468" s="251">
        <f t="shared" si="365"/>
        <v>0</v>
      </c>
      <c r="BK468" s="251">
        <f t="shared" si="366"/>
        <v>0</v>
      </c>
      <c r="BL468" s="251">
        <f t="shared" si="367"/>
        <v>29471.4</v>
      </c>
      <c r="BM468" s="251">
        <f t="shared" si="368"/>
        <v>0</v>
      </c>
    </row>
    <row r="469" spans="1:65" s="287" customFormat="1" x14ac:dyDescent="0.25">
      <c r="A469" s="276"/>
      <c r="B469" s="288" t="s">
        <v>222</v>
      </c>
      <c r="C469" s="425">
        <f>1</f>
        <v>1</v>
      </c>
      <c r="D469" s="279"/>
      <c r="E469" s="279"/>
      <c r="F469" s="279"/>
      <c r="G469" s="279"/>
      <c r="H469" s="279"/>
      <c r="I469" s="279"/>
      <c r="J469" s="279">
        <v>1</v>
      </c>
      <c r="K469" s="279"/>
      <c r="L469" s="277"/>
      <c r="M469" s="280">
        <f t="shared" si="369"/>
        <v>3028</v>
      </c>
      <c r="N469" s="281">
        <f t="shared" si="344"/>
        <v>2</v>
      </c>
      <c r="O469" s="282">
        <v>2.2000000000000002</v>
      </c>
      <c r="P469" s="282">
        <f t="shared" si="345"/>
        <v>1.58</v>
      </c>
      <c r="Q469" s="282"/>
      <c r="R469" s="280">
        <f t="shared" si="355"/>
        <v>174</v>
      </c>
      <c r="S469" s="280">
        <f t="shared" si="356"/>
        <v>120.98275862068965</v>
      </c>
      <c r="T469" s="425">
        <f t="shared" si="346"/>
        <v>21051</v>
      </c>
      <c r="U469" s="284">
        <f t="shared" si="347"/>
        <v>21051</v>
      </c>
      <c r="V469" s="277">
        <v>20</v>
      </c>
      <c r="W469" s="285"/>
      <c r="X469" s="285">
        <f t="shared" si="360"/>
        <v>4210.2</v>
      </c>
      <c r="Y469" s="277"/>
      <c r="Z469" s="277"/>
      <c r="AA469" s="277"/>
      <c r="AB469" s="277"/>
      <c r="AC469" s="277"/>
      <c r="AD469" s="277"/>
      <c r="AE469" s="277"/>
      <c r="AF469" s="277"/>
      <c r="AG469" s="277"/>
      <c r="AH469" s="277"/>
      <c r="AI469" s="277"/>
      <c r="AJ469" s="277"/>
      <c r="AK469" s="277">
        <v>10</v>
      </c>
      <c r="AL469" s="277"/>
      <c r="AM469" s="285">
        <f t="shared" si="357"/>
        <v>2105.1</v>
      </c>
      <c r="AN469" s="277"/>
      <c r="AO469" s="277"/>
      <c r="AP469" s="277"/>
      <c r="AQ469" s="284">
        <f t="shared" si="348"/>
        <v>6315.2999999999993</v>
      </c>
      <c r="AR469" s="277">
        <f t="shared" si="358"/>
        <v>20</v>
      </c>
      <c r="AS469" s="285">
        <f t="shared" si="349"/>
        <v>4210.2</v>
      </c>
      <c r="AT469" s="280">
        <f t="shared" si="359"/>
        <v>4210.2</v>
      </c>
      <c r="AU469" s="277"/>
      <c r="AV469" s="277">
        <v>100</v>
      </c>
      <c r="AW469" s="277">
        <f>AU469*T469</f>
        <v>0</v>
      </c>
      <c r="AX469" s="277"/>
      <c r="AY469" s="285"/>
      <c r="AZ469" s="280"/>
      <c r="BA469" s="284">
        <f t="shared" si="351"/>
        <v>4210.2</v>
      </c>
      <c r="BB469" s="284">
        <f t="shared" si="352"/>
        <v>31576.5</v>
      </c>
      <c r="BC469" s="284">
        <f t="shared" si="353"/>
        <v>31576.5</v>
      </c>
      <c r="BD469" s="286">
        <f t="shared" si="354"/>
        <v>31576.5</v>
      </c>
      <c r="BE469" s="286"/>
      <c r="BF469" s="251">
        <f t="shared" si="361"/>
        <v>0</v>
      </c>
      <c r="BG469" s="251">
        <f t="shared" si="362"/>
        <v>0</v>
      </c>
      <c r="BH469" s="251">
        <f t="shared" si="363"/>
        <v>0</v>
      </c>
      <c r="BI469" s="251">
        <f t="shared" si="364"/>
        <v>0</v>
      </c>
      <c r="BJ469" s="251">
        <f t="shared" si="365"/>
        <v>0</v>
      </c>
      <c r="BK469" s="251">
        <f t="shared" si="366"/>
        <v>0</v>
      </c>
      <c r="BL469" s="251">
        <f t="shared" si="367"/>
        <v>31576.5</v>
      </c>
      <c r="BM469" s="251">
        <f t="shared" si="368"/>
        <v>0</v>
      </c>
    </row>
    <row r="470" spans="1:65" s="287" customFormat="1" x14ac:dyDescent="0.25">
      <c r="A470" s="276"/>
      <c r="B470" s="288" t="s">
        <v>223</v>
      </c>
      <c r="C470" s="278">
        <v>1</v>
      </c>
      <c r="D470" s="279"/>
      <c r="E470" s="279"/>
      <c r="F470" s="279"/>
      <c r="G470" s="279"/>
      <c r="H470" s="279"/>
      <c r="I470" s="279"/>
      <c r="J470" s="279">
        <v>1</v>
      </c>
      <c r="K470" s="279"/>
      <c r="L470" s="277"/>
      <c r="M470" s="280">
        <f t="shared" si="369"/>
        <v>3028</v>
      </c>
      <c r="N470" s="281">
        <f t="shared" si="344"/>
        <v>2</v>
      </c>
      <c r="O470" s="282">
        <v>2.2000000000000002</v>
      </c>
      <c r="P470" s="282">
        <f t="shared" si="345"/>
        <v>1.58</v>
      </c>
      <c r="Q470" s="282"/>
      <c r="R470" s="280">
        <f t="shared" si="355"/>
        <v>174</v>
      </c>
      <c r="S470" s="280">
        <f t="shared" si="356"/>
        <v>120.98275862068965</v>
      </c>
      <c r="T470" s="425">
        <f t="shared" si="346"/>
        <v>21051</v>
      </c>
      <c r="U470" s="284">
        <f t="shared" si="347"/>
        <v>21051</v>
      </c>
      <c r="V470" s="277">
        <v>20</v>
      </c>
      <c r="W470" s="285"/>
      <c r="X470" s="285">
        <f t="shared" si="360"/>
        <v>4210.2</v>
      </c>
      <c r="Y470" s="277"/>
      <c r="Z470" s="277"/>
      <c r="AA470" s="277"/>
      <c r="AB470" s="277"/>
      <c r="AC470" s="277"/>
      <c r="AD470" s="277"/>
      <c r="AE470" s="277"/>
      <c r="AF470" s="277"/>
      <c r="AG470" s="277"/>
      <c r="AH470" s="277"/>
      <c r="AI470" s="277"/>
      <c r="AJ470" s="277"/>
      <c r="AK470" s="277">
        <v>7</v>
      </c>
      <c r="AL470" s="277"/>
      <c r="AM470" s="285">
        <f t="shared" si="357"/>
        <v>1473.5700000000002</v>
      </c>
      <c r="AN470" s="277"/>
      <c r="AO470" s="277"/>
      <c r="AP470" s="277"/>
      <c r="AQ470" s="284">
        <f t="shared" si="348"/>
        <v>5683.77</v>
      </c>
      <c r="AR470" s="277">
        <f t="shared" si="358"/>
        <v>20</v>
      </c>
      <c r="AS470" s="277">
        <f t="shared" si="349"/>
        <v>4210.2</v>
      </c>
      <c r="AT470" s="280">
        <f t="shared" si="359"/>
        <v>4210.2</v>
      </c>
      <c r="AU470" s="277"/>
      <c r="AV470" s="277">
        <v>100</v>
      </c>
      <c r="AW470" s="277">
        <f t="shared" si="350"/>
        <v>0</v>
      </c>
      <c r="AX470" s="277"/>
      <c r="AY470" s="277"/>
      <c r="AZ470" s="280"/>
      <c r="BA470" s="284">
        <f t="shared" si="351"/>
        <v>4210.2</v>
      </c>
      <c r="BB470" s="284">
        <f t="shared" si="352"/>
        <v>30944.97</v>
      </c>
      <c r="BC470" s="284">
        <f t="shared" si="353"/>
        <v>30944.97</v>
      </c>
      <c r="BD470" s="286">
        <f t="shared" si="354"/>
        <v>30944.97</v>
      </c>
      <c r="BE470" s="286"/>
      <c r="BF470" s="251">
        <f t="shared" si="361"/>
        <v>0</v>
      </c>
      <c r="BG470" s="251">
        <f t="shared" si="362"/>
        <v>0</v>
      </c>
      <c r="BH470" s="251">
        <f t="shared" si="363"/>
        <v>0</v>
      </c>
      <c r="BI470" s="251">
        <f t="shared" si="364"/>
        <v>0</v>
      </c>
      <c r="BJ470" s="251">
        <f t="shared" si="365"/>
        <v>0</v>
      </c>
      <c r="BK470" s="251">
        <f t="shared" si="366"/>
        <v>0</v>
      </c>
      <c r="BL470" s="251">
        <f t="shared" si="367"/>
        <v>30944.97</v>
      </c>
      <c r="BM470" s="251">
        <f t="shared" si="368"/>
        <v>0</v>
      </c>
    </row>
    <row r="471" spans="1:65" s="287" customFormat="1" x14ac:dyDescent="0.25">
      <c r="A471" s="276"/>
      <c r="B471" s="288" t="s">
        <v>224</v>
      </c>
      <c r="C471" s="278">
        <v>1</v>
      </c>
      <c r="D471" s="279"/>
      <c r="E471" s="279"/>
      <c r="F471" s="279"/>
      <c r="G471" s="279"/>
      <c r="H471" s="279"/>
      <c r="I471" s="279"/>
      <c r="J471" s="279">
        <v>1</v>
      </c>
      <c r="K471" s="279"/>
      <c r="L471" s="277"/>
      <c r="M471" s="280">
        <f t="shared" si="369"/>
        <v>3028</v>
      </c>
      <c r="N471" s="281">
        <f t="shared" si="344"/>
        <v>2</v>
      </c>
      <c r="O471" s="282">
        <v>2</v>
      </c>
      <c r="P471" s="282">
        <f t="shared" si="345"/>
        <v>1.58</v>
      </c>
      <c r="Q471" s="282"/>
      <c r="R471" s="280">
        <f t="shared" si="355"/>
        <v>174</v>
      </c>
      <c r="S471" s="280">
        <f t="shared" si="356"/>
        <v>109.98275862068965</v>
      </c>
      <c r="T471" s="425">
        <f t="shared" si="346"/>
        <v>19137</v>
      </c>
      <c r="U471" s="284">
        <f t="shared" si="347"/>
        <v>19137</v>
      </c>
      <c r="V471" s="277">
        <v>20</v>
      </c>
      <c r="W471" s="285"/>
      <c r="X471" s="285">
        <f t="shared" si="360"/>
        <v>3827.4</v>
      </c>
      <c r="Y471" s="277"/>
      <c r="Z471" s="277"/>
      <c r="AA471" s="277"/>
      <c r="AB471" s="277"/>
      <c r="AC471" s="277"/>
      <c r="AD471" s="277"/>
      <c r="AE471" s="277"/>
      <c r="AF471" s="277"/>
      <c r="AG471" s="277"/>
      <c r="AH471" s="277"/>
      <c r="AI471" s="277"/>
      <c r="AJ471" s="277"/>
      <c r="AK471" s="277">
        <v>15</v>
      </c>
      <c r="AL471" s="277"/>
      <c r="AM471" s="285">
        <f t="shared" si="357"/>
        <v>2870.5499999999997</v>
      </c>
      <c r="AN471" s="277"/>
      <c r="AO471" s="277"/>
      <c r="AP471" s="277"/>
      <c r="AQ471" s="284">
        <f t="shared" si="348"/>
        <v>6697.95</v>
      </c>
      <c r="AR471" s="277">
        <f t="shared" si="358"/>
        <v>20</v>
      </c>
      <c r="AS471" s="277">
        <f t="shared" si="349"/>
        <v>3827.4</v>
      </c>
      <c r="AT471" s="280">
        <f t="shared" si="359"/>
        <v>3827.4</v>
      </c>
      <c r="AU471" s="277"/>
      <c r="AV471" s="277">
        <v>100</v>
      </c>
      <c r="AW471" s="277">
        <f t="shared" si="350"/>
        <v>0</v>
      </c>
      <c r="AX471" s="277"/>
      <c r="AY471" s="277"/>
      <c r="AZ471" s="280"/>
      <c r="BA471" s="284">
        <f t="shared" si="351"/>
        <v>3827.4</v>
      </c>
      <c r="BB471" s="284">
        <f t="shared" si="352"/>
        <v>29662.35</v>
      </c>
      <c r="BC471" s="284">
        <f t="shared" si="353"/>
        <v>29662.35</v>
      </c>
      <c r="BD471" s="286">
        <f t="shared" si="354"/>
        <v>29662.35</v>
      </c>
      <c r="BE471" s="286"/>
      <c r="BF471" s="251">
        <f t="shared" si="361"/>
        <v>0</v>
      </c>
      <c r="BG471" s="251">
        <f t="shared" si="362"/>
        <v>0</v>
      </c>
      <c r="BH471" s="251">
        <f t="shared" si="363"/>
        <v>0</v>
      </c>
      <c r="BI471" s="251">
        <f t="shared" si="364"/>
        <v>0</v>
      </c>
      <c r="BJ471" s="251">
        <f t="shared" si="365"/>
        <v>0</v>
      </c>
      <c r="BK471" s="251">
        <f t="shared" si="366"/>
        <v>0</v>
      </c>
      <c r="BL471" s="251">
        <f t="shared" si="367"/>
        <v>29662.35</v>
      </c>
      <c r="BM471" s="251">
        <f t="shared" si="368"/>
        <v>0</v>
      </c>
    </row>
    <row r="472" spans="1:65" s="287" customFormat="1" x14ac:dyDescent="0.25">
      <c r="A472" s="276"/>
      <c r="B472" s="288" t="s">
        <v>225</v>
      </c>
      <c r="C472" s="278">
        <v>1</v>
      </c>
      <c r="D472" s="279"/>
      <c r="E472" s="279"/>
      <c r="F472" s="279"/>
      <c r="G472" s="279"/>
      <c r="H472" s="279"/>
      <c r="I472" s="279"/>
      <c r="J472" s="279">
        <v>1</v>
      </c>
      <c r="K472" s="279"/>
      <c r="L472" s="277"/>
      <c r="M472" s="280">
        <f t="shared" si="369"/>
        <v>3028</v>
      </c>
      <c r="N472" s="281">
        <f t="shared" si="344"/>
        <v>2</v>
      </c>
      <c r="O472" s="303">
        <v>1.26</v>
      </c>
      <c r="P472" s="282">
        <f t="shared" si="345"/>
        <v>1.58</v>
      </c>
      <c r="Q472" s="282"/>
      <c r="R472" s="280">
        <f t="shared" si="355"/>
        <v>174</v>
      </c>
      <c r="S472" s="280">
        <f t="shared" si="356"/>
        <v>69.287356321839084</v>
      </c>
      <c r="T472" s="425">
        <f t="shared" si="346"/>
        <v>12056</v>
      </c>
      <c r="U472" s="284">
        <f t="shared" si="347"/>
        <v>12056</v>
      </c>
      <c r="V472" s="277">
        <v>20</v>
      </c>
      <c r="W472" s="285"/>
      <c r="X472" s="285">
        <f t="shared" si="360"/>
        <v>2411.2000000000003</v>
      </c>
      <c r="Y472" s="277"/>
      <c r="Z472" s="277"/>
      <c r="AA472" s="277"/>
      <c r="AB472" s="277"/>
      <c r="AC472" s="277"/>
      <c r="AD472" s="277"/>
      <c r="AE472" s="277"/>
      <c r="AF472" s="277"/>
      <c r="AG472" s="277"/>
      <c r="AH472" s="277"/>
      <c r="AI472" s="277"/>
      <c r="AJ472" s="277"/>
      <c r="AK472" s="277"/>
      <c r="AL472" s="277"/>
      <c r="AM472" s="285">
        <f t="shared" si="357"/>
        <v>0</v>
      </c>
      <c r="AN472" s="277"/>
      <c r="AO472" s="277"/>
      <c r="AP472" s="277"/>
      <c r="AQ472" s="284">
        <f t="shared" si="348"/>
        <v>2411.2000000000003</v>
      </c>
      <c r="AR472" s="277">
        <f t="shared" si="358"/>
        <v>20</v>
      </c>
      <c r="AS472" s="277">
        <f t="shared" si="349"/>
        <v>2411.2000000000003</v>
      </c>
      <c r="AT472" s="280">
        <f t="shared" si="359"/>
        <v>2411.2000000000003</v>
      </c>
      <c r="AU472" s="339"/>
      <c r="AV472" s="277">
        <v>100</v>
      </c>
      <c r="AW472" s="277">
        <f t="shared" si="350"/>
        <v>0</v>
      </c>
      <c r="AX472" s="277"/>
      <c r="AY472" s="277"/>
      <c r="AZ472" s="280"/>
      <c r="BA472" s="284">
        <f t="shared" si="351"/>
        <v>2411.2000000000003</v>
      </c>
      <c r="BB472" s="284">
        <f t="shared" si="352"/>
        <v>16878.400000000001</v>
      </c>
      <c r="BC472" s="284">
        <f t="shared" si="353"/>
        <v>16878.400000000001</v>
      </c>
      <c r="BD472" s="286">
        <f t="shared" si="354"/>
        <v>16878.400000000001</v>
      </c>
      <c r="BE472" s="286"/>
      <c r="BF472" s="251">
        <f t="shared" si="361"/>
        <v>0</v>
      </c>
      <c r="BG472" s="251">
        <f t="shared" si="362"/>
        <v>0</v>
      </c>
      <c r="BH472" s="251">
        <f t="shared" si="363"/>
        <v>0</v>
      </c>
      <c r="BI472" s="251">
        <f t="shared" si="364"/>
        <v>0</v>
      </c>
      <c r="BJ472" s="251">
        <f t="shared" si="365"/>
        <v>0</v>
      </c>
      <c r="BK472" s="251">
        <f t="shared" si="366"/>
        <v>0</v>
      </c>
      <c r="BL472" s="251">
        <f t="shared" si="367"/>
        <v>16878.400000000001</v>
      </c>
      <c r="BM472" s="251">
        <f t="shared" si="368"/>
        <v>0</v>
      </c>
    </row>
    <row r="473" spans="1:65" s="287" customFormat="1" x14ac:dyDescent="0.25">
      <c r="A473" s="276"/>
      <c r="B473" s="288" t="s">
        <v>226</v>
      </c>
      <c r="C473" s="278">
        <v>1</v>
      </c>
      <c r="D473" s="279"/>
      <c r="E473" s="279"/>
      <c r="F473" s="279"/>
      <c r="G473" s="279"/>
      <c r="H473" s="279"/>
      <c r="I473" s="279"/>
      <c r="J473" s="279">
        <v>1</v>
      </c>
      <c r="K473" s="279"/>
      <c r="L473" s="277"/>
      <c r="M473" s="280">
        <f t="shared" si="369"/>
        <v>3028</v>
      </c>
      <c r="N473" s="281">
        <f t="shared" si="344"/>
        <v>2</v>
      </c>
      <c r="O473" s="282">
        <v>1.7</v>
      </c>
      <c r="P473" s="282">
        <f t="shared" si="345"/>
        <v>1.58</v>
      </c>
      <c r="Q473" s="282"/>
      <c r="R473" s="280">
        <f t="shared" si="355"/>
        <v>174</v>
      </c>
      <c r="S473" s="280">
        <f t="shared" si="356"/>
        <v>93.482758620689651</v>
      </c>
      <c r="T473" s="425">
        <f t="shared" si="346"/>
        <v>16266</v>
      </c>
      <c r="U473" s="284">
        <f t="shared" si="347"/>
        <v>16266</v>
      </c>
      <c r="V473" s="277">
        <v>20</v>
      </c>
      <c r="W473" s="285"/>
      <c r="X473" s="285">
        <f t="shared" si="360"/>
        <v>3253.2000000000003</v>
      </c>
      <c r="Y473" s="277"/>
      <c r="Z473" s="277"/>
      <c r="AA473" s="277"/>
      <c r="AB473" s="277"/>
      <c r="AC473" s="277"/>
      <c r="AD473" s="277"/>
      <c r="AE473" s="277"/>
      <c r="AF473" s="277"/>
      <c r="AG473" s="277"/>
      <c r="AH473" s="277"/>
      <c r="AI473" s="277"/>
      <c r="AJ473" s="277"/>
      <c r="AK473" s="277">
        <v>10</v>
      </c>
      <c r="AL473" s="277"/>
      <c r="AM473" s="285">
        <f t="shared" si="357"/>
        <v>1626.6000000000001</v>
      </c>
      <c r="AN473" s="277"/>
      <c r="AO473" s="277"/>
      <c r="AP473" s="277"/>
      <c r="AQ473" s="284">
        <f t="shared" si="348"/>
        <v>4879.8</v>
      </c>
      <c r="AR473" s="277">
        <f t="shared" si="358"/>
        <v>20</v>
      </c>
      <c r="AS473" s="277">
        <f t="shared" si="349"/>
        <v>3253.2000000000003</v>
      </c>
      <c r="AT473" s="280">
        <f t="shared" si="359"/>
        <v>3253.2000000000003</v>
      </c>
      <c r="AU473" s="277"/>
      <c r="AV473" s="277">
        <v>100</v>
      </c>
      <c r="AW473" s="277">
        <f t="shared" si="350"/>
        <v>0</v>
      </c>
      <c r="AX473" s="277"/>
      <c r="AY473" s="277"/>
      <c r="AZ473" s="280"/>
      <c r="BA473" s="284">
        <f t="shared" si="351"/>
        <v>3253.2000000000003</v>
      </c>
      <c r="BB473" s="284">
        <f t="shared" si="352"/>
        <v>24399</v>
      </c>
      <c r="BC473" s="284">
        <f t="shared" si="353"/>
        <v>24399</v>
      </c>
      <c r="BD473" s="286">
        <f t="shared" si="354"/>
        <v>24399</v>
      </c>
      <c r="BE473" s="286"/>
      <c r="BF473" s="251">
        <f t="shared" si="361"/>
        <v>0</v>
      </c>
      <c r="BG473" s="251">
        <f t="shared" si="362"/>
        <v>0</v>
      </c>
      <c r="BH473" s="251">
        <f t="shared" si="363"/>
        <v>0</v>
      </c>
      <c r="BI473" s="251">
        <f t="shared" si="364"/>
        <v>0</v>
      </c>
      <c r="BJ473" s="251">
        <f t="shared" si="365"/>
        <v>0</v>
      </c>
      <c r="BK473" s="251">
        <f t="shared" si="366"/>
        <v>0</v>
      </c>
      <c r="BL473" s="251">
        <f t="shared" si="367"/>
        <v>24399</v>
      </c>
      <c r="BM473" s="251">
        <f t="shared" si="368"/>
        <v>0</v>
      </c>
    </row>
    <row r="474" spans="1:65" s="301" customFormat="1" x14ac:dyDescent="0.25">
      <c r="A474" s="289"/>
      <c r="B474" s="290" t="s">
        <v>227</v>
      </c>
      <c r="C474" s="376">
        <v>1</v>
      </c>
      <c r="D474" s="292"/>
      <c r="E474" s="292"/>
      <c r="F474" s="292"/>
      <c r="G474" s="292"/>
      <c r="H474" s="292"/>
      <c r="I474" s="292"/>
      <c r="J474" s="292">
        <v>1</v>
      </c>
      <c r="K474" s="292"/>
      <c r="L474" s="293"/>
      <c r="M474" s="294">
        <f t="shared" si="369"/>
        <v>3028</v>
      </c>
      <c r="N474" s="429">
        <f t="shared" si="344"/>
        <v>2</v>
      </c>
      <c r="O474" s="295">
        <v>1.6</v>
      </c>
      <c r="P474" s="295">
        <f t="shared" si="345"/>
        <v>1.58</v>
      </c>
      <c r="Q474" s="295"/>
      <c r="R474" s="294">
        <f t="shared" si="355"/>
        <v>174</v>
      </c>
      <c r="S474" s="294">
        <f t="shared" si="356"/>
        <v>87.988505747126439</v>
      </c>
      <c r="T474" s="291">
        <f t="shared" si="346"/>
        <v>15310</v>
      </c>
      <c r="U474" s="297">
        <f t="shared" si="347"/>
        <v>15310</v>
      </c>
      <c r="V474" s="293">
        <v>20</v>
      </c>
      <c r="W474" s="298"/>
      <c r="X474" s="298">
        <f t="shared" si="360"/>
        <v>3062</v>
      </c>
      <c r="Y474" s="293"/>
      <c r="Z474" s="293"/>
      <c r="AA474" s="293"/>
      <c r="AB474" s="293"/>
      <c r="AC474" s="293"/>
      <c r="AD474" s="293"/>
      <c r="AE474" s="293"/>
      <c r="AF474" s="293"/>
      <c r="AG474" s="293"/>
      <c r="AH474" s="293"/>
      <c r="AI474" s="293"/>
      <c r="AJ474" s="293"/>
      <c r="AK474" s="277">
        <v>7</v>
      </c>
      <c r="AL474" s="293"/>
      <c r="AM474" s="298">
        <f t="shared" si="357"/>
        <v>1071.7</v>
      </c>
      <c r="AN474" s="293"/>
      <c r="AO474" s="293"/>
      <c r="AP474" s="293"/>
      <c r="AQ474" s="297">
        <f t="shared" si="348"/>
        <v>4133.7</v>
      </c>
      <c r="AR474" s="293">
        <f t="shared" si="358"/>
        <v>20</v>
      </c>
      <c r="AS474" s="293">
        <f t="shared" si="349"/>
        <v>3062</v>
      </c>
      <c r="AT474" s="294">
        <f t="shared" si="359"/>
        <v>3062</v>
      </c>
      <c r="AU474" s="293"/>
      <c r="AV474" s="293">
        <v>100</v>
      </c>
      <c r="AW474" s="293">
        <f t="shared" si="350"/>
        <v>0</v>
      </c>
      <c r="AX474" s="293"/>
      <c r="AY474" s="293"/>
      <c r="AZ474" s="294"/>
      <c r="BA474" s="297">
        <f t="shared" si="351"/>
        <v>3062</v>
      </c>
      <c r="BB474" s="297">
        <f t="shared" si="352"/>
        <v>22505.7</v>
      </c>
      <c r="BC474" s="297">
        <f t="shared" si="353"/>
        <v>22505.7</v>
      </c>
      <c r="BD474" s="299">
        <f t="shared" si="354"/>
        <v>22505.7</v>
      </c>
      <c r="BE474" s="299"/>
      <c r="BF474" s="300">
        <f t="shared" si="361"/>
        <v>0</v>
      </c>
      <c r="BG474" s="300">
        <f t="shared" si="362"/>
        <v>0</v>
      </c>
      <c r="BH474" s="300">
        <f t="shared" si="363"/>
        <v>0</v>
      </c>
      <c r="BI474" s="300">
        <f t="shared" si="364"/>
        <v>0</v>
      </c>
      <c r="BJ474" s="300">
        <f t="shared" si="365"/>
        <v>0</v>
      </c>
      <c r="BK474" s="300">
        <f t="shared" si="366"/>
        <v>0</v>
      </c>
      <c r="BL474" s="300">
        <f t="shared" si="367"/>
        <v>22505.7</v>
      </c>
      <c r="BM474" s="300">
        <f t="shared" si="368"/>
        <v>0</v>
      </c>
    </row>
    <row r="475" spans="1:65" s="301" customFormat="1" x14ac:dyDescent="0.25">
      <c r="A475" s="289"/>
      <c r="B475" s="290" t="s">
        <v>228</v>
      </c>
      <c r="C475" s="291">
        <v>1</v>
      </c>
      <c r="D475" s="292"/>
      <c r="E475" s="292"/>
      <c r="F475" s="292"/>
      <c r="G475" s="292"/>
      <c r="H475" s="292"/>
      <c r="I475" s="292"/>
      <c r="J475" s="292">
        <v>1</v>
      </c>
      <c r="K475" s="292"/>
      <c r="L475" s="293"/>
      <c r="M475" s="294">
        <f t="shared" si="369"/>
        <v>3028</v>
      </c>
      <c r="N475" s="429">
        <f>N$244</f>
        <v>2</v>
      </c>
      <c r="O475" s="430">
        <v>1.1000000000000001</v>
      </c>
      <c r="P475" s="430">
        <v>1</v>
      </c>
      <c r="Q475" s="295"/>
      <c r="R475" s="294">
        <f t="shared" si="355"/>
        <v>174</v>
      </c>
      <c r="S475" s="294">
        <f t="shared" si="356"/>
        <v>38.287356321839077</v>
      </c>
      <c r="T475" s="291">
        <f t="shared" si="346"/>
        <v>6662</v>
      </c>
      <c r="U475" s="297">
        <f>T475*C475</f>
        <v>6662</v>
      </c>
      <c r="V475" s="293">
        <v>0</v>
      </c>
      <c r="W475" s="298"/>
      <c r="X475" s="298">
        <f t="shared" si="360"/>
        <v>0</v>
      </c>
      <c r="Y475" s="293"/>
      <c r="Z475" s="293"/>
      <c r="AA475" s="293"/>
      <c r="AB475" s="293"/>
      <c r="AC475" s="293"/>
      <c r="AD475" s="293"/>
      <c r="AE475" s="293"/>
      <c r="AF475" s="293"/>
      <c r="AG475" s="293"/>
      <c r="AH475" s="293"/>
      <c r="AI475" s="293"/>
      <c r="AJ475" s="293"/>
      <c r="AK475" s="277">
        <v>7</v>
      </c>
      <c r="AL475" s="293"/>
      <c r="AM475" s="298">
        <f>T475*AK475%*1</f>
        <v>466.34000000000003</v>
      </c>
      <c r="AN475" s="293"/>
      <c r="AO475" s="293"/>
      <c r="AP475" s="293"/>
      <c r="AQ475" s="297">
        <f t="shared" si="348"/>
        <v>466.34000000000003</v>
      </c>
      <c r="AR475" s="293">
        <f t="shared" si="358"/>
        <v>20</v>
      </c>
      <c r="AS475" s="298">
        <f>AT475/C475</f>
        <v>1332.4</v>
      </c>
      <c r="AT475" s="294">
        <f>(U475)*AR475%</f>
        <v>1332.4</v>
      </c>
      <c r="AU475" s="293"/>
      <c r="AV475" s="293">
        <v>100</v>
      </c>
      <c r="AW475" s="293">
        <f t="shared" si="350"/>
        <v>0</v>
      </c>
      <c r="AX475" s="431"/>
      <c r="AY475" s="431">
        <f>3723-(BB475-AV475)/5</f>
        <v>2050.8519999999999</v>
      </c>
      <c r="AZ475" s="431"/>
      <c r="BA475" s="297">
        <f t="shared" si="351"/>
        <v>1332.4</v>
      </c>
      <c r="BB475" s="297">
        <f>BC475/C475</f>
        <v>8460.74</v>
      </c>
      <c r="BC475" s="297">
        <f>BA475+AQ475+U475</f>
        <v>8460.74</v>
      </c>
      <c r="BD475" s="463">
        <f>BC475/C475</f>
        <v>8460.74</v>
      </c>
      <c r="BE475" s="299"/>
      <c r="BF475" s="300">
        <f>IF(D475=1,BC475,0)</f>
        <v>0</v>
      </c>
      <c r="BG475" s="300">
        <f>IF(E475=1,BC475,0)</f>
        <v>0</v>
      </c>
      <c r="BH475" s="300">
        <f>IF(F475=1,BC475,0)</f>
        <v>0</v>
      </c>
      <c r="BI475" s="300">
        <f>IF(G475=1,BC475,0)</f>
        <v>0</v>
      </c>
      <c r="BJ475" s="300">
        <f>IF(H475=1,BC475,0)</f>
        <v>0</v>
      </c>
      <c r="BK475" s="300">
        <f>IF(I475=1,BC475,0)</f>
        <v>0</v>
      </c>
      <c r="BL475" s="300">
        <f>IF(J475=1,BC475,0)</f>
        <v>8460.74</v>
      </c>
      <c r="BM475" s="300">
        <f>IF(K475=1,BC475,0)</f>
        <v>0</v>
      </c>
    </row>
    <row r="476" spans="1:65" s="287" customFormat="1" ht="6" customHeight="1" x14ac:dyDescent="0.25">
      <c r="A476" s="276"/>
      <c r="B476" s="288"/>
      <c r="C476" s="305"/>
      <c r="D476" s="279"/>
      <c r="E476" s="279"/>
      <c r="F476" s="279"/>
      <c r="G476" s="279"/>
      <c r="H476" s="279"/>
      <c r="I476" s="279"/>
      <c r="J476" s="279"/>
      <c r="K476" s="279"/>
      <c r="L476" s="277"/>
      <c r="M476" s="280"/>
      <c r="N476" s="281"/>
      <c r="O476" s="277"/>
      <c r="P476" s="282"/>
      <c r="Q476" s="277"/>
      <c r="R476" s="283"/>
      <c r="S476" s="280"/>
      <c r="T476" s="425"/>
      <c r="U476" s="284"/>
      <c r="V476" s="277"/>
      <c r="W476" s="285"/>
      <c r="X476" s="285"/>
      <c r="Y476" s="277"/>
      <c r="Z476" s="277"/>
      <c r="AA476" s="277"/>
      <c r="AB476" s="277"/>
      <c r="AC476" s="277"/>
      <c r="AD476" s="277"/>
      <c r="AE476" s="277"/>
      <c r="AF476" s="277"/>
      <c r="AG476" s="277"/>
      <c r="AH476" s="277"/>
      <c r="AI476" s="277"/>
      <c r="AJ476" s="277"/>
      <c r="AK476" s="277"/>
      <c r="AL476" s="277"/>
      <c r="AM476" s="285">
        <f t="shared" si="357"/>
        <v>0</v>
      </c>
      <c r="AN476" s="277"/>
      <c r="AO476" s="277"/>
      <c r="AP476" s="277"/>
      <c r="AQ476" s="284">
        <f t="shared" si="348"/>
        <v>0</v>
      </c>
      <c r="AR476" s="277"/>
      <c r="AS476" s="277"/>
      <c r="AT476" s="283"/>
      <c r="AU476" s="277"/>
      <c r="AV476" s="277"/>
      <c r="AW476" s="277"/>
      <c r="AX476" s="277"/>
      <c r="AY476" s="277"/>
      <c r="AZ476" s="283"/>
      <c r="BA476" s="284"/>
      <c r="BB476" s="284"/>
      <c r="BC476" s="284"/>
      <c r="BD476" s="286"/>
      <c r="BE476" s="286"/>
      <c r="BF476" s="251"/>
      <c r="BG476" s="251"/>
      <c r="BH476" s="251"/>
      <c r="BI476" s="251"/>
      <c r="BJ476" s="251"/>
      <c r="BK476" s="251"/>
      <c r="BL476" s="251"/>
      <c r="BM476" s="251"/>
    </row>
    <row r="477" spans="1:65" s="316" customFormat="1" ht="14.25" x14ac:dyDescent="0.25">
      <c r="A477" s="306"/>
      <c r="B477" s="307" t="s">
        <v>229</v>
      </c>
      <c r="C477" s="308">
        <f>SUM(C460:C476)</f>
        <v>19</v>
      </c>
      <c r="D477" s="309"/>
      <c r="E477" s="309"/>
      <c r="F477" s="309"/>
      <c r="G477" s="309"/>
      <c r="H477" s="309"/>
      <c r="I477" s="309"/>
      <c r="J477" s="309"/>
      <c r="K477" s="309"/>
      <c r="L477" s="309"/>
      <c r="M477" s="310"/>
      <c r="N477" s="309"/>
      <c r="O477" s="309"/>
      <c r="P477" s="309"/>
      <c r="Q477" s="309"/>
      <c r="R477" s="310"/>
      <c r="S477" s="310"/>
      <c r="T477" s="349">
        <f>U477</f>
        <v>429303</v>
      </c>
      <c r="U477" s="312">
        <f>SUM(U460:U476)</f>
        <v>429303</v>
      </c>
      <c r="V477" s="309"/>
      <c r="W477" s="309"/>
      <c r="X477" s="312">
        <f>SUM(X460:X476)</f>
        <v>88843.599999999991</v>
      </c>
      <c r="Y477" s="312"/>
      <c r="Z477" s="312">
        <f>SUM(Z460:Z476)</f>
        <v>0</v>
      </c>
      <c r="AA477" s="312">
        <f>SUM(AA460:AA476)</f>
        <v>0</v>
      </c>
      <c r="AB477" s="312"/>
      <c r="AC477" s="312"/>
      <c r="AD477" s="312">
        <f>SUM(AD460:AD476)</f>
        <v>0</v>
      </c>
      <c r="AE477" s="312"/>
      <c r="AF477" s="312">
        <f>SUM(AF460:AF476)</f>
        <v>0</v>
      </c>
      <c r="AG477" s="312">
        <f>SUM(AG460:AG476)</f>
        <v>0</v>
      </c>
      <c r="AH477" s="312"/>
      <c r="AI477" s="312">
        <f>SUM(AI460:AI476)</f>
        <v>0</v>
      </c>
      <c r="AJ477" s="312">
        <f>SUM(AJ460:AJ476)</f>
        <v>0</v>
      </c>
      <c r="AK477" s="312"/>
      <c r="AL477" s="312">
        <f>SUM(AL460:AL476)</f>
        <v>0</v>
      </c>
      <c r="AM477" s="312">
        <f>SUM(AM460:AM476)</f>
        <v>27981.53</v>
      </c>
      <c r="AN477" s="312"/>
      <c r="AO477" s="312">
        <f>SUM(AO460:AO476)</f>
        <v>0</v>
      </c>
      <c r="AP477" s="312">
        <f>SUM(AP460:AP476)</f>
        <v>0</v>
      </c>
      <c r="AQ477" s="312">
        <f>SUM(AQ460:AQ476)</f>
        <v>116825.13</v>
      </c>
      <c r="AR477" s="312"/>
      <c r="AS477" s="312">
        <f>SUM(AS460:AS476)</f>
        <v>65766.799999999988</v>
      </c>
      <c r="AT477" s="312">
        <f>SUM(AT460:AT476)</f>
        <v>77248.999999999985</v>
      </c>
      <c r="AU477" s="312">
        <f>SUM(AU460:AU476)</f>
        <v>0</v>
      </c>
      <c r="AV477" s="312"/>
      <c r="AW477" s="312">
        <f>SUM(AW460:AW476)</f>
        <v>0</v>
      </c>
      <c r="AX477" s="312"/>
      <c r="AY477" s="312">
        <f>SUM(AY460:AY476)</f>
        <v>2050.8519999999999</v>
      </c>
      <c r="AZ477" s="312">
        <f>SUM(AZ460:AZ476)</f>
        <v>0</v>
      </c>
      <c r="BA477" s="312">
        <f>SUM(BA460:BA476)</f>
        <v>77248.999999999985</v>
      </c>
      <c r="BB477" s="312">
        <f>BC477/C477</f>
        <v>32809.322631578951</v>
      </c>
      <c r="BC477" s="312">
        <f>SUM(BC460:BC476)</f>
        <v>623377.13</v>
      </c>
      <c r="BD477" s="286"/>
      <c r="BE477" s="286"/>
      <c r="BF477" s="315">
        <f t="shared" ref="BF477:BM477" si="370">SUM(BF460:BF476)</f>
        <v>0</v>
      </c>
      <c r="BG477" s="315">
        <f t="shared" si="370"/>
        <v>0</v>
      </c>
      <c r="BH477" s="315">
        <f t="shared" si="370"/>
        <v>0</v>
      </c>
      <c r="BI477" s="315">
        <f t="shared" si="370"/>
        <v>0</v>
      </c>
      <c r="BJ477" s="315">
        <f t="shared" si="370"/>
        <v>0</v>
      </c>
      <c r="BK477" s="315">
        <f t="shared" si="370"/>
        <v>0</v>
      </c>
      <c r="BL477" s="315">
        <f t="shared" si="370"/>
        <v>623377.13</v>
      </c>
      <c r="BM477" s="315">
        <f t="shared" si="370"/>
        <v>0</v>
      </c>
    </row>
    <row r="478" spans="1:65" s="287" customFormat="1" ht="14.25" hidden="1" x14ac:dyDescent="0.25">
      <c r="A478" s="276"/>
      <c r="B478" s="317"/>
      <c r="C478" s="318"/>
      <c r="D478" s="319"/>
      <c r="E478" s="319"/>
      <c r="F478" s="319"/>
      <c r="G478" s="319"/>
      <c r="H478" s="319"/>
      <c r="I478" s="319"/>
      <c r="J478" s="319"/>
      <c r="K478" s="319"/>
      <c r="L478" s="319"/>
      <c r="M478" s="320"/>
      <c r="N478" s="319"/>
      <c r="O478" s="319"/>
      <c r="P478" s="319"/>
      <c r="Q478" s="319"/>
      <c r="R478" s="320"/>
      <c r="S478" s="320"/>
      <c r="T478" s="319"/>
      <c r="U478" s="321"/>
      <c r="V478" s="319"/>
      <c r="W478" s="319"/>
      <c r="X478" s="321"/>
      <c r="Y478" s="321"/>
      <c r="Z478" s="321"/>
      <c r="AA478" s="321"/>
      <c r="AB478" s="321"/>
      <c r="AC478" s="321"/>
      <c r="AD478" s="321"/>
      <c r="AE478" s="321"/>
      <c r="AF478" s="321"/>
      <c r="AG478" s="321"/>
      <c r="AH478" s="321"/>
      <c r="AI478" s="321"/>
      <c r="AJ478" s="321"/>
      <c r="AK478" s="321"/>
      <c r="AL478" s="321"/>
      <c r="AM478" s="321"/>
      <c r="AN478" s="321"/>
      <c r="AO478" s="321"/>
      <c r="AP478" s="321"/>
      <c r="AQ478" s="321"/>
      <c r="AR478" s="319"/>
      <c r="AS478" s="319"/>
      <c r="AT478" s="320"/>
      <c r="AU478" s="319"/>
      <c r="AV478" s="319"/>
      <c r="AW478" s="319"/>
      <c r="AX478" s="319"/>
      <c r="AY478" s="319"/>
      <c r="AZ478" s="320"/>
      <c r="BA478" s="321"/>
      <c r="BB478" s="321"/>
      <c r="BC478" s="322"/>
      <c r="BD478" s="286"/>
      <c r="BE478" s="286"/>
      <c r="BF478" s="323"/>
      <c r="BG478" s="323"/>
      <c r="BH478" s="323"/>
      <c r="BI478" s="323"/>
      <c r="BJ478" s="323"/>
      <c r="BK478" s="323"/>
      <c r="BL478" s="323"/>
      <c r="BM478" s="323"/>
    </row>
    <row r="479" spans="1:65" s="275" customFormat="1" ht="21" customHeight="1" x14ac:dyDescent="0.25">
      <c r="A479" s="270" t="s">
        <v>230</v>
      </c>
      <c r="B479" s="324" t="s">
        <v>231</v>
      </c>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c r="AJ479" s="272"/>
      <c r="AK479" s="272"/>
      <c r="AL479" s="272"/>
      <c r="AM479" s="272"/>
      <c r="AN479" s="272"/>
      <c r="AO479" s="272"/>
      <c r="AP479" s="272"/>
      <c r="AQ479" s="272"/>
      <c r="AR479" s="272"/>
      <c r="AS479" s="272"/>
      <c r="AT479" s="272"/>
      <c r="AU479" s="272"/>
      <c r="AV479" s="272"/>
      <c r="AW479" s="272"/>
      <c r="AX479" s="272"/>
      <c r="AY479" s="272"/>
      <c r="AZ479" s="272"/>
      <c r="BA479" s="272"/>
      <c r="BB479" s="272"/>
      <c r="BC479" s="273"/>
      <c r="BD479" s="286"/>
      <c r="BE479" s="286"/>
    </row>
    <row r="480" spans="1:65" s="275" customFormat="1" ht="14.25" x14ac:dyDescent="0.25">
      <c r="A480" s="270"/>
      <c r="B480" s="324" t="s">
        <v>232</v>
      </c>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c r="AQ480" s="272"/>
      <c r="AR480" s="272"/>
      <c r="AS480" s="272"/>
      <c r="AT480" s="272"/>
      <c r="AU480" s="272"/>
      <c r="AV480" s="272"/>
      <c r="AW480" s="272"/>
      <c r="AX480" s="272"/>
      <c r="AY480" s="272"/>
      <c r="AZ480" s="272"/>
      <c r="BA480" s="272"/>
      <c r="BB480" s="272"/>
      <c r="BC480" s="273"/>
      <c r="BD480" s="286"/>
      <c r="BE480" s="286"/>
    </row>
    <row r="481" spans="1:65" s="275" customFormat="1" ht="19.5" customHeight="1" x14ac:dyDescent="0.25">
      <c r="A481" s="270"/>
      <c r="B481" s="464" t="s">
        <v>233</v>
      </c>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c r="AI481" s="326"/>
      <c r="AJ481" s="326"/>
      <c r="AK481" s="326"/>
      <c r="AL481" s="326"/>
      <c r="AM481" s="326"/>
      <c r="AN481" s="326"/>
      <c r="AO481" s="326"/>
      <c r="AP481" s="326"/>
      <c r="AQ481" s="326"/>
      <c r="AR481" s="326"/>
      <c r="AS481" s="326"/>
      <c r="AT481" s="326"/>
      <c r="AU481" s="326"/>
      <c r="AV481" s="326"/>
      <c r="AW481" s="326"/>
      <c r="AX481" s="326"/>
      <c r="AY481" s="326"/>
      <c r="AZ481" s="326"/>
      <c r="BA481" s="326"/>
      <c r="BB481" s="326"/>
      <c r="BC481" s="327"/>
      <c r="BD481" s="286"/>
      <c r="BE481" s="286"/>
    </row>
    <row r="482" spans="1:65" s="287" customFormat="1" x14ac:dyDescent="0.25">
      <c r="A482" s="276"/>
      <c r="B482" s="288" t="s">
        <v>234</v>
      </c>
      <c r="C482" s="278">
        <v>1</v>
      </c>
      <c r="D482" s="279"/>
      <c r="E482" s="279"/>
      <c r="F482" s="328"/>
      <c r="G482" s="328"/>
      <c r="H482" s="279">
        <v>1</v>
      </c>
      <c r="I482" s="328"/>
      <c r="J482" s="279"/>
      <c r="K482" s="279"/>
      <c r="L482" s="277"/>
      <c r="M482" s="280">
        <f>M$454</f>
        <v>3028</v>
      </c>
      <c r="N482" s="281">
        <f>N$244</f>
        <v>2</v>
      </c>
      <c r="O482" s="277">
        <v>2.2999999999999998</v>
      </c>
      <c r="P482" s="282">
        <f>P$244</f>
        <v>1.58</v>
      </c>
      <c r="Q482" s="277"/>
      <c r="R482" s="280">
        <f t="shared" ref="R482:R487" si="371">$R$565</f>
        <v>174</v>
      </c>
      <c r="S482" s="280">
        <f t="shared" ref="S482:S487" si="372">T482/(R482/1)</f>
        <v>126.48275862068965</v>
      </c>
      <c r="T482" s="425">
        <f t="shared" ref="T482:T487" si="373">ROUND(M482*N482*O482*P482,0)</f>
        <v>22008</v>
      </c>
      <c r="U482" s="284">
        <f t="shared" ref="U482:U487" si="374">T482*C482</f>
        <v>22008</v>
      </c>
      <c r="V482" s="277">
        <v>30</v>
      </c>
      <c r="W482" s="285"/>
      <c r="X482" s="285">
        <f t="shared" ref="X482:X487" si="375">U482*V482%</f>
        <v>6602.4</v>
      </c>
      <c r="Y482" s="277"/>
      <c r="Z482" s="277"/>
      <c r="AA482" s="277"/>
      <c r="AB482" s="277"/>
      <c r="AC482" s="277"/>
      <c r="AD482" s="277"/>
      <c r="AE482" s="277"/>
      <c r="AF482" s="277"/>
      <c r="AG482" s="277"/>
      <c r="AH482" s="277"/>
      <c r="AI482" s="277"/>
      <c r="AJ482" s="277"/>
      <c r="AK482" s="277">
        <v>7</v>
      </c>
      <c r="AL482" s="277"/>
      <c r="AM482" s="285">
        <f>T482*AK482%</f>
        <v>1540.5600000000002</v>
      </c>
      <c r="AN482" s="277"/>
      <c r="AO482" s="277"/>
      <c r="AP482" s="285"/>
      <c r="AQ482" s="284">
        <f t="shared" ref="AQ482:AQ487" si="376">X482+AA482+AD482+AG482+AJ482+AM482+AP482</f>
        <v>8142.96</v>
      </c>
      <c r="AR482" s="277">
        <f>AR$29</f>
        <v>20</v>
      </c>
      <c r="AS482" s="277">
        <f t="shared" ref="AS482:AS487" si="377">AT482/C482</f>
        <v>4401.6000000000004</v>
      </c>
      <c r="AT482" s="280">
        <f t="shared" ref="AT482:AT487" si="378">(U482)*AR482%</f>
        <v>4401.6000000000004</v>
      </c>
      <c r="AU482" s="277"/>
      <c r="AV482" s="277">
        <v>100</v>
      </c>
      <c r="AW482" s="277">
        <f>AU482*T482</f>
        <v>0</v>
      </c>
      <c r="AX482" s="277"/>
      <c r="AY482" s="277"/>
      <c r="AZ482" s="280"/>
      <c r="BA482" s="284">
        <f t="shared" ref="BA482:BA487" si="379">AT482+AW482+AZ482</f>
        <v>4401.6000000000004</v>
      </c>
      <c r="BB482" s="284">
        <f t="shared" ref="BB482:BB487" si="380">BC482/C482</f>
        <v>34552.559999999998</v>
      </c>
      <c r="BC482" s="284">
        <f t="shared" ref="BC482:BC487" si="381">BA482+AQ482+U482</f>
        <v>34552.559999999998</v>
      </c>
      <c r="BD482" s="286">
        <f t="shared" ref="BD482:BD488" si="382">BC482/C482</f>
        <v>34552.559999999998</v>
      </c>
      <c r="BE482" s="286"/>
      <c r="BF482" s="241">
        <f>IF(D482=1,BC482,0)</f>
        <v>0</v>
      </c>
      <c r="BG482" s="241">
        <f>IF(E482=1,BC482,0)</f>
        <v>0</v>
      </c>
      <c r="BH482" s="241">
        <f>IF(F482=1,BC482,0)</f>
        <v>0</v>
      </c>
      <c r="BI482" s="241">
        <f>IF(G482=1,BC482,0)</f>
        <v>0</v>
      </c>
      <c r="BJ482" s="251">
        <f>IF(H482=1,BC482,0)</f>
        <v>34552.559999999998</v>
      </c>
      <c r="BK482" s="251">
        <f>IF(I482=1,BC482,0)</f>
        <v>0</v>
      </c>
      <c r="BL482" s="251">
        <f>IF(J482=1,BC482,0)</f>
        <v>0</v>
      </c>
      <c r="BM482" s="241">
        <f>IF(K482=1,BC482,0)</f>
        <v>0</v>
      </c>
    </row>
    <row r="483" spans="1:65" s="287" customFormat="1" x14ac:dyDescent="0.25">
      <c r="A483" s="276"/>
      <c r="B483" s="290" t="s">
        <v>235</v>
      </c>
      <c r="C483" s="278">
        <v>1</v>
      </c>
      <c r="D483" s="279"/>
      <c r="E483" s="279"/>
      <c r="F483" s="328"/>
      <c r="G483" s="328"/>
      <c r="H483" s="279">
        <v>1</v>
      </c>
      <c r="I483" s="328"/>
      <c r="J483" s="279"/>
      <c r="K483" s="279"/>
      <c r="L483" s="277"/>
      <c r="M483" s="280">
        <f>M$35</f>
        <v>3028</v>
      </c>
      <c r="N483" s="281">
        <f>N$29</f>
        <v>2</v>
      </c>
      <c r="O483" s="293">
        <v>2</v>
      </c>
      <c r="P483" s="282">
        <f>P$244</f>
        <v>1.58</v>
      </c>
      <c r="Q483" s="277"/>
      <c r="R483" s="280">
        <f t="shared" si="371"/>
        <v>174</v>
      </c>
      <c r="S483" s="280">
        <f t="shared" si="372"/>
        <v>109.98275862068965</v>
      </c>
      <c r="T483" s="425">
        <f t="shared" si="373"/>
        <v>19137</v>
      </c>
      <c r="U483" s="284">
        <f t="shared" si="374"/>
        <v>19137</v>
      </c>
      <c r="V483" s="277">
        <v>20</v>
      </c>
      <c r="W483" s="285"/>
      <c r="X483" s="285">
        <f t="shared" si="375"/>
        <v>3827.4</v>
      </c>
      <c r="Y483" s="277"/>
      <c r="Z483" s="277"/>
      <c r="AA483" s="277"/>
      <c r="AB483" s="277"/>
      <c r="AC483" s="277"/>
      <c r="AD483" s="277"/>
      <c r="AE483" s="277"/>
      <c r="AF483" s="277"/>
      <c r="AG483" s="277"/>
      <c r="AH483" s="277"/>
      <c r="AI483" s="277"/>
      <c r="AJ483" s="277"/>
      <c r="AK483" s="277">
        <v>15</v>
      </c>
      <c r="AL483" s="277"/>
      <c r="AM483" s="285">
        <f>T483*AK483%</f>
        <v>2870.5499999999997</v>
      </c>
      <c r="AN483" s="277"/>
      <c r="AO483" s="277"/>
      <c r="AP483" s="285"/>
      <c r="AQ483" s="284">
        <f t="shared" si="376"/>
        <v>6697.95</v>
      </c>
      <c r="AR483" s="277">
        <f>AR$29</f>
        <v>20</v>
      </c>
      <c r="AS483" s="277">
        <f t="shared" si="377"/>
        <v>3827.4</v>
      </c>
      <c r="AT483" s="280">
        <f t="shared" si="378"/>
        <v>3827.4</v>
      </c>
      <c r="AU483" s="277"/>
      <c r="AV483" s="277">
        <v>100</v>
      </c>
      <c r="AW483" s="277">
        <f>AU483*T483</f>
        <v>0</v>
      </c>
      <c r="AX483" s="277"/>
      <c r="AY483" s="277"/>
      <c r="AZ483" s="280"/>
      <c r="BA483" s="284">
        <f t="shared" si="379"/>
        <v>3827.4</v>
      </c>
      <c r="BB483" s="284">
        <f t="shared" si="380"/>
        <v>29662.35</v>
      </c>
      <c r="BC483" s="284">
        <f t="shared" si="381"/>
        <v>29662.35</v>
      </c>
      <c r="BD483" s="286">
        <f t="shared" si="382"/>
        <v>29662.35</v>
      </c>
      <c r="BE483" s="286"/>
      <c r="BF483" s="241"/>
      <c r="BG483" s="241"/>
      <c r="BH483" s="241"/>
      <c r="BI483" s="241"/>
      <c r="BJ483" s="251"/>
      <c r="BK483" s="251"/>
      <c r="BL483" s="251"/>
      <c r="BM483" s="241"/>
    </row>
    <row r="484" spans="1:65" s="287" customFormat="1" ht="28.5" x14ac:dyDescent="0.25">
      <c r="A484" s="276"/>
      <c r="B484" s="288" t="s">
        <v>236</v>
      </c>
      <c r="C484" s="278">
        <v>1</v>
      </c>
      <c r="D484" s="279"/>
      <c r="E484" s="279"/>
      <c r="F484" s="328"/>
      <c r="G484" s="328"/>
      <c r="H484" s="279">
        <v>1</v>
      </c>
      <c r="I484" s="328"/>
      <c r="J484" s="279"/>
      <c r="K484" s="279"/>
      <c r="L484" s="277"/>
      <c r="M484" s="280">
        <f>M$35</f>
        <v>3028</v>
      </c>
      <c r="N484" s="281">
        <f>N$29</f>
        <v>2</v>
      </c>
      <c r="O484" s="277">
        <v>1.9</v>
      </c>
      <c r="P484" s="282">
        <f>P$244</f>
        <v>1.58</v>
      </c>
      <c r="Q484" s="277"/>
      <c r="R484" s="280">
        <f t="shared" si="371"/>
        <v>174</v>
      </c>
      <c r="S484" s="280">
        <f t="shared" si="372"/>
        <v>104.48275862068965</v>
      </c>
      <c r="T484" s="425">
        <f t="shared" si="373"/>
        <v>18180</v>
      </c>
      <c r="U484" s="284">
        <f t="shared" si="374"/>
        <v>18180</v>
      </c>
      <c r="V484" s="277">
        <v>20</v>
      </c>
      <c r="W484" s="285"/>
      <c r="X484" s="285">
        <f t="shared" si="375"/>
        <v>3636</v>
      </c>
      <c r="Y484" s="277"/>
      <c r="Z484" s="277"/>
      <c r="AA484" s="277"/>
      <c r="AB484" s="277"/>
      <c r="AC484" s="277"/>
      <c r="AD484" s="277"/>
      <c r="AE484" s="277"/>
      <c r="AF484" s="277"/>
      <c r="AG484" s="277"/>
      <c r="AH484" s="277"/>
      <c r="AI484" s="277"/>
      <c r="AJ484" s="277"/>
      <c r="AK484" s="277">
        <v>10</v>
      </c>
      <c r="AL484" s="277"/>
      <c r="AM484" s="285">
        <f>T484*AK484%</f>
        <v>1818</v>
      </c>
      <c r="AN484" s="277"/>
      <c r="AO484" s="277"/>
      <c r="AP484" s="285"/>
      <c r="AQ484" s="284">
        <f t="shared" si="376"/>
        <v>5454</v>
      </c>
      <c r="AR484" s="277">
        <f>AR$29</f>
        <v>20</v>
      </c>
      <c r="AS484" s="277">
        <f t="shared" si="377"/>
        <v>3636</v>
      </c>
      <c r="AT484" s="280">
        <f t="shared" si="378"/>
        <v>3636</v>
      </c>
      <c r="AU484" s="277"/>
      <c r="AV484" s="277">
        <v>100</v>
      </c>
      <c r="AW484" s="277">
        <f>AU484*T484</f>
        <v>0</v>
      </c>
      <c r="AX484" s="277"/>
      <c r="AY484" s="277"/>
      <c r="AZ484" s="280"/>
      <c r="BA484" s="284">
        <f t="shared" si="379"/>
        <v>3636</v>
      </c>
      <c r="BB484" s="284">
        <f t="shared" si="380"/>
        <v>27270</v>
      </c>
      <c r="BC484" s="284">
        <f t="shared" si="381"/>
        <v>27270</v>
      </c>
      <c r="BD484" s="286">
        <f t="shared" si="382"/>
        <v>27270</v>
      </c>
      <c r="BE484" s="286"/>
      <c r="BF484" s="241"/>
      <c r="BG484" s="241"/>
      <c r="BH484" s="241"/>
      <c r="BI484" s="241"/>
      <c r="BJ484" s="251"/>
      <c r="BK484" s="251"/>
      <c r="BL484" s="251"/>
      <c r="BM484" s="241"/>
    </row>
    <row r="485" spans="1:65" s="301" customFormat="1" x14ac:dyDescent="0.25">
      <c r="A485" s="289"/>
      <c r="B485" s="277" t="s">
        <v>237</v>
      </c>
      <c r="C485" s="278">
        <v>1</v>
      </c>
      <c r="D485" s="279"/>
      <c r="E485" s="279"/>
      <c r="F485" s="328"/>
      <c r="G485" s="328"/>
      <c r="H485" s="279">
        <v>1</v>
      </c>
      <c r="I485" s="328"/>
      <c r="J485" s="279"/>
      <c r="K485" s="279"/>
      <c r="L485" s="277"/>
      <c r="M485" s="280">
        <f>M$35</f>
        <v>3028</v>
      </c>
      <c r="N485" s="281">
        <f>N$29</f>
        <v>2</v>
      </c>
      <c r="O485" s="277">
        <v>1.9</v>
      </c>
      <c r="P485" s="295">
        <f>P$244</f>
        <v>1.58</v>
      </c>
      <c r="Q485" s="293"/>
      <c r="R485" s="294">
        <f t="shared" si="371"/>
        <v>174</v>
      </c>
      <c r="S485" s="294">
        <f t="shared" si="372"/>
        <v>104.48275862068965</v>
      </c>
      <c r="T485" s="291">
        <f t="shared" si="373"/>
        <v>18180</v>
      </c>
      <c r="U485" s="297">
        <f t="shared" si="374"/>
        <v>18180</v>
      </c>
      <c r="V485" s="293">
        <v>20</v>
      </c>
      <c r="W485" s="298"/>
      <c r="X485" s="298">
        <f t="shared" si="375"/>
        <v>3636</v>
      </c>
      <c r="Y485" s="293"/>
      <c r="Z485" s="293"/>
      <c r="AA485" s="293"/>
      <c r="AB485" s="293"/>
      <c r="AC485" s="293"/>
      <c r="AD485" s="293"/>
      <c r="AE485" s="293"/>
      <c r="AF485" s="293"/>
      <c r="AG485" s="293"/>
      <c r="AH485" s="293"/>
      <c r="AI485" s="293"/>
      <c r="AJ485" s="293"/>
      <c r="AK485" s="293"/>
      <c r="AL485" s="293"/>
      <c r="AM485" s="298">
        <f>T485*AK485%</f>
        <v>0</v>
      </c>
      <c r="AN485" s="293"/>
      <c r="AO485" s="293"/>
      <c r="AP485" s="293"/>
      <c r="AQ485" s="297">
        <f t="shared" si="376"/>
        <v>3636</v>
      </c>
      <c r="AR485" s="293">
        <f>AR$29</f>
        <v>20</v>
      </c>
      <c r="AS485" s="293">
        <f t="shared" si="377"/>
        <v>3636</v>
      </c>
      <c r="AT485" s="294">
        <f t="shared" si="378"/>
        <v>3636</v>
      </c>
      <c r="AU485" s="339">
        <v>1</v>
      </c>
      <c r="AV485" s="293">
        <v>100</v>
      </c>
      <c r="AW485" s="293">
        <f>AU485*T485</f>
        <v>18180</v>
      </c>
      <c r="AX485" s="293"/>
      <c r="AY485" s="293"/>
      <c r="AZ485" s="294"/>
      <c r="BA485" s="297">
        <f t="shared" si="379"/>
        <v>21816</v>
      </c>
      <c r="BB485" s="297">
        <f t="shared" si="380"/>
        <v>43632</v>
      </c>
      <c r="BC485" s="297">
        <f t="shared" si="381"/>
        <v>43632</v>
      </c>
      <c r="BD485" s="299">
        <f t="shared" si="382"/>
        <v>43632</v>
      </c>
      <c r="BE485" s="299"/>
      <c r="BF485" s="377">
        <f>IF(D485=1,BC485,0)</f>
        <v>0</v>
      </c>
      <c r="BG485" s="377">
        <f>IF(E485=1,BC485,0)</f>
        <v>0</v>
      </c>
      <c r="BH485" s="377">
        <f>IF(F485=1,BC485,0)</f>
        <v>0</v>
      </c>
      <c r="BI485" s="377">
        <f>IF(G485=1,BC485,0)</f>
        <v>0</v>
      </c>
      <c r="BJ485" s="300">
        <f>IF(H485=1,BC485,0)</f>
        <v>43632</v>
      </c>
      <c r="BK485" s="300">
        <f>IF(I485=1,BC485,0)</f>
        <v>0</v>
      </c>
      <c r="BL485" s="300">
        <f>IF(J485=1,BC485,0)</f>
        <v>0</v>
      </c>
      <c r="BM485" s="377">
        <f>IF(K485=1,BC485,0)</f>
        <v>0</v>
      </c>
    </row>
    <row r="486" spans="1:65" s="287" customFormat="1" x14ac:dyDescent="0.25">
      <c r="A486" s="276"/>
      <c r="B486" s="288" t="s">
        <v>238</v>
      </c>
      <c r="C486" s="425">
        <v>1</v>
      </c>
      <c r="D486" s="279"/>
      <c r="E486" s="279"/>
      <c r="F486" s="279"/>
      <c r="G486" s="279"/>
      <c r="H486" s="279"/>
      <c r="I486" s="279">
        <v>1</v>
      </c>
      <c r="J486" s="279"/>
      <c r="K486" s="279"/>
      <c r="L486" s="277"/>
      <c r="M486" s="280">
        <f>M$35</f>
        <v>3028</v>
      </c>
      <c r="N486" s="281">
        <f>N$29</f>
        <v>2</v>
      </c>
      <c r="O486" s="277">
        <v>2</v>
      </c>
      <c r="P486" s="282">
        <f>P$244</f>
        <v>1.58</v>
      </c>
      <c r="Q486" s="282"/>
      <c r="R486" s="280">
        <f t="shared" si="371"/>
        <v>174</v>
      </c>
      <c r="S486" s="280">
        <f t="shared" si="372"/>
        <v>109.98275862068965</v>
      </c>
      <c r="T486" s="425">
        <f t="shared" si="373"/>
        <v>19137</v>
      </c>
      <c r="U486" s="284">
        <f t="shared" si="374"/>
        <v>19137</v>
      </c>
      <c r="V486" s="277">
        <v>20</v>
      </c>
      <c r="W486" s="285"/>
      <c r="X486" s="285">
        <f t="shared" si="375"/>
        <v>3827.4</v>
      </c>
      <c r="Y486" s="277"/>
      <c r="Z486" s="277"/>
      <c r="AA486" s="277"/>
      <c r="AB486" s="277"/>
      <c r="AC486" s="277"/>
      <c r="AD486" s="277"/>
      <c r="AE486" s="277"/>
      <c r="AF486" s="277"/>
      <c r="AG486" s="277"/>
      <c r="AH486" s="277"/>
      <c r="AI486" s="277"/>
      <c r="AJ486" s="277"/>
      <c r="AK486" s="277"/>
      <c r="AL486" s="277"/>
      <c r="AM486" s="285">
        <f>T486*AK486%</f>
        <v>0</v>
      </c>
      <c r="AN486" s="277"/>
      <c r="AO486" s="277"/>
      <c r="AP486" s="277"/>
      <c r="AQ486" s="284">
        <f t="shared" si="376"/>
        <v>3827.4</v>
      </c>
      <c r="AR486" s="277">
        <f>AR$29</f>
        <v>20</v>
      </c>
      <c r="AS486" s="285">
        <f t="shared" si="377"/>
        <v>3827.4</v>
      </c>
      <c r="AT486" s="280">
        <f t="shared" si="378"/>
        <v>3827.4</v>
      </c>
      <c r="AU486" s="277"/>
      <c r="AV486" s="277">
        <v>100</v>
      </c>
      <c r="AW486" s="277">
        <f>AU486*T486</f>
        <v>0</v>
      </c>
      <c r="AX486" s="277"/>
      <c r="AY486" s="285"/>
      <c r="AZ486" s="280"/>
      <c r="BA486" s="284">
        <f t="shared" si="379"/>
        <v>3827.4</v>
      </c>
      <c r="BB486" s="284">
        <f t="shared" si="380"/>
        <v>26791.8</v>
      </c>
      <c r="BC486" s="284">
        <f t="shared" si="381"/>
        <v>26791.8</v>
      </c>
      <c r="BD486" s="286">
        <f>BC486/C486</f>
        <v>26791.8</v>
      </c>
      <c r="BE486" s="286"/>
      <c r="BF486" s="251">
        <f>IF(D486=1,BC486,0)</f>
        <v>0</v>
      </c>
      <c r="BG486" s="251">
        <f>IF(E486=1,BC486,0)</f>
        <v>0</v>
      </c>
      <c r="BH486" s="251">
        <f>IF(F486=1,BC486,0)</f>
        <v>0</v>
      </c>
      <c r="BI486" s="251">
        <f>IF(G486=1,BC486,0)</f>
        <v>0</v>
      </c>
      <c r="BJ486" s="251">
        <f>IF(H486=1,BC486,0)</f>
        <v>0</v>
      </c>
      <c r="BK486" s="251">
        <f>IF(I486=1,BC486,0)</f>
        <v>26791.8</v>
      </c>
      <c r="BL486" s="251">
        <f>IF(J486=1,BC486,0)</f>
        <v>0</v>
      </c>
      <c r="BM486" s="251">
        <f>IF(K486=1,BC486,0)</f>
        <v>0</v>
      </c>
    </row>
    <row r="487" spans="1:65" s="301" customFormat="1" x14ac:dyDescent="0.25">
      <c r="A487" s="289"/>
      <c r="B487" s="290" t="s">
        <v>242</v>
      </c>
      <c r="C487" s="278">
        <v>1</v>
      </c>
      <c r="D487" s="279"/>
      <c r="E487" s="279"/>
      <c r="F487" s="279"/>
      <c r="G487" s="279"/>
      <c r="H487" s="279"/>
      <c r="I487" s="279"/>
      <c r="J487" s="279">
        <v>1</v>
      </c>
      <c r="K487" s="279"/>
      <c r="L487" s="277"/>
      <c r="M487" s="280">
        <f t="shared" ref="M487:M494" si="383">M$35</f>
        <v>3028</v>
      </c>
      <c r="N487" s="281">
        <f t="shared" ref="N487:N494" si="384">N$29</f>
        <v>2</v>
      </c>
      <c r="O487" s="295">
        <v>1.7</v>
      </c>
      <c r="P487" s="282">
        <f t="shared" ref="P487:P494" si="385">P$244</f>
        <v>1.58</v>
      </c>
      <c r="Q487" s="293"/>
      <c r="R487" s="294">
        <f t="shared" si="371"/>
        <v>174</v>
      </c>
      <c r="S487" s="294">
        <f t="shared" si="372"/>
        <v>93.482758620689651</v>
      </c>
      <c r="T487" s="291">
        <f t="shared" si="373"/>
        <v>16266</v>
      </c>
      <c r="U487" s="297">
        <f t="shared" si="374"/>
        <v>16266</v>
      </c>
      <c r="V487" s="293"/>
      <c r="W487" s="298"/>
      <c r="X487" s="298">
        <f t="shared" si="375"/>
        <v>0</v>
      </c>
      <c r="Y487" s="293"/>
      <c r="Z487" s="293"/>
      <c r="AA487" s="298">
        <f>U487*Y487%</f>
        <v>0</v>
      </c>
      <c r="AB487" s="293"/>
      <c r="AC487" s="293"/>
      <c r="AD487" s="293"/>
      <c r="AE487" s="293"/>
      <c r="AF487" s="293"/>
      <c r="AG487" s="293"/>
      <c r="AH487" s="293"/>
      <c r="AI487" s="293"/>
      <c r="AJ487" s="293"/>
      <c r="AK487" s="277">
        <v>7</v>
      </c>
      <c r="AL487" s="293"/>
      <c r="AM487" s="298">
        <f>T487*AK487%*1</f>
        <v>1138.6200000000001</v>
      </c>
      <c r="AN487" s="293"/>
      <c r="AO487" s="293"/>
      <c r="AP487" s="293"/>
      <c r="AQ487" s="297">
        <f t="shared" si="376"/>
        <v>1138.6200000000001</v>
      </c>
      <c r="AR487" s="293">
        <f t="shared" ref="AR487:AR496" si="386">AR$29</f>
        <v>20</v>
      </c>
      <c r="AS487" s="293">
        <f t="shared" si="377"/>
        <v>3253.2000000000003</v>
      </c>
      <c r="AT487" s="294">
        <f t="shared" si="378"/>
        <v>3253.2000000000003</v>
      </c>
      <c r="AU487" s="293"/>
      <c r="AV487" s="293"/>
      <c r="AW487" s="293"/>
      <c r="AX487" s="294"/>
      <c r="AY487" s="431">
        <f>3723-BB487/5</f>
        <v>-408.56400000000031</v>
      </c>
      <c r="AZ487" s="431"/>
      <c r="BA487" s="297">
        <f t="shared" si="379"/>
        <v>3253.2000000000003</v>
      </c>
      <c r="BB487" s="297">
        <f t="shared" si="380"/>
        <v>20657.82</v>
      </c>
      <c r="BC487" s="297">
        <f t="shared" si="381"/>
        <v>20657.82</v>
      </c>
      <c r="BD487" s="299">
        <f>BC487/C487</f>
        <v>20657.82</v>
      </c>
      <c r="BE487" s="299"/>
      <c r="BF487" s="300">
        <f>IF(D487=1,BC487,0)</f>
        <v>0</v>
      </c>
      <c r="BG487" s="300">
        <f>IF(E487=1,BC487,0)</f>
        <v>0</v>
      </c>
      <c r="BH487" s="300">
        <f>IF(F487=1,BC487,0)</f>
        <v>0</v>
      </c>
      <c r="BI487" s="300">
        <f>IF(G487=1,BC487,0)</f>
        <v>0</v>
      </c>
      <c r="BJ487" s="300">
        <f>IF(H487=1,BC487,0)</f>
        <v>0</v>
      </c>
      <c r="BK487" s="300">
        <f>IF(I487=1,BC487,0)</f>
        <v>0</v>
      </c>
      <c r="BL487" s="300">
        <f>IF(J487=1,BC487,0)</f>
        <v>20657.82</v>
      </c>
      <c r="BM487" s="300">
        <f>IF(K487=1,BC487,0)</f>
        <v>0</v>
      </c>
    </row>
    <row r="488" spans="1:65" s="316" customFormat="1" x14ac:dyDescent="0.25">
      <c r="A488" s="306"/>
      <c r="B488" s="307" t="s">
        <v>229</v>
      </c>
      <c r="C488" s="329">
        <f>SUM(C482:C487)</f>
        <v>6</v>
      </c>
      <c r="D488" s="330"/>
      <c r="E488" s="330"/>
      <c r="F488" s="330"/>
      <c r="G488" s="330"/>
      <c r="H488" s="330"/>
      <c r="I488" s="330"/>
      <c r="J488" s="330"/>
      <c r="K488" s="330"/>
      <c r="L488" s="307"/>
      <c r="M488" s="331"/>
      <c r="N488" s="307"/>
      <c r="O488" s="307"/>
      <c r="P488" s="332"/>
      <c r="Q488" s="307"/>
      <c r="R488" s="331"/>
      <c r="S488" s="331"/>
      <c r="T488" s="465">
        <f>U488</f>
        <v>112908</v>
      </c>
      <c r="U488" s="329">
        <f>SUM(U482:U487)</f>
        <v>112908</v>
      </c>
      <c r="V488" s="329"/>
      <c r="W488" s="329">
        <f>SUM(W482:W487)</f>
        <v>0</v>
      </c>
      <c r="X488" s="329">
        <f>SUM(X482:X487)</f>
        <v>21529.200000000001</v>
      </c>
      <c r="Y488" s="329"/>
      <c r="Z488" s="329">
        <f>SUM(Z482:Z487)</f>
        <v>0</v>
      </c>
      <c r="AA488" s="329">
        <f>SUM(AA482:AA487)</f>
        <v>0</v>
      </c>
      <c r="AB488" s="329"/>
      <c r="AC488" s="329"/>
      <c r="AD488" s="329">
        <f>SUM(AD482:AD487)</f>
        <v>0</v>
      </c>
      <c r="AE488" s="329"/>
      <c r="AF488" s="329">
        <f>SUM(AF482:AF487)</f>
        <v>0</v>
      </c>
      <c r="AG488" s="329">
        <f>SUM(AG482:AG487)</f>
        <v>0</v>
      </c>
      <c r="AH488" s="329"/>
      <c r="AI488" s="329">
        <f>SUM(AI482:AI487)</f>
        <v>0</v>
      </c>
      <c r="AJ488" s="329">
        <f>SUM(AJ482:AJ487)</f>
        <v>0</v>
      </c>
      <c r="AK488" s="284"/>
      <c r="AL488" s="284">
        <f>SUM(AL482:AL485)</f>
        <v>0</v>
      </c>
      <c r="AM488" s="284">
        <f>SUM(AM482:AM487)</f>
        <v>7367.73</v>
      </c>
      <c r="AN488" s="329"/>
      <c r="AO488" s="329">
        <f>SUM(AO482:AO487)</f>
        <v>0</v>
      </c>
      <c r="AP488" s="329">
        <f>SUM(AP482:AP487)</f>
        <v>0</v>
      </c>
      <c r="AQ488" s="329">
        <f>SUM(AQ482:AQ487)</f>
        <v>28896.93</v>
      </c>
      <c r="AR488" s="329"/>
      <c r="AS488" s="329">
        <f>SUM(AS482:AS487)</f>
        <v>22581.600000000002</v>
      </c>
      <c r="AT488" s="329">
        <f>SUM(AT482:AT487)</f>
        <v>22581.600000000002</v>
      </c>
      <c r="AU488" s="329">
        <f>SUM(AU482:AU487)</f>
        <v>1</v>
      </c>
      <c r="AV488" s="284"/>
      <c r="AW488" s="284">
        <f>SUM(AW482:AW487)</f>
        <v>18180</v>
      </c>
      <c r="AX488" s="329"/>
      <c r="AY488" s="329">
        <f>SUM(AY482:AY487)</f>
        <v>-408.56400000000031</v>
      </c>
      <c r="AZ488" s="329">
        <f>SUM(AZ482:AZ487)</f>
        <v>0</v>
      </c>
      <c r="BA488" s="329">
        <f>SUM(BA482:BA487)</f>
        <v>40761.599999999999</v>
      </c>
      <c r="BB488" s="329">
        <f>SUM(BB482:BB487)</f>
        <v>182566.53</v>
      </c>
      <c r="BC488" s="329">
        <f>SUM(BC482:BC487)</f>
        <v>182566.53</v>
      </c>
      <c r="BD488" s="286">
        <f t="shared" si="382"/>
        <v>30427.755000000001</v>
      </c>
      <c r="BE488" s="286"/>
      <c r="BF488" s="316">
        <f t="shared" ref="BF488:BM488" si="387">SUM(BF482:BF485)</f>
        <v>0</v>
      </c>
      <c r="BG488" s="316">
        <f t="shared" si="387"/>
        <v>0</v>
      </c>
      <c r="BH488" s="316">
        <f t="shared" si="387"/>
        <v>0</v>
      </c>
      <c r="BI488" s="316">
        <f t="shared" si="387"/>
        <v>0</v>
      </c>
      <c r="BJ488" s="316">
        <f t="shared" si="387"/>
        <v>78184.56</v>
      </c>
      <c r="BK488" s="316">
        <f t="shared" si="387"/>
        <v>0</v>
      </c>
      <c r="BL488" s="316">
        <f t="shared" si="387"/>
        <v>0</v>
      </c>
      <c r="BM488" s="316">
        <f t="shared" si="387"/>
        <v>0</v>
      </c>
    </row>
    <row r="489" spans="1:65" s="287" customFormat="1" ht="18" customHeight="1" x14ac:dyDescent="0.25">
      <c r="A489" s="270"/>
      <c r="B489" s="334" t="s">
        <v>239</v>
      </c>
      <c r="C489" s="335"/>
      <c r="D489" s="335"/>
      <c r="E489" s="335"/>
      <c r="F489" s="335"/>
      <c r="G489" s="335"/>
      <c r="H489" s="335"/>
      <c r="I489" s="335"/>
      <c r="J489" s="335"/>
      <c r="K489" s="335"/>
      <c r="L489" s="335"/>
      <c r="M489" s="335"/>
      <c r="N489" s="335"/>
      <c r="O489" s="335"/>
      <c r="P489" s="335"/>
      <c r="Q489" s="335"/>
      <c r="R489" s="335"/>
      <c r="S489" s="335"/>
      <c r="T489" s="335"/>
      <c r="U489" s="335"/>
      <c r="V489" s="335"/>
      <c r="W489" s="335"/>
      <c r="X489" s="335"/>
      <c r="Y489" s="335"/>
      <c r="Z489" s="335"/>
      <c r="AA489" s="335"/>
      <c r="AB489" s="335"/>
      <c r="AC489" s="335"/>
      <c r="AD489" s="335"/>
      <c r="AE489" s="335"/>
      <c r="AF489" s="335"/>
      <c r="AG489" s="335"/>
      <c r="AH489" s="335"/>
      <c r="AI489" s="335"/>
      <c r="AJ489" s="335"/>
      <c r="AK489" s="336"/>
      <c r="AL489" s="336"/>
      <c r="AM489" s="336"/>
      <c r="AN489" s="335"/>
      <c r="AO489" s="335"/>
      <c r="AP489" s="335"/>
      <c r="AQ489" s="335"/>
      <c r="AR489" s="335"/>
      <c r="AS489" s="335"/>
      <c r="AT489" s="335"/>
      <c r="AU489" s="335"/>
      <c r="AV489" s="336"/>
      <c r="AW489" s="336"/>
      <c r="AX489" s="335"/>
      <c r="AY489" s="335"/>
      <c r="AZ489" s="335"/>
      <c r="BA489" s="335"/>
      <c r="BB489" s="335"/>
      <c r="BC489" s="362"/>
      <c r="BD489" s="286"/>
      <c r="BE489" s="286"/>
      <c r="BF489" s="338" t="e">
        <f>BC499-#REF!</f>
        <v>#REF!</v>
      </c>
    </row>
    <row r="490" spans="1:65" s="287" customFormat="1" x14ac:dyDescent="0.25">
      <c r="A490" s="276"/>
      <c r="B490" s="288" t="s">
        <v>240</v>
      </c>
      <c r="C490" s="278">
        <v>3</v>
      </c>
      <c r="D490" s="279"/>
      <c r="E490" s="279"/>
      <c r="F490" s="328"/>
      <c r="G490" s="328"/>
      <c r="H490" s="279">
        <v>1</v>
      </c>
      <c r="I490" s="328"/>
      <c r="J490" s="328"/>
      <c r="K490" s="279"/>
      <c r="L490" s="277">
        <v>4</v>
      </c>
      <c r="M490" s="280">
        <f t="shared" si="383"/>
        <v>3028</v>
      </c>
      <c r="N490" s="281">
        <f t="shared" si="384"/>
        <v>2</v>
      </c>
      <c r="O490" s="277">
        <v>1.43</v>
      </c>
      <c r="P490" s="282">
        <f t="shared" si="385"/>
        <v>1.58</v>
      </c>
      <c r="Q490" s="277"/>
      <c r="R490" s="280">
        <f t="shared" ref="R490:R497" si="388">$R$565</f>
        <v>174</v>
      </c>
      <c r="S490" s="280">
        <f t="shared" ref="S490:S495" si="389">T490/(R490/1)</f>
        <v>78.637931034482762</v>
      </c>
      <c r="T490" s="425">
        <f t="shared" ref="T490:T497" si="390">ROUND(M490*N490*O490*P490,0)</f>
        <v>13683</v>
      </c>
      <c r="U490" s="284">
        <f t="shared" ref="U490:U497" si="391">T490*C490</f>
        <v>41049</v>
      </c>
      <c r="V490" s="277">
        <v>16</v>
      </c>
      <c r="W490" s="285"/>
      <c r="X490" s="285">
        <f t="shared" ref="X490:X495" si="392">U490*V490%</f>
        <v>6567.84</v>
      </c>
      <c r="Y490" s="277">
        <v>4</v>
      </c>
      <c r="Z490" s="285"/>
      <c r="AA490" s="285">
        <f>U490*Y490%</f>
        <v>1641.96</v>
      </c>
      <c r="AB490" s="277"/>
      <c r="AC490" s="277"/>
      <c r="AD490" s="277"/>
      <c r="AE490" s="277"/>
      <c r="AF490" s="277"/>
      <c r="AG490" s="277"/>
      <c r="AH490" s="277"/>
      <c r="AI490" s="277"/>
      <c r="AJ490" s="277"/>
      <c r="AK490" s="277">
        <v>7</v>
      </c>
      <c r="AL490" s="277"/>
      <c r="AM490" s="285">
        <f>T490*AK490%*1</f>
        <v>957.81000000000006</v>
      </c>
      <c r="AN490" s="277"/>
      <c r="AO490" s="277"/>
      <c r="AP490" s="277"/>
      <c r="AQ490" s="284">
        <f t="shared" ref="AQ490:AQ498" si="393">X490+AA490+AD490+AG490+AJ490+AM490+AP490</f>
        <v>9167.6099999999988</v>
      </c>
      <c r="AR490" s="277">
        <f t="shared" si="386"/>
        <v>20</v>
      </c>
      <c r="AS490" s="277">
        <f t="shared" ref="AS490:AS497" si="394">AT490/C490</f>
        <v>2736.6000000000004</v>
      </c>
      <c r="AT490" s="280">
        <f t="shared" ref="AT490:AT497" si="395">(U490)*AR490%</f>
        <v>8209.8000000000011</v>
      </c>
      <c r="AU490" s="339"/>
      <c r="AV490" s="277">
        <v>100</v>
      </c>
      <c r="AW490" s="277">
        <f t="shared" ref="AW490:AW495" si="396">AU490*T490</f>
        <v>0</v>
      </c>
      <c r="AX490" s="277"/>
      <c r="AY490" s="277"/>
      <c r="AZ490" s="280"/>
      <c r="BA490" s="284">
        <f t="shared" ref="BA490:BA495" si="397">AT490+AW490+AZ490</f>
        <v>8209.8000000000011</v>
      </c>
      <c r="BB490" s="284">
        <f t="shared" ref="BB490:BB497" si="398">BC490/C490</f>
        <v>19475.47</v>
      </c>
      <c r="BC490" s="284">
        <f t="shared" ref="BC490:BC497" si="399">BA490+AQ490+U490</f>
        <v>58426.41</v>
      </c>
      <c r="BD490" s="286">
        <f t="shared" ref="BD490:BD497" si="400">BC490/C490</f>
        <v>19475.47</v>
      </c>
      <c r="BE490" s="286"/>
      <c r="BF490" s="241">
        <f t="shared" ref="BF490:BF497" si="401">IF(D490=1,BC490,0)</f>
        <v>0</v>
      </c>
      <c r="BG490" s="241">
        <f t="shared" ref="BG490:BG497" si="402">IF(E490=1,BC490,0)</f>
        <v>0</v>
      </c>
      <c r="BH490" s="241">
        <f t="shared" ref="BH490:BH497" si="403">IF(F490=1,BC490,0)</f>
        <v>0</v>
      </c>
      <c r="BI490" s="241">
        <f t="shared" ref="BI490:BI497" si="404">IF(G490=1,BC490,0)</f>
        <v>0</v>
      </c>
      <c r="BJ490" s="251">
        <f t="shared" ref="BJ490:BJ497" si="405">IF(H490=1,BC490,0)</f>
        <v>58426.41</v>
      </c>
      <c r="BK490" s="241">
        <f t="shared" ref="BK490:BK498" si="406">IF(I490=1,BC490,0)</f>
        <v>0</v>
      </c>
      <c r="BL490" s="241">
        <f t="shared" ref="BL490:BL498" si="407">IF(J490=1,BC490,0)</f>
        <v>0</v>
      </c>
      <c r="BM490" s="241">
        <f t="shared" ref="BM490:BM498" si="408">IF(K490=1,BC490,0)</f>
        <v>0</v>
      </c>
    </row>
    <row r="491" spans="1:65" s="287" customFormat="1" x14ac:dyDescent="0.25">
      <c r="A491" s="276"/>
      <c r="B491" s="288" t="s">
        <v>240</v>
      </c>
      <c r="C491" s="278">
        <v>8</v>
      </c>
      <c r="D491" s="279"/>
      <c r="E491" s="279"/>
      <c r="F491" s="328"/>
      <c r="G491" s="328"/>
      <c r="H491" s="279">
        <v>1</v>
      </c>
      <c r="I491" s="328"/>
      <c r="J491" s="328"/>
      <c r="K491" s="279"/>
      <c r="L491" s="277">
        <v>4</v>
      </c>
      <c r="M491" s="280">
        <f t="shared" si="383"/>
        <v>3028</v>
      </c>
      <c r="N491" s="281">
        <f t="shared" si="384"/>
        <v>2</v>
      </c>
      <c r="O491" s="277">
        <v>1.43</v>
      </c>
      <c r="P491" s="282">
        <f t="shared" si="385"/>
        <v>1.58</v>
      </c>
      <c r="Q491" s="277"/>
      <c r="R491" s="280">
        <f t="shared" si="388"/>
        <v>174</v>
      </c>
      <c r="S491" s="280">
        <f t="shared" si="389"/>
        <v>78.637931034482762</v>
      </c>
      <c r="T491" s="425">
        <f t="shared" si="390"/>
        <v>13683</v>
      </c>
      <c r="U491" s="284">
        <f t="shared" si="391"/>
        <v>109464</v>
      </c>
      <c r="V491" s="277">
        <v>16</v>
      </c>
      <c r="W491" s="285"/>
      <c r="X491" s="285">
        <f t="shared" si="392"/>
        <v>17514.240000000002</v>
      </c>
      <c r="Y491" s="277">
        <v>4</v>
      </c>
      <c r="Z491" s="285"/>
      <c r="AA491" s="285">
        <f>U491*Y491%</f>
        <v>4378.5600000000004</v>
      </c>
      <c r="AB491" s="277">
        <v>20</v>
      </c>
      <c r="AC491" s="277"/>
      <c r="AD491" s="340">
        <f>SUM([3]ночн.празд!T13:T13)</f>
        <v>4104.9000000000005</v>
      </c>
      <c r="AE491" s="341">
        <v>35</v>
      </c>
      <c r="AF491" s="340"/>
      <c r="AG491" s="340">
        <f>SUM([3]ночн.празд!U13:U13)</f>
        <v>14367.15</v>
      </c>
      <c r="AH491" s="341">
        <v>200</v>
      </c>
      <c r="AI491" s="340"/>
      <c r="AJ491" s="340">
        <f>SUM([3]ночн.празд!R13:S13)</f>
        <v>17103.75</v>
      </c>
      <c r="AK491" s="277"/>
      <c r="AL491" s="277"/>
      <c r="AM491" s="285">
        <f t="shared" ref="AM491:AM497" si="409">T491*AK491%*1</f>
        <v>0</v>
      </c>
      <c r="AN491" s="277"/>
      <c r="AO491" s="277"/>
      <c r="AP491" s="277"/>
      <c r="AQ491" s="284">
        <f t="shared" si="393"/>
        <v>57468.600000000006</v>
      </c>
      <c r="AR491" s="277">
        <f t="shared" si="386"/>
        <v>20</v>
      </c>
      <c r="AS491" s="277">
        <f t="shared" si="394"/>
        <v>2736.6000000000004</v>
      </c>
      <c r="AT491" s="280">
        <f t="shared" si="395"/>
        <v>21892.800000000003</v>
      </c>
      <c r="AU491" s="339">
        <v>1</v>
      </c>
      <c r="AV491" s="277">
        <v>100</v>
      </c>
      <c r="AW491" s="277">
        <f t="shared" si="396"/>
        <v>13683</v>
      </c>
      <c r="AX491" s="277"/>
      <c r="AY491" s="277"/>
      <c r="AZ491" s="280"/>
      <c r="BA491" s="284">
        <f t="shared" si="397"/>
        <v>35575.800000000003</v>
      </c>
      <c r="BB491" s="284">
        <f t="shared" si="398"/>
        <v>25313.550000000003</v>
      </c>
      <c r="BC491" s="284">
        <f t="shared" si="399"/>
        <v>202508.40000000002</v>
      </c>
      <c r="BD491" s="286">
        <f t="shared" si="400"/>
        <v>25313.550000000003</v>
      </c>
      <c r="BE491" s="286"/>
      <c r="BF491" s="241">
        <f t="shared" si="401"/>
        <v>0</v>
      </c>
      <c r="BG491" s="241">
        <f t="shared" si="402"/>
        <v>0</v>
      </c>
      <c r="BH491" s="241">
        <f t="shared" si="403"/>
        <v>0</v>
      </c>
      <c r="BI491" s="241">
        <f t="shared" si="404"/>
        <v>0</v>
      </c>
      <c r="BJ491" s="251">
        <f t="shared" si="405"/>
        <v>202508.40000000002</v>
      </c>
      <c r="BK491" s="241">
        <f t="shared" si="406"/>
        <v>0</v>
      </c>
      <c r="BL491" s="241">
        <f t="shared" si="407"/>
        <v>0</v>
      </c>
      <c r="BM491" s="241">
        <f t="shared" si="408"/>
        <v>0</v>
      </c>
    </row>
    <row r="492" spans="1:65" s="287" customFormat="1" x14ac:dyDescent="0.25">
      <c r="A492" s="276"/>
      <c r="B492" s="288" t="s">
        <v>240</v>
      </c>
      <c r="C492" s="278">
        <v>3</v>
      </c>
      <c r="D492" s="279"/>
      <c r="E492" s="279"/>
      <c r="F492" s="328"/>
      <c r="G492" s="328"/>
      <c r="H492" s="279">
        <v>1</v>
      </c>
      <c r="I492" s="328"/>
      <c r="J492" s="328"/>
      <c r="K492" s="279"/>
      <c r="L492" s="277">
        <v>5</v>
      </c>
      <c r="M492" s="280">
        <f t="shared" si="383"/>
        <v>3028</v>
      </c>
      <c r="N492" s="281">
        <f t="shared" si="384"/>
        <v>2</v>
      </c>
      <c r="O492" s="277">
        <v>1.67</v>
      </c>
      <c r="P492" s="282">
        <f t="shared" si="385"/>
        <v>1.58</v>
      </c>
      <c r="Q492" s="277"/>
      <c r="R492" s="280">
        <f t="shared" si="388"/>
        <v>174</v>
      </c>
      <c r="S492" s="280">
        <f t="shared" si="389"/>
        <v>91.833333333333329</v>
      </c>
      <c r="T492" s="425">
        <f t="shared" si="390"/>
        <v>15979</v>
      </c>
      <c r="U492" s="284">
        <f t="shared" si="391"/>
        <v>47937</v>
      </c>
      <c r="V492" s="277">
        <v>20</v>
      </c>
      <c r="W492" s="285"/>
      <c r="X492" s="285">
        <f t="shared" si="392"/>
        <v>9587.4</v>
      </c>
      <c r="Y492" s="277">
        <v>4</v>
      </c>
      <c r="Z492" s="285"/>
      <c r="AA492" s="285">
        <f>U492*Y492%</f>
        <v>1917.48</v>
      </c>
      <c r="AB492" s="277"/>
      <c r="AC492" s="277"/>
      <c r="AD492" s="277"/>
      <c r="AE492" s="277"/>
      <c r="AF492" s="277"/>
      <c r="AG492" s="277"/>
      <c r="AH492" s="277"/>
      <c r="AI492" s="277"/>
      <c r="AJ492" s="277"/>
      <c r="AK492" s="277">
        <f>(10+10+15)/3</f>
        <v>11.666666666666666</v>
      </c>
      <c r="AL492" s="277"/>
      <c r="AM492" s="342">
        <f>3*T492*AK492%*1</f>
        <v>5592.65</v>
      </c>
      <c r="AN492" s="277"/>
      <c r="AO492" s="277"/>
      <c r="AP492" s="277"/>
      <c r="AQ492" s="284">
        <f t="shared" si="393"/>
        <v>17097.53</v>
      </c>
      <c r="AR492" s="277">
        <f t="shared" si="386"/>
        <v>20</v>
      </c>
      <c r="AS492" s="277">
        <f t="shared" si="394"/>
        <v>3195.7999999999997</v>
      </c>
      <c r="AT492" s="280">
        <f t="shared" si="395"/>
        <v>9587.4</v>
      </c>
      <c r="AU492" s="277"/>
      <c r="AV492" s="277">
        <v>100</v>
      </c>
      <c r="AW492" s="277">
        <f t="shared" si="396"/>
        <v>0</v>
      </c>
      <c r="AX492" s="277"/>
      <c r="AY492" s="277"/>
      <c r="AZ492" s="280"/>
      <c r="BA492" s="284">
        <f t="shared" si="397"/>
        <v>9587.4</v>
      </c>
      <c r="BB492" s="284">
        <f t="shared" si="398"/>
        <v>24873.976666666666</v>
      </c>
      <c r="BC492" s="284">
        <f t="shared" si="399"/>
        <v>74621.929999999993</v>
      </c>
      <c r="BD492" s="286">
        <f t="shared" si="400"/>
        <v>24873.976666666666</v>
      </c>
      <c r="BE492" s="286"/>
      <c r="BF492" s="241">
        <f t="shared" si="401"/>
        <v>0</v>
      </c>
      <c r="BG492" s="241">
        <f t="shared" si="402"/>
        <v>0</v>
      </c>
      <c r="BH492" s="241">
        <f t="shared" si="403"/>
        <v>0</v>
      </c>
      <c r="BI492" s="241">
        <f t="shared" si="404"/>
        <v>0</v>
      </c>
      <c r="BJ492" s="251">
        <f t="shared" si="405"/>
        <v>74621.929999999993</v>
      </c>
      <c r="BK492" s="241">
        <f t="shared" si="406"/>
        <v>0</v>
      </c>
      <c r="BL492" s="241">
        <f t="shared" si="407"/>
        <v>0</v>
      </c>
      <c r="BM492" s="241">
        <f t="shared" si="408"/>
        <v>0</v>
      </c>
    </row>
    <row r="493" spans="1:65" s="287" customFormat="1" x14ac:dyDescent="0.25">
      <c r="A493" s="276"/>
      <c r="B493" s="288" t="s">
        <v>240</v>
      </c>
      <c r="C493" s="278">
        <v>4</v>
      </c>
      <c r="D493" s="279"/>
      <c r="E493" s="279"/>
      <c r="F493" s="328"/>
      <c r="G493" s="328"/>
      <c r="H493" s="279">
        <v>1</v>
      </c>
      <c r="I493" s="328"/>
      <c r="J493" s="328"/>
      <c r="K493" s="279"/>
      <c r="L493" s="277">
        <v>5</v>
      </c>
      <c r="M493" s="280">
        <f t="shared" si="383"/>
        <v>3028</v>
      </c>
      <c r="N493" s="281">
        <f t="shared" si="384"/>
        <v>2</v>
      </c>
      <c r="O493" s="277">
        <v>1.67</v>
      </c>
      <c r="P493" s="282">
        <f t="shared" si="385"/>
        <v>1.58</v>
      </c>
      <c r="Q493" s="277"/>
      <c r="R493" s="280">
        <f t="shared" si="388"/>
        <v>174</v>
      </c>
      <c r="S493" s="280">
        <f t="shared" si="389"/>
        <v>91.833333333333329</v>
      </c>
      <c r="T493" s="425">
        <f t="shared" si="390"/>
        <v>15979</v>
      </c>
      <c r="U493" s="284">
        <f t="shared" si="391"/>
        <v>63916</v>
      </c>
      <c r="V493" s="277">
        <v>20</v>
      </c>
      <c r="W493" s="285"/>
      <c r="X493" s="285">
        <f t="shared" si="392"/>
        <v>12783.2</v>
      </c>
      <c r="Y493" s="277">
        <v>4</v>
      </c>
      <c r="Z493" s="285"/>
      <c r="AA493" s="285">
        <f>U493*Y493%</f>
        <v>2556.64</v>
      </c>
      <c r="AB493" s="277">
        <v>20</v>
      </c>
      <c r="AC493" s="277"/>
      <c r="AD493" s="285">
        <f>SUM([3]ночн.празд!L13:L13)</f>
        <v>2396.85</v>
      </c>
      <c r="AE493" s="277">
        <v>35</v>
      </c>
      <c r="AF493" s="285"/>
      <c r="AG493" s="285">
        <f>SUM([3]ночн.празд!M13:M13)</f>
        <v>8388.9750000000004</v>
      </c>
      <c r="AH493" s="277">
        <v>200</v>
      </c>
      <c r="AI493" s="285"/>
      <c r="AJ493" s="285">
        <f>SUM([3]ночн.празд!J13:K13)</f>
        <v>9986.875</v>
      </c>
      <c r="AK493" s="277">
        <f>(7+7)/2</f>
        <v>7</v>
      </c>
      <c r="AL493" s="277"/>
      <c r="AM493" s="285">
        <f>2*T493*AK493%*1</f>
        <v>2237.0600000000004</v>
      </c>
      <c r="AN493" s="277"/>
      <c r="AO493" s="277"/>
      <c r="AP493" s="277"/>
      <c r="AQ493" s="284">
        <f t="shared" si="393"/>
        <v>38349.599999999999</v>
      </c>
      <c r="AR493" s="277">
        <f t="shared" si="386"/>
        <v>20</v>
      </c>
      <c r="AS493" s="277">
        <f t="shared" si="394"/>
        <v>3195.8</v>
      </c>
      <c r="AT493" s="280">
        <f t="shared" si="395"/>
        <v>12783.2</v>
      </c>
      <c r="AU493" s="339"/>
      <c r="AV493" s="277">
        <v>100</v>
      </c>
      <c r="AW493" s="277">
        <f t="shared" si="396"/>
        <v>0</v>
      </c>
      <c r="AX493" s="277"/>
      <c r="AY493" s="277"/>
      <c r="AZ493" s="280"/>
      <c r="BA493" s="284">
        <f t="shared" si="397"/>
        <v>12783.2</v>
      </c>
      <c r="BB493" s="284">
        <f t="shared" si="398"/>
        <v>28762.2</v>
      </c>
      <c r="BC493" s="284">
        <f t="shared" si="399"/>
        <v>115048.8</v>
      </c>
      <c r="BD493" s="286">
        <f t="shared" si="400"/>
        <v>28762.2</v>
      </c>
      <c r="BE493" s="286"/>
      <c r="BF493" s="241">
        <f t="shared" si="401"/>
        <v>0</v>
      </c>
      <c r="BG493" s="241">
        <f t="shared" si="402"/>
        <v>0</v>
      </c>
      <c r="BH493" s="241">
        <f t="shared" si="403"/>
        <v>0</v>
      </c>
      <c r="BI493" s="241">
        <f t="shared" si="404"/>
        <v>0</v>
      </c>
      <c r="BJ493" s="251">
        <f t="shared" si="405"/>
        <v>115048.8</v>
      </c>
      <c r="BK493" s="241">
        <f t="shared" si="406"/>
        <v>0</v>
      </c>
      <c r="BL493" s="241">
        <f t="shared" si="407"/>
        <v>0</v>
      </c>
      <c r="BM493" s="241">
        <f t="shared" si="408"/>
        <v>0</v>
      </c>
    </row>
    <row r="494" spans="1:65" s="287" customFormat="1" x14ac:dyDescent="0.25">
      <c r="A494" s="276"/>
      <c r="B494" s="288" t="s">
        <v>241</v>
      </c>
      <c r="C494" s="278">
        <v>2</v>
      </c>
      <c r="D494" s="279"/>
      <c r="E494" s="279"/>
      <c r="F494" s="328"/>
      <c r="G494" s="328"/>
      <c r="H494" s="279">
        <v>1</v>
      </c>
      <c r="I494" s="328"/>
      <c r="J494" s="328"/>
      <c r="K494" s="279"/>
      <c r="L494" s="277">
        <v>5</v>
      </c>
      <c r="M494" s="280">
        <f t="shared" si="383"/>
        <v>3028</v>
      </c>
      <c r="N494" s="281">
        <f t="shared" si="384"/>
        <v>2</v>
      </c>
      <c r="O494" s="277">
        <v>1.67</v>
      </c>
      <c r="P494" s="282">
        <f t="shared" si="385"/>
        <v>1.58</v>
      </c>
      <c r="Q494" s="277"/>
      <c r="R494" s="280">
        <f t="shared" si="388"/>
        <v>174</v>
      </c>
      <c r="S494" s="280">
        <f t="shared" si="389"/>
        <v>91.833333333333329</v>
      </c>
      <c r="T494" s="425">
        <f t="shared" si="390"/>
        <v>15979</v>
      </c>
      <c r="U494" s="284">
        <f t="shared" si="391"/>
        <v>31958</v>
      </c>
      <c r="V494" s="277">
        <v>20</v>
      </c>
      <c r="W494" s="285"/>
      <c r="X494" s="285">
        <f t="shared" si="392"/>
        <v>6391.6</v>
      </c>
      <c r="Y494" s="277">
        <v>8</v>
      </c>
      <c r="Z494" s="285"/>
      <c r="AA494" s="285">
        <f>U494*Y494%</f>
        <v>2556.64</v>
      </c>
      <c r="AB494" s="277"/>
      <c r="AC494" s="277"/>
      <c r="AD494" s="277"/>
      <c r="AE494" s="277"/>
      <c r="AF494" s="277"/>
      <c r="AG494" s="277"/>
      <c r="AH494" s="277"/>
      <c r="AI494" s="277"/>
      <c r="AJ494" s="277"/>
      <c r="AK494" s="277">
        <f>(30+10)/2</f>
        <v>20</v>
      </c>
      <c r="AL494" s="277"/>
      <c r="AM494" s="342">
        <f>2*T494*AK494%*1</f>
        <v>6391.6</v>
      </c>
      <c r="AN494" s="277"/>
      <c r="AO494" s="277"/>
      <c r="AP494" s="277"/>
      <c r="AQ494" s="284">
        <f t="shared" si="393"/>
        <v>15339.84</v>
      </c>
      <c r="AR494" s="277">
        <f t="shared" si="386"/>
        <v>20</v>
      </c>
      <c r="AS494" s="277">
        <f t="shared" si="394"/>
        <v>3195.8</v>
      </c>
      <c r="AT494" s="280">
        <f t="shared" si="395"/>
        <v>6391.6</v>
      </c>
      <c r="AU494" s="277"/>
      <c r="AV494" s="277">
        <v>100</v>
      </c>
      <c r="AW494" s="277">
        <f t="shared" si="396"/>
        <v>0</v>
      </c>
      <c r="AX494" s="277"/>
      <c r="AY494" s="277"/>
      <c r="AZ494" s="280"/>
      <c r="BA494" s="284">
        <f t="shared" si="397"/>
        <v>6391.6</v>
      </c>
      <c r="BB494" s="284">
        <f t="shared" si="398"/>
        <v>26844.720000000001</v>
      </c>
      <c r="BC494" s="284">
        <f t="shared" si="399"/>
        <v>53689.440000000002</v>
      </c>
      <c r="BD494" s="286">
        <f t="shared" si="400"/>
        <v>26844.720000000001</v>
      </c>
      <c r="BE494" s="286"/>
      <c r="BF494" s="251">
        <f t="shared" si="401"/>
        <v>0</v>
      </c>
      <c r="BG494" s="251">
        <f t="shared" si="402"/>
        <v>0</v>
      </c>
      <c r="BH494" s="251">
        <f t="shared" si="403"/>
        <v>0</v>
      </c>
      <c r="BI494" s="251">
        <f t="shared" si="404"/>
        <v>0</v>
      </c>
      <c r="BJ494" s="251">
        <f t="shared" si="405"/>
        <v>53689.440000000002</v>
      </c>
      <c r="BK494" s="251">
        <f t="shared" si="406"/>
        <v>0</v>
      </c>
      <c r="BL494" s="251">
        <f t="shared" si="407"/>
        <v>0</v>
      </c>
      <c r="BM494" s="251">
        <f t="shared" si="408"/>
        <v>0</v>
      </c>
    </row>
    <row r="495" spans="1:65" x14ac:dyDescent="0.25">
      <c r="A495" s="344"/>
      <c r="B495" s="288" t="s">
        <v>243</v>
      </c>
      <c r="C495" s="278">
        <v>1</v>
      </c>
      <c r="D495" s="279"/>
      <c r="E495" s="279"/>
      <c r="F495" s="328"/>
      <c r="G495" s="328"/>
      <c r="H495" s="279">
        <v>1</v>
      </c>
      <c r="I495" s="328"/>
      <c r="J495" s="328"/>
      <c r="K495" s="279"/>
      <c r="L495" s="277"/>
      <c r="M495" s="280">
        <f>M$454</f>
        <v>3028</v>
      </c>
      <c r="N495" s="281">
        <f>N$244</f>
        <v>2</v>
      </c>
      <c r="O495" s="277">
        <v>1.86</v>
      </c>
      <c r="P495" s="302">
        <v>1</v>
      </c>
      <c r="Q495" s="277"/>
      <c r="R495" s="280">
        <f t="shared" si="388"/>
        <v>174</v>
      </c>
      <c r="S495" s="280">
        <f t="shared" si="389"/>
        <v>64.735632183908052</v>
      </c>
      <c r="T495" s="425">
        <f t="shared" si="390"/>
        <v>11264</v>
      </c>
      <c r="U495" s="284">
        <f t="shared" si="391"/>
        <v>11264</v>
      </c>
      <c r="V495" s="277"/>
      <c r="W495" s="285"/>
      <c r="X495" s="285">
        <f t="shared" si="392"/>
        <v>0</v>
      </c>
      <c r="Y495" s="277"/>
      <c r="Z495" s="277"/>
      <c r="AA495" s="277"/>
      <c r="AB495" s="345"/>
      <c r="AC495" s="345"/>
      <c r="AD495" s="345"/>
      <c r="AE495" s="345"/>
      <c r="AF495" s="345"/>
      <c r="AG495" s="345"/>
      <c r="AH495" s="345"/>
      <c r="AI495" s="345"/>
      <c r="AJ495" s="345"/>
      <c r="AK495" s="277"/>
      <c r="AL495" s="285"/>
      <c r="AM495" s="285">
        <f t="shared" si="409"/>
        <v>0</v>
      </c>
      <c r="AN495" s="277">
        <v>25</v>
      </c>
      <c r="AO495" s="285"/>
      <c r="AP495" s="285">
        <f>U495*AN495%</f>
        <v>2816</v>
      </c>
      <c r="AQ495" s="284">
        <f t="shared" si="393"/>
        <v>2816</v>
      </c>
      <c r="AR495" s="277">
        <f t="shared" si="386"/>
        <v>20</v>
      </c>
      <c r="AS495" s="277">
        <f t="shared" si="394"/>
        <v>2252.8000000000002</v>
      </c>
      <c r="AT495" s="280">
        <f t="shared" si="395"/>
        <v>2252.8000000000002</v>
      </c>
      <c r="AU495" s="277"/>
      <c r="AV495" s="277">
        <v>100</v>
      </c>
      <c r="AW495" s="277">
        <f t="shared" si="396"/>
        <v>0</v>
      </c>
      <c r="AX495" s="277"/>
      <c r="AY495" s="277"/>
      <c r="AZ495" s="304">
        <v>0</v>
      </c>
      <c r="BA495" s="284">
        <f t="shared" si="397"/>
        <v>2252.8000000000002</v>
      </c>
      <c r="BB495" s="284">
        <f t="shared" si="398"/>
        <v>16332.8</v>
      </c>
      <c r="BC495" s="284">
        <f t="shared" si="399"/>
        <v>16332.8</v>
      </c>
      <c r="BD495" s="286">
        <f t="shared" si="400"/>
        <v>16332.8</v>
      </c>
      <c r="BE495" s="286"/>
      <c r="BF495" s="251">
        <f t="shared" si="401"/>
        <v>0</v>
      </c>
      <c r="BG495" s="251">
        <f t="shared" si="402"/>
        <v>0</v>
      </c>
      <c r="BH495" s="251">
        <f t="shared" si="403"/>
        <v>0</v>
      </c>
      <c r="BI495" s="251">
        <f t="shared" si="404"/>
        <v>0</v>
      </c>
      <c r="BJ495" s="251">
        <f t="shared" si="405"/>
        <v>16332.8</v>
      </c>
      <c r="BK495" s="251">
        <f t="shared" si="406"/>
        <v>0</v>
      </c>
      <c r="BL495" s="251">
        <f t="shared" si="407"/>
        <v>0</v>
      </c>
      <c r="BM495" s="251">
        <f t="shared" si="408"/>
        <v>0</v>
      </c>
    </row>
    <row r="496" spans="1:65" x14ac:dyDescent="0.25">
      <c r="A496" s="344"/>
      <c r="B496" s="288" t="s">
        <v>243</v>
      </c>
      <c r="C496" s="278">
        <v>1</v>
      </c>
      <c r="D496" s="279"/>
      <c r="E496" s="279"/>
      <c r="F496" s="328"/>
      <c r="G496" s="328"/>
      <c r="H496" s="279">
        <v>1</v>
      </c>
      <c r="I496" s="328"/>
      <c r="J496" s="328"/>
      <c r="K496" s="279"/>
      <c r="L496" s="277"/>
      <c r="M496" s="280">
        <f>M$454</f>
        <v>3028</v>
      </c>
      <c r="N496" s="281">
        <f>N$244</f>
        <v>2</v>
      </c>
      <c r="O496" s="277">
        <v>1.8</v>
      </c>
      <c r="P496" s="302">
        <v>1</v>
      </c>
      <c r="Q496" s="277"/>
      <c r="R496" s="280">
        <f t="shared" si="388"/>
        <v>174</v>
      </c>
      <c r="S496" s="280">
        <f>T496/(R496/1)</f>
        <v>62.649425287356323</v>
      </c>
      <c r="T496" s="425">
        <f t="shared" si="390"/>
        <v>10901</v>
      </c>
      <c r="U496" s="284">
        <f t="shared" si="391"/>
        <v>10901</v>
      </c>
      <c r="V496" s="277"/>
      <c r="W496" s="285"/>
      <c r="X496" s="285">
        <f>U496*V496%</f>
        <v>0</v>
      </c>
      <c r="Y496" s="277"/>
      <c r="Z496" s="277"/>
      <c r="AA496" s="277"/>
      <c r="AB496" s="345"/>
      <c r="AC496" s="345"/>
      <c r="AD496" s="345"/>
      <c r="AE496" s="345"/>
      <c r="AF496" s="345"/>
      <c r="AG496" s="345"/>
      <c r="AH496" s="345"/>
      <c r="AI496" s="345"/>
      <c r="AJ496" s="345"/>
      <c r="AK496" s="277">
        <v>7</v>
      </c>
      <c r="AL496" s="285"/>
      <c r="AM496" s="285">
        <f t="shared" si="409"/>
        <v>763.07</v>
      </c>
      <c r="AN496" s="277">
        <v>25</v>
      </c>
      <c r="AO496" s="285"/>
      <c r="AP496" s="285">
        <f>U496*AN496%</f>
        <v>2725.25</v>
      </c>
      <c r="AQ496" s="284">
        <f t="shared" si="393"/>
        <v>3488.32</v>
      </c>
      <c r="AR496" s="277">
        <f t="shared" si="386"/>
        <v>20</v>
      </c>
      <c r="AS496" s="277">
        <f t="shared" si="394"/>
        <v>2180.2000000000003</v>
      </c>
      <c r="AT496" s="280">
        <f t="shared" si="395"/>
        <v>2180.2000000000003</v>
      </c>
      <c r="AU496" s="277"/>
      <c r="AV496" s="277"/>
      <c r="AW496" s="277"/>
      <c r="AX496" s="277"/>
      <c r="AY496" s="277"/>
      <c r="AZ496" s="304">
        <v>0</v>
      </c>
      <c r="BA496" s="284">
        <f>AT496+AW496+AZ496</f>
        <v>2180.2000000000003</v>
      </c>
      <c r="BB496" s="284">
        <f t="shared" si="398"/>
        <v>16569.52</v>
      </c>
      <c r="BC496" s="284">
        <f t="shared" si="399"/>
        <v>16569.52</v>
      </c>
      <c r="BD496" s="286">
        <f t="shared" si="400"/>
        <v>16569.52</v>
      </c>
      <c r="BE496" s="286"/>
      <c r="BF496" s="251">
        <f t="shared" si="401"/>
        <v>0</v>
      </c>
      <c r="BG496" s="251">
        <f t="shared" si="402"/>
        <v>0</v>
      </c>
      <c r="BH496" s="251">
        <f t="shared" si="403"/>
        <v>0</v>
      </c>
      <c r="BI496" s="251">
        <f t="shared" si="404"/>
        <v>0</v>
      </c>
      <c r="BJ496" s="251">
        <f t="shared" si="405"/>
        <v>16569.52</v>
      </c>
      <c r="BK496" s="251">
        <f t="shared" si="406"/>
        <v>0</v>
      </c>
      <c r="BL496" s="251">
        <f t="shared" si="407"/>
        <v>0</v>
      </c>
      <c r="BM496" s="251">
        <f t="shared" si="408"/>
        <v>0</v>
      </c>
    </row>
    <row r="497" spans="1:66" x14ac:dyDescent="0.25">
      <c r="A497" s="344"/>
      <c r="B497" s="288" t="s">
        <v>244</v>
      </c>
      <c r="C497" s="278">
        <v>1</v>
      </c>
      <c r="D497" s="279"/>
      <c r="E497" s="279"/>
      <c r="F497" s="328"/>
      <c r="G497" s="328"/>
      <c r="H497" s="279">
        <v>1</v>
      </c>
      <c r="I497" s="328"/>
      <c r="J497" s="328"/>
      <c r="K497" s="279"/>
      <c r="L497" s="277">
        <v>5</v>
      </c>
      <c r="M497" s="280">
        <f>M$454</f>
        <v>3028</v>
      </c>
      <c r="N497" s="281">
        <f>N$244</f>
        <v>2</v>
      </c>
      <c r="O497" s="277">
        <v>1.67</v>
      </c>
      <c r="P497" s="282">
        <f>P$244</f>
        <v>1.58</v>
      </c>
      <c r="Q497" s="277"/>
      <c r="R497" s="280">
        <f t="shared" si="388"/>
        <v>174</v>
      </c>
      <c r="S497" s="280">
        <f>T497/(R497/1)</f>
        <v>91.833333333333329</v>
      </c>
      <c r="T497" s="425">
        <f t="shared" si="390"/>
        <v>15979</v>
      </c>
      <c r="U497" s="284">
        <f t="shared" si="391"/>
        <v>15979</v>
      </c>
      <c r="V497" s="277">
        <v>20</v>
      </c>
      <c r="W497" s="285"/>
      <c r="X497" s="285">
        <f>U497*V497%</f>
        <v>3195.8</v>
      </c>
      <c r="Y497" s="277"/>
      <c r="Z497" s="277"/>
      <c r="AA497" s="277"/>
      <c r="AB497" s="345"/>
      <c r="AC497" s="345"/>
      <c r="AD497" s="345"/>
      <c r="AE497" s="345"/>
      <c r="AF497" s="345"/>
      <c r="AG497" s="345"/>
      <c r="AH497" s="345"/>
      <c r="AI497" s="345"/>
      <c r="AJ497" s="345"/>
      <c r="AK497" s="277">
        <v>15</v>
      </c>
      <c r="AL497" s="277"/>
      <c r="AM497" s="285">
        <f t="shared" si="409"/>
        <v>2396.85</v>
      </c>
      <c r="AN497" s="345"/>
      <c r="AO497" s="345"/>
      <c r="AP497" s="345"/>
      <c r="AQ497" s="284">
        <f t="shared" si="393"/>
        <v>5592.65</v>
      </c>
      <c r="AR497" s="277">
        <v>20</v>
      </c>
      <c r="AS497" s="277">
        <f t="shared" si="394"/>
        <v>3195.8</v>
      </c>
      <c r="AT497" s="280">
        <f t="shared" si="395"/>
        <v>3195.8</v>
      </c>
      <c r="AU497" s="277"/>
      <c r="AV497" s="277">
        <v>100</v>
      </c>
      <c r="AW497" s="277">
        <f>AU497*T497</f>
        <v>0</v>
      </c>
      <c r="AX497" s="277"/>
      <c r="AY497" s="277"/>
      <c r="AZ497" s="280"/>
      <c r="BA497" s="284">
        <f>AT497+AW497+AZ497</f>
        <v>3195.8</v>
      </c>
      <c r="BB497" s="284">
        <f t="shared" si="398"/>
        <v>24767.45</v>
      </c>
      <c r="BC497" s="284">
        <f t="shared" si="399"/>
        <v>24767.45</v>
      </c>
      <c r="BD497" s="286">
        <f t="shared" si="400"/>
        <v>24767.45</v>
      </c>
      <c r="BE497" s="286"/>
      <c r="BF497" s="251">
        <f t="shared" si="401"/>
        <v>0</v>
      </c>
      <c r="BG497" s="251">
        <f t="shared" si="402"/>
        <v>0</v>
      </c>
      <c r="BH497" s="251">
        <f t="shared" si="403"/>
        <v>0</v>
      </c>
      <c r="BI497" s="251">
        <f t="shared" si="404"/>
        <v>0</v>
      </c>
      <c r="BJ497" s="251">
        <f t="shared" si="405"/>
        <v>24767.45</v>
      </c>
      <c r="BK497" s="251">
        <f t="shared" si="406"/>
        <v>0</v>
      </c>
      <c r="BL497" s="251">
        <f t="shared" si="407"/>
        <v>0</v>
      </c>
      <c r="BM497" s="251">
        <f t="shared" si="408"/>
        <v>0</v>
      </c>
    </row>
    <row r="498" spans="1:66" ht="8.25" customHeight="1" x14ac:dyDescent="0.25">
      <c r="A498" s="344"/>
      <c r="B498" s="346" t="s">
        <v>245</v>
      </c>
      <c r="C498" s="345"/>
      <c r="D498" s="328"/>
      <c r="E498" s="328"/>
      <c r="F498" s="328"/>
      <c r="G498" s="328"/>
      <c r="H498" s="328"/>
      <c r="I498" s="328"/>
      <c r="J498" s="328"/>
      <c r="K498" s="328"/>
      <c r="L498" s="345"/>
      <c r="M498" s="347"/>
      <c r="N498" s="345"/>
      <c r="O498" s="345"/>
      <c r="P498" s="345"/>
      <c r="Q498" s="345"/>
      <c r="R498" s="347"/>
      <c r="S498" s="347"/>
      <c r="T498" s="345"/>
      <c r="U498" s="348"/>
      <c r="V498" s="345"/>
      <c r="W498" s="345"/>
      <c r="X498" s="345"/>
      <c r="Y498" s="345"/>
      <c r="Z498" s="345"/>
      <c r="AA498" s="345"/>
      <c r="AB498" s="345"/>
      <c r="AC498" s="345"/>
      <c r="AD498" s="345"/>
      <c r="AE498" s="345"/>
      <c r="AF498" s="345"/>
      <c r="AG498" s="345"/>
      <c r="AH498" s="345"/>
      <c r="AI498" s="345"/>
      <c r="AJ498" s="345"/>
      <c r="AK498" s="345"/>
      <c r="AL498" s="345"/>
      <c r="AM498" s="345"/>
      <c r="AN498" s="345"/>
      <c r="AO498" s="345"/>
      <c r="AP498" s="345"/>
      <c r="AQ498" s="284">
        <f t="shared" si="393"/>
        <v>0</v>
      </c>
      <c r="AR498" s="345"/>
      <c r="AS498" s="345"/>
      <c r="AT498" s="347"/>
      <c r="AU498" s="345"/>
      <c r="AV498" s="345"/>
      <c r="AW498" s="345"/>
      <c r="AX498" s="345"/>
      <c r="AY498" s="345"/>
      <c r="AZ498" s="347"/>
      <c r="BA498" s="330"/>
      <c r="BB498" s="330"/>
      <c r="BC498" s="330"/>
      <c r="BD498" s="286"/>
      <c r="BE498" s="286"/>
      <c r="BK498" s="241">
        <f t="shared" si="406"/>
        <v>0</v>
      </c>
      <c r="BL498" s="241">
        <f t="shared" si="407"/>
        <v>0</v>
      </c>
      <c r="BM498" s="241">
        <f t="shared" si="408"/>
        <v>0</v>
      </c>
    </row>
    <row r="499" spans="1:66" s="316" customFormat="1" ht="17.25" customHeight="1" x14ac:dyDescent="0.25">
      <c r="A499" s="306"/>
      <c r="B499" s="307" t="s">
        <v>229</v>
      </c>
      <c r="C499" s="308">
        <f>SUM(C490:C497)</f>
        <v>23</v>
      </c>
      <c r="D499" s="309"/>
      <c r="E499" s="309"/>
      <c r="F499" s="309"/>
      <c r="G499" s="309"/>
      <c r="H499" s="309"/>
      <c r="I499" s="309"/>
      <c r="J499" s="309"/>
      <c r="K499" s="309"/>
      <c r="L499" s="309"/>
      <c r="M499" s="310"/>
      <c r="N499" s="309"/>
      <c r="O499" s="309"/>
      <c r="P499" s="309"/>
      <c r="Q499" s="309"/>
      <c r="R499" s="310"/>
      <c r="S499" s="310"/>
      <c r="T499" s="349">
        <f>U499</f>
        <v>332468</v>
      </c>
      <c r="U499" s="329">
        <f>SUM(U490:U498)</f>
        <v>332468</v>
      </c>
      <c r="V499" s="309"/>
      <c r="W499" s="309"/>
      <c r="X499" s="329">
        <f>SUM(X490:X497)</f>
        <v>56040.080000000009</v>
      </c>
      <c r="Y499" s="329"/>
      <c r="Z499" s="329"/>
      <c r="AA499" s="329">
        <f>SUM(AA490:AA497)</f>
        <v>13051.279999999999</v>
      </c>
      <c r="AB499" s="329"/>
      <c r="AC499" s="329"/>
      <c r="AD499" s="329">
        <f>SUM(AD490:AD497)</f>
        <v>6501.75</v>
      </c>
      <c r="AE499" s="329"/>
      <c r="AF499" s="329"/>
      <c r="AG499" s="329">
        <f>SUM(AG490:AG497)</f>
        <v>22756.125</v>
      </c>
      <c r="AH499" s="329"/>
      <c r="AI499" s="329"/>
      <c r="AJ499" s="329">
        <f>SUM(AJ490:AJ497)</f>
        <v>27090.625</v>
      </c>
      <c r="AK499" s="329"/>
      <c r="AL499" s="329"/>
      <c r="AM499" s="329">
        <f>SUM(AM490:AM497)</f>
        <v>18339.04</v>
      </c>
      <c r="AN499" s="329"/>
      <c r="AO499" s="329"/>
      <c r="AP499" s="329">
        <f>SUM(AP490:AP497)</f>
        <v>5541.25</v>
      </c>
      <c r="AQ499" s="329">
        <f>SUM(AQ490:AQ497)</f>
        <v>149320.15</v>
      </c>
      <c r="AR499" s="329"/>
      <c r="AS499" s="329">
        <f>SUM(AS490:AS497)</f>
        <v>22689.399999999998</v>
      </c>
      <c r="AT499" s="329">
        <f>SUM(AT490:AT497)</f>
        <v>66493.600000000006</v>
      </c>
      <c r="AU499" s="329">
        <f>SUM(AU490:AU497)</f>
        <v>1</v>
      </c>
      <c r="AV499" s="329"/>
      <c r="AW499" s="329">
        <f>SUM(AW490:AW497)</f>
        <v>13683</v>
      </c>
      <c r="AX499" s="329"/>
      <c r="AY499" s="329">
        <f>SUM(AY490:AY497)</f>
        <v>0</v>
      </c>
      <c r="AZ499" s="329">
        <f>SUM(AZ490:AZ497)</f>
        <v>0</v>
      </c>
      <c r="BA499" s="329">
        <f>SUM(BA490:BA497)</f>
        <v>80176.60000000002</v>
      </c>
      <c r="BB499" s="329">
        <f>SUM(BB490:BB497)</f>
        <v>182939.68666666668</v>
      </c>
      <c r="BC499" s="329">
        <f>SUM(BC490:BC497)</f>
        <v>561964.74999999988</v>
      </c>
      <c r="BD499" s="286"/>
      <c r="BE499" s="286"/>
      <c r="BF499" s="316">
        <f t="shared" ref="BF499:BM499" si="410">SUM(BF490:BF497)</f>
        <v>0</v>
      </c>
      <c r="BG499" s="316">
        <f t="shared" si="410"/>
        <v>0</v>
      </c>
      <c r="BH499" s="316">
        <f t="shared" si="410"/>
        <v>0</v>
      </c>
      <c r="BI499" s="316">
        <f t="shared" si="410"/>
        <v>0</v>
      </c>
      <c r="BJ499" s="316">
        <f t="shared" si="410"/>
        <v>561964.74999999988</v>
      </c>
      <c r="BK499" s="316">
        <f t="shared" si="410"/>
        <v>0</v>
      </c>
      <c r="BL499" s="316">
        <f t="shared" si="410"/>
        <v>0</v>
      </c>
      <c r="BM499" s="316">
        <f t="shared" si="410"/>
        <v>0</v>
      </c>
    </row>
    <row r="500" spans="1:66" s="287" customFormat="1" ht="44.25" hidden="1" customHeight="1" x14ac:dyDescent="0.25">
      <c r="A500" s="276"/>
      <c r="B500" s="317"/>
      <c r="C500" s="350"/>
      <c r="D500" s="351"/>
      <c r="E500" s="351"/>
      <c r="F500" s="351"/>
      <c r="G500" s="351"/>
      <c r="H500" s="351"/>
      <c r="I500" s="351"/>
      <c r="J500" s="351"/>
      <c r="K500" s="351"/>
      <c r="L500" s="352"/>
      <c r="M500" s="353"/>
      <c r="N500" s="352"/>
      <c r="O500" s="352"/>
      <c r="P500" s="354"/>
      <c r="Q500" s="352"/>
      <c r="R500" s="353"/>
      <c r="S500" s="353"/>
      <c r="T500" s="355"/>
      <c r="U500" s="356"/>
      <c r="V500" s="352"/>
      <c r="W500" s="352"/>
      <c r="X500" s="356"/>
      <c r="Y500" s="356"/>
      <c r="Z500" s="356"/>
      <c r="AA500" s="356"/>
      <c r="AB500" s="356"/>
      <c r="AC500" s="356"/>
      <c r="AD500" s="356"/>
      <c r="AE500" s="356"/>
      <c r="AF500" s="356"/>
      <c r="AG500" s="356"/>
      <c r="AH500" s="356"/>
      <c r="AI500" s="356"/>
      <c r="AJ500" s="356"/>
      <c r="AK500" s="356"/>
      <c r="AL500" s="356"/>
      <c r="AM500" s="356"/>
      <c r="AN500" s="356"/>
      <c r="AO500" s="356"/>
      <c r="AP500" s="356"/>
      <c r="AQ500" s="356"/>
      <c r="AR500" s="352"/>
      <c r="AS500" s="352"/>
      <c r="AT500" s="353"/>
      <c r="AU500" s="352"/>
      <c r="AV500" s="357"/>
      <c r="AW500" s="357"/>
      <c r="AX500" s="352"/>
      <c r="AY500" s="352"/>
      <c r="AZ500" s="353"/>
      <c r="BA500" s="356"/>
      <c r="BB500" s="356"/>
      <c r="BC500" s="437"/>
      <c r="BD500" s="286"/>
      <c r="BE500" s="286"/>
    </row>
    <row r="501" spans="1:66" s="287" customFormat="1" ht="29.25" customHeight="1" x14ac:dyDescent="0.25">
      <c r="A501" s="270"/>
      <c r="B501" s="361" t="s">
        <v>246</v>
      </c>
      <c r="C501" s="335"/>
      <c r="D501" s="335"/>
      <c r="E501" s="335"/>
      <c r="F501" s="335"/>
      <c r="G501" s="335"/>
      <c r="H501" s="335"/>
      <c r="I501" s="335"/>
      <c r="J501" s="335"/>
      <c r="K501" s="335"/>
      <c r="L501" s="335"/>
      <c r="M501" s="335"/>
      <c r="N501" s="335"/>
      <c r="O501" s="335"/>
      <c r="P501" s="335"/>
      <c r="Q501" s="335"/>
      <c r="R501" s="335"/>
      <c r="S501" s="335"/>
      <c r="T501" s="335"/>
      <c r="U501" s="335"/>
      <c r="V501" s="335"/>
      <c r="W501" s="335"/>
      <c r="X501" s="335"/>
      <c r="Y501" s="335"/>
      <c r="Z501" s="335"/>
      <c r="AA501" s="335"/>
      <c r="AB501" s="335"/>
      <c r="AC501" s="335"/>
      <c r="AD501" s="335"/>
      <c r="AE501" s="335"/>
      <c r="AF501" s="335"/>
      <c r="AG501" s="335"/>
      <c r="AH501" s="335"/>
      <c r="AI501" s="335"/>
      <c r="AJ501" s="335"/>
      <c r="AK501" s="335"/>
      <c r="AL501" s="335"/>
      <c r="AM501" s="335"/>
      <c r="AN501" s="335"/>
      <c r="AO501" s="335"/>
      <c r="AP501" s="335"/>
      <c r="AQ501" s="335"/>
      <c r="AR501" s="335"/>
      <c r="AS501" s="335"/>
      <c r="AT501" s="335"/>
      <c r="AU501" s="335"/>
      <c r="AV501" s="335"/>
      <c r="AW501" s="335"/>
      <c r="AX501" s="335"/>
      <c r="AY501" s="335"/>
      <c r="AZ501" s="335"/>
      <c r="BA501" s="335"/>
      <c r="BB501" s="335"/>
      <c r="BC501" s="362"/>
      <c r="BD501" s="286"/>
      <c r="BE501" s="286"/>
      <c r="BF501" s="338" t="e">
        <f>BC508-#REF!</f>
        <v>#REF!</v>
      </c>
    </row>
    <row r="502" spans="1:66" s="275" customFormat="1" ht="18.75" customHeight="1" x14ac:dyDescent="0.25">
      <c r="A502" s="270"/>
      <c r="B502" s="361" t="s">
        <v>247</v>
      </c>
      <c r="C502" s="335"/>
      <c r="D502" s="335"/>
      <c r="E502" s="335"/>
      <c r="F502" s="335"/>
      <c r="G502" s="335"/>
      <c r="H502" s="335"/>
      <c r="I502" s="335"/>
      <c r="J502" s="335"/>
      <c r="K502" s="335"/>
      <c r="L502" s="335"/>
      <c r="M502" s="335"/>
      <c r="N502" s="335"/>
      <c r="O502" s="335"/>
      <c r="P502" s="335"/>
      <c r="Q502" s="335"/>
      <c r="R502" s="335"/>
      <c r="S502" s="335"/>
      <c r="T502" s="335"/>
      <c r="U502" s="335"/>
      <c r="V502" s="335"/>
      <c r="W502" s="335"/>
      <c r="X502" s="335"/>
      <c r="Y502" s="335"/>
      <c r="Z502" s="335"/>
      <c r="AA502" s="335"/>
      <c r="AB502" s="335"/>
      <c r="AC502" s="335"/>
      <c r="AD502" s="335"/>
      <c r="AE502" s="335"/>
      <c r="AF502" s="335"/>
      <c r="AG502" s="335"/>
      <c r="AH502" s="335"/>
      <c r="AI502" s="335"/>
      <c r="AJ502" s="335"/>
      <c r="AK502" s="335"/>
      <c r="AL502" s="335"/>
      <c r="AM502" s="335"/>
      <c r="AN502" s="335"/>
      <c r="AO502" s="335"/>
      <c r="AP502" s="335"/>
      <c r="AQ502" s="335"/>
      <c r="AR502" s="335"/>
      <c r="AS502" s="335"/>
      <c r="AT502" s="335"/>
      <c r="AU502" s="335"/>
      <c r="AV502" s="335"/>
      <c r="AW502" s="335"/>
      <c r="AX502" s="335"/>
      <c r="AY502" s="335"/>
      <c r="AZ502" s="335"/>
      <c r="BA502" s="335"/>
      <c r="BB502" s="335"/>
      <c r="BC502" s="362"/>
      <c r="BD502" s="286"/>
      <c r="BE502" s="286"/>
    </row>
    <row r="503" spans="1:66" s="287" customFormat="1" ht="14.25" x14ac:dyDescent="0.25">
      <c r="A503" s="276"/>
      <c r="B503" s="277" t="s">
        <v>248</v>
      </c>
      <c r="C503" s="278">
        <f>'[4]ФОТ2014 общ (2)'!$C$61</f>
        <v>4</v>
      </c>
      <c r="D503" s="279"/>
      <c r="E503" s="279"/>
      <c r="F503" s="279"/>
      <c r="G503" s="279"/>
      <c r="H503" s="279">
        <v>1</v>
      </c>
      <c r="I503" s="279"/>
      <c r="J503" s="279"/>
      <c r="K503" s="279"/>
      <c r="L503" s="277">
        <v>3</v>
      </c>
      <c r="M503" s="280">
        <f t="shared" ref="M503:M508" si="411">M$454</f>
        <v>3028</v>
      </c>
      <c r="N503" s="281">
        <f t="shared" ref="N503:N508" si="412">N$244</f>
        <v>2</v>
      </c>
      <c r="O503" s="277">
        <v>1.25</v>
      </c>
      <c r="P503" s="282">
        <f>P$244</f>
        <v>1.58</v>
      </c>
      <c r="Q503" s="277"/>
      <c r="R503" s="280">
        <f t="shared" ref="R503:R508" si="413">$R$565</f>
        <v>174</v>
      </c>
      <c r="S503" s="280">
        <f t="shared" ref="S503:S508" si="414">T503/(R503/1)</f>
        <v>68.741379310344826</v>
      </c>
      <c r="T503" s="425">
        <f t="shared" ref="T503:T508" si="415">ROUND(M503*N503*O503*P503,0)</f>
        <v>11961</v>
      </c>
      <c r="U503" s="284">
        <f t="shared" ref="U503:U508" si="416">T503*C503</f>
        <v>47844</v>
      </c>
      <c r="V503" s="277">
        <v>12</v>
      </c>
      <c r="W503" s="285"/>
      <c r="X503" s="285">
        <f t="shared" ref="X503:X508" si="417">U503*V503%</f>
        <v>5741.28</v>
      </c>
      <c r="Y503" s="277"/>
      <c r="Z503" s="277"/>
      <c r="AA503" s="277"/>
      <c r="AB503" s="277">
        <v>20</v>
      </c>
      <c r="AC503" s="277"/>
      <c r="AD503" s="340">
        <f>SUM([3]ночн.празд!D13:D13)</f>
        <v>1794.15</v>
      </c>
      <c r="AE503" s="341">
        <v>35</v>
      </c>
      <c r="AF503" s="340"/>
      <c r="AG503" s="340">
        <f>SUM([3]ночн.празд!E13:E13)</f>
        <v>6279.5249999999996</v>
      </c>
      <c r="AH503" s="341">
        <v>200</v>
      </c>
      <c r="AI503" s="340"/>
      <c r="AJ503" s="340">
        <f>SUM([3]ночн.празд!B13:C13)</f>
        <v>7475.6249999999991</v>
      </c>
      <c r="AK503" s="277">
        <f>(30+25+10+20)/4</f>
        <v>21.25</v>
      </c>
      <c r="AL503" s="277"/>
      <c r="AM503" s="342">
        <f>4*T503*AK503%*1</f>
        <v>10166.85</v>
      </c>
      <c r="AN503" s="277"/>
      <c r="AO503" s="277"/>
      <c r="AP503" s="285"/>
      <c r="AQ503" s="284">
        <f t="shared" ref="AQ503:AQ509" si="418">X503+AA503+AD503+AG503+AJ503+AM503+AP503</f>
        <v>31457.43</v>
      </c>
      <c r="AR503" s="277">
        <f t="shared" ref="AR503:AR508" si="419">AR$29</f>
        <v>20</v>
      </c>
      <c r="AS503" s="285">
        <f t="shared" ref="AS503:AS508" si="420">AT503/C503</f>
        <v>2392.2000000000003</v>
      </c>
      <c r="AT503" s="280">
        <f t="shared" ref="AT503:AT508" si="421">(U503)*AR503%</f>
        <v>9568.8000000000011</v>
      </c>
      <c r="AU503" s="339"/>
      <c r="AV503" s="277">
        <v>100</v>
      </c>
      <c r="AW503" s="277">
        <f t="shared" ref="AW503:AW508" si="422">AU503*T503</f>
        <v>0</v>
      </c>
      <c r="AX503" s="277"/>
      <c r="AY503" s="285"/>
      <c r="AZ503" s="280"/>
      <c r="BA503" s="284">
        <f t="shared" ref="BA503:BA508" si="423">AT503+AW503+AZ503</f>
        <v>9568.8000000000011</v>
      </c>
      <c r="BB503" s="363">
        <f t="shared" ref="BB503:BB508" si="424">BC503/C503</f>
        <v>22217.557500000003</v>
      </c>
      <c r="BC503" s="284">
        <f t="shared" ref="BC503:BC508" si="425">BA503+AQ503+U503</f>
        <v>88870.23000000001</v>
      </c>
      <c r="BD503" s="286">
        <f t="shared" ref="BD503:BD508" si="426">BC503/C503</f>
        <v>22217.557500000003</v>
      </c>
      <c r="BE503" s="286"/>
    </row>
    <row r="504" spans="1:66" s="377" customFormat="1" x14ac:dyDescent="0.25">
      <c r="A504" s="375"/>
      <c r="B504" s="290" t="s">
        <v>249</v>
      </c>
      <c r="C504" s="376">
        <v>1</v>
      </c>
      <c r="D504" s="292"/>
      <c r="E504" s="292"/>
      <c r="F504" s="292"/>
      <c r="G504" s="292"/>
      <c r="H504" s="292">
        <v>1</v>
      </c>
      <c r="I504" s="292"/>
      <c r="J504" s="292"/>
      <c r="K504" s="292"/>
      <c r="L504" s="293">
        <v>4</v>
      </c>
      <c r="M504" s="294">
        <f t="shared" si="411"/>
        <v>3028</v>
      </c>
      <c r="N504" s="429">
        <f t="shared" si="412"/>
        <v>2</v>
      </c>
      <c r="O504" s="293">
        <v>1.43</v>
      </c>
      <c r="P504" s="295">
        <f>P$244</f>
        <v>1.58</v>
      </c>
      <c r="Q504" s="293"/>
      <c r="R504" s="294">
        <f t="shared" si="413"/>
        <v>174</v>
      </c>
      <c r="S504" s="294">
        <f t="shared" si="414"/>
        <v>78.637931034482762</v>
      </c>
      <c r="T504" s="291">
        <f t="shared" si="415"/>
        <v>13683</v>
      </c>
      <c r="U504" s="297">
        <f t="shared" si="416"/>
        <v>13683</v>
      </c>
      <c r="V504" s="293">
        <v>16</v>
      </c>
      <c r="W504" s="298"/>
      <c r="X504" s="298">
        <f t="shared" si="417"/>
        <v>2189.2800000000002</v>
      </c>
      <c r="Y504" s="277">
        <v>4</v>
      </c>
      <c r="Z504" s="285"/>
      <c r="AA504" s="285">
        <f>U504*Y504%</f>
        <v>547.32000000000005</v>
      </c>
      <c r="AB504" s="293"/>
      <c r="AC504" s="293"/>
      <c r="AD504" s="298"/>
      <c r="AE504" s="293"/>
      <c r="AF504" s="298"/>
      <c r="AG504" s="298"/>
      <c r="AH504" s="293"/>
      <c r="AI504" s="298"/>
      <c r="AJ504" s="298"/>
      <c r="AK504" s="293"/>
      <c r="AL504" s="293"/>
      <c r="AM504" s="298">
        <f>6*T504*AK504%*1</f>
        <v>0</v>
      </c>
      <c r="AN504" s="293"/>
      <c r="AO504" s="293"/>
      <c r="AP504" s="298"/>
      <c r="AQ504" s="297">
        <f>X504+AA504+AD504+AG504+AJ504+AM504+AP504</f>
        <v>2736.6000000000004</v>
      </c>
      <c r="AR504" s="293">
        <f t="shared" si="419"/>
        <v>20</v>
      </c>
      <c r="AS504" s="293">
        <f t="shared" si="420"/>
        <v>2736.6000000000004</v>
      </c>
      <c r="AT504" s="294">
        <f t="shared" si="421"/>
        <v>2736.6000000000004</v>
      </c>
      <c r="AU504" s="293"/>
      <c r="AV504" s="293">
        <v>100</v>
      </c>
      <c r="AW504" s="293">
        <f t="shared" si="422"/>
        <v>0</v>
      </c>
      <c r="AX504" s="293"/>
      <c r="AY504" s="293"/>
      <c r="AZ504" s="294"/>
      <c r="BA504" s="297">
        <f t="shared" si="423"/>
        <v>2736.6000000000004</v>
      </c>
      <c r="BB504" s="297">
        <f t="shared" si="424"/>
        <v>19156.2</v>
      </c>
      <c r="BC504" s="297">
        <f t="shared" si="425"/>
        <v>19156.2</v>
      </c>
      <c r="BD504" s="299">
        <f t="shared" si="426"/>
        <v>19156.2</v>
      </c>
      <c r="BE504" s="299"/>
    </row>
    <row r="505" spans="1:66" s="287" customFormat="1" ht="28.5" x14ac:dyDescent="0.25">
      <c r="A505" s="276"/>
      <c r="B505" s="277" t="s">
        <v>279</v>
      </c>
      <c r="C505" s="278">
        <v>1</v>
      </c>
      <c r="D505" s="279"/>
      <c r="E505" s="279"/>
      <c r="F505" s="279"/>
      <c r="G505" s="279"/>
      <c r="H505" s="279">
        <v>1</v>
      </c>
      <c r="I505" s="279"/>
      <c r="J505" s="279"/>
      <c r="K505" s="279"/>
      <c r="L505" s="277">
        <v>5</v>
      </c>
      <c r="M505" s="280">
        <f t="shared" si="411"/>
        <v>3028</v>
      </c>
      <c r="N505" s="281">
        <f t="shared" si="412"/>
        <v>2</v>
      </c>
      <c r="O505" s="282">
        <v>1.67</v>
      </c>
      <c r="P505" s="282">
        <f>P$244</f>
        <v>1.58</v>
      </c>
      <c r="Q505" s="277"/>
      <c r="R505" s="280">
        <f t="shared" si="413"/>
        <v>174</v>
      </c>
      <c r="S505" s="280">
        <f t="shared" si="414"/>
        <v>91.833333333333329</v>
      </c>
      <c r="T505" s="425">
        <f t="shared" si="415"/>
        <v>15979</v>
      </c>
      <c r="U505" s="284">
        <f t="shared" si="416"/>
        <v>15979</v>
      </c>
      <c r="V505" s="277">
        <v>20</v>
      </c>
      <c r="W505" s="285"/>
      <c r="X505" s="285">
        <f t="shared" si="417"/>
        <v>3195.8</v>
      </c>
      <c r="Y505" s="277"/>
      <c r="Z505" s="277"/>
      <c r="AA505" s="277"/>
      <c r="AB505" s="277"/>
      <c r="AC505" s="277"/>
      <c r="AD505" s="277"/>
      <c r="AE505" s="277"/>
      <c r="AF505" s="277"/>
      <c r="AG505" s="277"/>
      <c r="AH505" s="277"/>
      <c r="AI505" s="277"/>
      <c r="AJ505" s="277"/>
      <c r="AK505" s="277">
        <v>15</v>
      </c>
      <c r="AL505" s="277"/>
      <c r="AM505" s="285">
        <f>T505*AK505%*1</f>
        <v>2396.85</v>
      </c>
      <c r="AN505" s="277"/>
      <c r="AO505" s="277"/>
      <c r="AP505" s="277"/>
      <c r="AQ505" s="284">
        <f t="shared" si="418"/>
        <v>5592.65</v>
      </c>
      <c r="AR505" s="277">
        <f t="shared" si="419"/>
        <v>20</v>
      </c>
      <c r="AS505" s="285">
        <f t="shared" si="420"/>
        <v>3195.8</v>
      </c>
      <c r="AT505" s="280">
        <f t="shared" si="421"/>
        <v>3195.8</v>
      </c>
      <c r="AU505" s="339"/>
      <c r="AV505" s="277">
        <v>100</v>
      </c>
      <c r="AW505" s="277">
        <f t="shared" si="422"/>
        <v>0</v>
      </c>
      <c r="AX505" s="277"/>
      <c r="AY505" s="285"/>
      <c r="AZ505" s="280"/>
      <c r="BA505" s="284">
        <f t="shared" si="423"/>
        <v>3195.8</v>
      </c>
      <c r="BB505" s="363">
        <f t="shared" si="424"/>
        <v>24767.45</v>
      </c>
      <c r="BC505" s="284">
        <f t="shared" si="425"/>
        <v>24767.45</v>
      </c>
      <c r="BD505" s="286">
        <f t="shared" si="426"/>
        <v>24767.45</v>
      </c>
      <c r="BE505" s="286"/>
    </row>
    <row r="506" spans="1:66" s="287" customFormat="1" ht="28.5" x14ac:dyDescent="0.25">
      <c r="A506" s="276"/>
      <c r="B506" s="277" t="s">
        <v>292</v>
      </c>
      <c r="C506" s="278">
        <f>'[4]ФОТ2014 общ (2)'!$C$64</f>
        <v>1</v>
      </c>
      <c r="D506" s="279"/>
      <c r="E506" s="279"/>
      <c r="F506" s="279"/>
      <c r="G506" s="279"/>
      <c r="H506" s="279">
        <v>1</v>
      </c>
      <c r="I506" s="279"/>
      <c r="J506" s="279"/>
      <c r="K506" s="279"/>
      <c r="L506" s="277">
        <v>5</v>
      </c>
      <c r="M506" s="280">
        <f t="shared" si="411"/>
        <v>3028</v>
      </c>
      <c r="N506" s="281">
        <f t="shared" si="412"/>
        <v>2</v>
      </c>
      <c r="O506" s="282">
        <v>1.67</v>
      </c>
      <c r="P506" s="282">
        <f>P$244</f>
        <v>1.58</v>
      </c>
      <c r="Q506" s="277"/>
      <c r="R506" s="280">
        <f t="shared" si="413"/>
        <v>174</v>
      </c>
      <c r="S506" s="280">
        <f t="shared" si="414"/>
        <v>91.833333333333329</v>
      </c>
      <c r="T506" s="425">
        <f t="shared" si="415"/>
        <v>15979</v>
      </c>
      <c r="U506" s="284">
        <f t="shared" si="416"/>
        <v>15979</v>
      </c>
      <c r="V506" s="277">
        <v>20</v>
      </c>
      <c r="W506" s="285"/>
      <c r="X506" s="285">
        <f t="shared" si="417"/>
        <v>3195.8</v>
      </c>
      <c r="Y506" s="277"/>
      <c r="Z506" s="277"/>
      <c r="AA506" s="285"/>
      <c r="AB506" s="277"/>
      <c r="AC506" s="277"/>
      <c r="AD506" s="277"/>
      <c r="AE506" s="277"/>
      <c r="AF506" s="277"/>
      <c r="AG506" s="277"/>
      <c r="AH506" s="277"/>
      <c r="AI506" s="277"/>
      <c r="AJ506" s="277"/>
      <c r="AK506" s="277">
        <v>0</v>
      </c>
      <c r="AL506" s="277"/>
      <c r="AM506" s="285">
        <f>T506*AK506%*1</f>
        <v>0</v>
      </c>
      <c r="AN506" s="277"/>
      <c r="AO506" s="277"/>
      <c r="AP506" s="277"/>
      <c r="AQ506" s="284">
        <f t="shared" si="418"/>
        <v>3195.8</v>
      </c>
      <c r="AR506" s="277">
        <f t="shared" si="419"/>
        <v>20</v>
      </c>
      <c r="AS506" s="285">
        <f t="shared" si="420"/>
        <v>3195.8</v>
      </c>
      <c r="AT506" s="280">
        <f t="shared" si="421"/>
        <v>3195.8</v>
      </c>
      <c r="AU506" s="277"/>
      <c r="AV506" s="277">
        <v>100</v>
      </c>
      <c r="AW506" s="277">
        <f t="shared" si="422"/>
        <v>0</v>
      </c>
      <c r="AX506" s="277"/>
      <c r="AY506" s="285"/>
      <c r="AZ506" s="280"/>
      <c r="BA506" s="284">
        <f t="shared" si="423"/>
        <v>3195.8</v>
      </c>
      <c r="BB506" s="363">
        <f t="shared" si="424"/>
        <v>22370.6</v>
      </c>
      <c r="BC506" s="284">
        <f t="shared" si="425"/>
        <v>22370.6</v>
      </c>
      <c r="BD506" s="286">
        <f t="shared" si="426"/>
        <v>22370.6</v>
      </c>
      <c r="BE506" s="286"/>
    </row>
    <row r="507" spans="1:66" s="287" customFormat="1" ht="14.25" x14ac:dyDescent="0.25">
      <c r="A507" s="276"/>
      <c r="B507" s="277" t="s">
        <v>252</v>
      </c>
      <c r="C507" s="278">
        <f>'[4]ФОТ2014 общ (2)'!$C$66</f>
        <v>1</v>
      </c>
      <c r="D507" s="279"/>
      <c r="E507" s="279"/>
      <c r="F507" s="279"/>
      <c r="G507" s="279"/>
      <c r="H507" s="279">
        <v>1</v>
      </c>
      <c r="I507" s="279"/>
      <c r="J507" s="279"/>
      <c r="K507" s="279"/>
      <c r="L507" s="277">
        <v>3</v>
      </c>
      <c r="M507" s="280">
        <f t="shared" si="411"/>
        <v>3028</v>
      </c>
      <c r="N507" s="281">
        <f t="shared" si="412"/>
        <v>2</v>
      </c>
      <c r="O507" s="277">
        <v>1.25</v>
      </c>
      <c r="P507" s="282">
        <f>P$244</f>
        <v>1.58</v>
      </c>
      <c r="Q507" s="277"/>
      <c r="R507" s="280">
        <f t="shared" si="413"/>
        <v>174</v>
      </c>
      <c r="S507" s="280">
        <f t="shared" si="414"/>
        <v>68.741379310344826</v>
      </c>
      <c r="T507" s="425">
        <f t="shared" si="415"/>
        <v>11961</v>
      </c>
      <c r="U507" s="284">
        <f t="shared" si="416"/>
        <v>11961</v>
      </c>
      <c r="V507" s="277">
        <v>12</v>
      </c>
      <c r="W507" s="285"/>
      <c r="X507" s="285">
        <f t="shared" si="417"/>
        <v>1435.32</v>
      </c>
      <c r="Y507" s="277">
        <v>4</v>
      </c>
      <c r="Z507" s="285"/>
      <c r="AA507" s="285">
        <f>U507*Y507%</f>
        <v>478.44</v>
      </c>
      <c r="AB507" s="277"/>
      <c r="AC507" s="277"/>
      <c r="AD507" s="277"/>
      <c r="AE507" s="277"/>
      <c r="AF507" s="277"/>
      <c r="AG507" s="277"/>
      <c r="AH507" s="277"/>
      <c r="AI507" s="277"/>
      <c r="AJ507" s="277"/>
      <c r="AK507" s="277"/>
      <c r="AL507" s="277"/>
      <c r="AM507" s="285">
        <f>T507*AK507%*1</f>
        <v>0</v>
      </c>
      <c r="AN507" s="277"/>
      <c r="AO507" s="277"/>
      <c r="AP507" s="277"/>
      <c r="AQ507" s="284">
        <f t="shared" si="418"/>
        <v>1913.76</v>
      </c>
      <c r="AR507" s="277">
        <f t="shared" si="419"/>
        <v>20</v>
      </c>
      <c r="AS507" s="285">
        <f t="shared" si="420"/>
        <v>2392.2000000000003</v>
      </c>
      <c r="AT507" s="280">
        <f t="shared" si="421"/>
        <v>2392.2000000000003</v>
      </c>
      <c r="AU507" s="460"/>
      <c r="AV507" s="277">
        <v>100</v>
      </c>
      <c r="AW507" s="277">
        <f t="shared" si="422"/>
        <v>0</v>
      </c>
      <c r="AX507" s="277"/>
      <c r="AY507" s="285"/>
      <c r="AZ507" s="280"/>
      <c r="BA507" s="284">
        <f t="shared" si="423"/>
        <v>2392.2000000000003</v>
      </c>
      <c r="BB507" s="363">
        <f t="shared" si="424"/>
        <v>16266.96</v>
      </c>
      <c r="BC507" s="284">
        <f t="shared" si="425"/>
        <v>16266.96</v>
      </c>
      <c r="BD507" s="286">
        <f t="shared" si="426"/>
        <v>16266.96</v>
      </c>
      <c r="BE507" s="286"/>
    </row>
    <row r="508" spans="1:66" s="301" customFormat="1" ht="14.25" x14ac:dyDescent="0.25">
      <c r="A508" s="289"/>
      <c r="B508" s="293" t="s">
        <v>253</v>
      </c>
      <c r="C508" s="438">
        <v>2</v>
      </c>
      <c r="D508" s="292"/>
      <c r="E508" s="292"/>
      <c r="F508" s="292"/>
      <c r="G508" s="292"/>
      <c r="H508" s="292">
        <v>1</v>
      </c>
      <c r="I508" s="292"/>
      <c r="J508" s="292"/>
      <c r="K508" s="292"/>
      <c r="L508" s="439"/>
      <c r="M508" s="294">
        <f t="shared" si="411"/>
        <v>3028</v>
      </c>
      <c r="N508" s="429">
        <f t="shared" si="412"/>
        <v>2</v>
      </c>
      <c r="O508" s="440">
        <v>1.32</v>
      </c>
      <c r="P508" s="430">
        <v>1</v>
      </c>
      <c r="Q508" s="439"/>
      <c r="R508" s="294">
        <f t="shared" si="413"/>
        <v>174</v>
      </c>
      <c r="S508" s="294">
        <f t="shared" si="414"/>
        <v>45.942528735632187</v>
      </c>
      <c r="T508" s="441">
        <f t="shared" si="415"/>
        <v>7994</v>
      </c>
      <c r="U508" s="297">
        <f t="shared" si="416"/>
        <v>15988</v>
      </c>
      <c r="V508" s="439">
        <v>0</v>
      </c>
      <c r="W508" s="298"/>
      <c r="X508" s="442">
        <f t="shared" si="417"/>
        <v>0</v>
      </c>
      <c r="Y508" s="439"/>
      <c r="Z508" s="439"/>
      <c r="AA508" s="439"/>
      <c r="AB508" s="439"/>
      <c r="AC508" s="439"/>
      <c r="AD508" s="439"/>
      <c r="AE508" s="439"/>
      <c r="AF508" s="439"/>
      <c r="AG508" s="439"/>
      <c r="AH508" s="439"/>
      <c r="AI508" s="439"/>
      <c r="AJ508" s="439"/>
      <c r="AK508" s="366"/>
      <c r="AL508" s="439"/>
      <c r="AM508" s="298">
        <f>T508*AK508%*1</f>
        <v>0</v>
      </c>
      <c r="AN508" s="439"/>
      <c r="AO508" s="439"/>
      <c r="AP508" s="439"/>
      <c r="AQ508" s="297">
        <f t="shared" si="418"/>
        <v>0</v>
      </c>
      <c r="AR508" s="293">
        <f t="shared" si="419"/>
        <v>20</v>
      </c>
      <c r="AS508" s="298">
        <f t="shared" si="420"/>
        <v>1598.8000000000002</v>
      </c>
      <c r="AT508" s="294">
        <f t="shared" si="421"/>
        <v>3197.6000000000004</v>
      </c>
      <c r="AU508" s="293"/>
      <c r="AV508" s="293">
        <v>100</v>
      </c>
      <c r="AW508" s="293">
        <f t="shared" si="422"/>
        <v>0</v>
      </c>
      <c r="AX508" s="293"/>
      <c r="AY508" s="298"/>
      <c r="AZ508" s="431"/>
      <c r="BA508" s="297">
        <f t="shared" si="423"/>
        <v>3197.6000000000004</v>
      </c>
      <c r="BB508" s="443">
        <f t="shared" si="424"/>
        <v>9592.7999999999993</v>
      </c>
      <c r="BC508" s="297">
        <f t="shared" si="425"/>
        <v>19185.599999999999</v>
      </c>
      <c r="BD508" s="466">
        <f t="shared" si="426"/>
        <v>9592.7999999999993</v>
      </c>
      <c r="BE508" s="299"/>
    </row>
    <row r="509" spans="1:66" s="287" customFormat="1" ht="9.75" customHeight="1" x14ac:dyDescent="0.25">
      <c r="A509" s="276"/>
      <c r="B509" s="277"/>
      <c r="C509" s="425"/>
      <c r="D509" s="279"/>
      <c r="E509" s="279"/>
      <c r="F509" s="279"/>
      <c r="G509" s="279"/>
      <c r="H509" s="279"/>
      <c r="I509" s="279"/>
      <c r="J509" s="279"/>
      <c r="K509" s="279"/>
      <c r="L509" s="277"/>
      <c r="M509" s="283"/>
      <c r="N509" s="277"/>
      <c r="O509" s="277"/>
      <c r="P509" s="277"/>
      <c r="Q509" s="277"/>
      <c r="R509" s="283"/>
      <c r="S509" s="283"/>
      <c r="T509" s="425"/>
      <c r="U509" s="307"/>
      <c r="V509" s="277"/>
      <c r="W509" s="277"/>
      <c r="X509" s="277"/>
      <c r="Y509" s="277"/>
      <c r="Z509" s="277"/>
      <c r="AA509" s="277"/>
      <c r="AB509" s="277"/>
      <c r="AC509" s="277"/>
      <c r="AD509" s="277"/>
      <c r="AE509" s="277"/>
      <c r="AF509" s="277"/>
      <c r="AG509" s="277"/>
      <c r="AH509" s="277"/>
      <c r="AI509" s="277"/>
      <c r="AJ509" s="277"/>
      <c r="AK509" s="277"/>
      <c r="AL509" s="277"/>
      <c r="AM509" s="277"/>
      <c r="AN509" s="277"/>
      <c r="AO509" s="277"/>
      <c r="AP509" s="277"/>
      <c r="AQ509" s="284">
        <f t="shared" si="418"/>
        <v>0</v>
      </c>
      <c r="AR509" s="277"/>
      <c r="AS509" s="277"/>
      <c r="AT509" s="283"/>
      <c r="AU509" s="277"/>
      <c r="AV509" s="277"/>
      <c r="AW509" s="277"/>
      <c r="AX509" s="277"/>
      <c r="AY509" s="277"/>
      <c r="AZ509" s="283"/>
      <c r="BA509" s="370"/>
      <c r="BB509" s="307"/>
      <c r="BC509" s="370"/>
      <c r="BD509" s="286"/>
      <c r="BE509" s="286"/>
    </row>
    <row r="510" spans="1:66" s="316" customFormat="1" ht="14.25" x14ac:dyDescent="0.25">
      <c r="A510" s="306"/>
      <c r="B510" s="372" t="s">
        <v>229</v>
      </c>
      <c r="C510" s="308">
        <f>SUM(C503:C509)</f>
        <v>10</v>
      </c>
      <c r="D510" s="309"/>
      <c r="E510" s="309"/>
      <c r="F510" s="309"/>
      <c r="G510" s="309"/>
      <c r="H510" s="309"/>
      <c r="I510" s="309"/>
      <c r="J510" s="309"/>
      <c r="K510" s="309"/>
      <c r="L510" s="309"/>
      <c r="M510" s="310"/>
      <c r="N510" s="309"/>
      <c r="O510" s="309"/>
      <c r="P510" s="309"/>
      <c r="Q510" s="309"/>
      <c r="R510" s="310"/>
      <c r="S510" s="310"/>
      <c r="T510" s="349">
        <f>U510</f>
        <v>121434</v>
      </c>
      <c r="U510" s="329">
        <f>SUM(U503:U509)</f>
        <v>121434</v>
      </c>
      <c r="V510" s="309"/>
      <c r="W510" s="329"/>
      <c r="X510" s="329">
        <f>SUM(X503:X509)</f>
        <v>15757.48</v>
      </c>
      <c r="Y510" s="329"/>
      <c r="Z510" s="329">
        <f>SUM(Z503:Z509)</f>
        <v>0</v>
      </c>
      <c r="AA510" s="329">
        <f>SUM(AA503:AA509)</f>
        <v>1025.76</v>
      </c>
      <c r="AB510" s="329"/>
      <c r="AC510" s="329"/>
      <c r="AD510" s="309">
        <f>SUM(AD503:AD509)</f>
        <v>1794.15</v>
      </c>
      <c r="AE510" s="309"/>
      <c r="AF510" s="309">
        <f>SUM(AF503:AF509)</f>
        <v>0</v>
      </c>
      <c r="AG510" s="309">
        <f>SUM(AG503:AG509)</f>
        <v>6279.5249999999996</v>
      </c>
      <c r="AH510" s="309"/>
      <c r="AI510" s="309">
        <f>SUM(AI503:AI509)</f>
        <v>0</v>
      </c>
      <c r="AJ510" s="309">
        <f>SUM(AJ503:AJ509)</f>
        <v>7475.6249999999991</v>
      </c>
      <c r="AK510" s="309"/>
      <c r="AL510" s="309">
        <f>SUM(AL503:AL509)</f>
        <v>0</v>
      </c>
      <c r="AM510" s="309">
        <f>SUM(AM503:AM509)</f>
        <v>12563.7</v>
      </c>
      <c r="AN510" s="329"/>
      <c r="AO510" s="329">
        <f>SUM(AO503:AO509)</f>
        <v>0</v>
      </c>
      <c r="AP510" s="329">
        <f>SUM(AP503:AP509)</f>
        <v>0</v>
      </c>
      <c r="AQ510" s="329">
        <f>SUM(AQ503:AQ509)</f>
        <v>44896.240000000005</v>
      </c>
      <c r="AR510" s="329"/>
      <c r="AS510" s="329">
        <f>SUM(AS503:AS509)</f>
        <v>15511.400000000001</v>
      </c>
      <c r="AT510" s="329">
        <f>SUM(AT503:AT509)</f>
        <v>24286.800000000003</v>
      </c>
      <c r="AU510" s="309">
        <f>SUM(AU503:AU509)</f>
        <v>0</v>
      </c>
      <c r="AV510" s="309"/>
      <c r="AW510" s="309">
        <f>SUM(AW503:AW509)</f>
        <v>0</v>
      </c>
      <c r="AX510" s="329"/>
      <c r="AY510" s="329">
        <f>SUM(AY503:AY509)</f>
        <v>0</v>
      </c>
      <c r="AZ510" s="329">
        <f>SUM(AZ503:AZ509)</f>
        <v>0</v>
      </c>
      <c r="BA510" s="329">
        <f>SUM(BA503:BA509)</f>
        <v>24286.800000000003</v>
      </c>
      <c r="BB510" s="329">
        <f>BC510/C510</f>
        <v>19061.704000000002</v>
      </c>
      <c r="BC510" s="329">
        <f>SUM(BC503:BC509)</f>
        <v>190617.04</v>
      </c>
      <c r="BD510" s="286">
        <f>BC510/C510</f>
        <v>19061.704000000002</v>
      </c>
      <c r="BE510" s="286"/>
      <c r="BN510" s="316" t="e">
        <f>BC510+BC517+#REF!</f>
        <v>#REF!</v>
      </c>
    </row>
    <row r="511" spans="1:66" s="374" customFormat="1" ht="22.5" customHeight="1" x14ac:dyDescent="0.25">
      <c r="A511" s="373"/>
      <c r="B511" s="361" t="s">
        <v>254</v>
      </c>
      <c r="C511" s="335"/>
      <c r="D511" s="335"/>
      <c r="E511" s="335"/>
      <c r="F511" s="335"/>
      <c r="G511" s="335"/>
      <c r="H511" s="335"/>
      <c r="I511" s="335"/>
      <c r="J511" s="335"/>
      <c r="K511" s="335"/>
      <c r="L511" s="335"/>
      <c r="M511" s="335"/>
      <c r="N511" s="335"/>
      <c r="O511" s="335"/>
      <c r="P511" s="335"/>
      <c r="Q511" s="335"/>
      <c r="R511" s="335"/>
      <c r="S511" s="335"/>
      <c r="T511" s="335"/>
      <c r="U511" s="335"/>
      <c r="V511" s="335"/>
      <c r="W511" s="335"/>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c r="AS511" s="335"/>
      <c r="AT511" s="335"/>
      <c r="AU511" s="335"/>
      <c r="AV511" s="335"/>
      <c r="AW511" s="335"/>
      <c r="AX511" s="335"/>
      <c r="AY511" s="335"/>
      <c r="AZ511" s="335"/>
      <c r="BA511" s="335"/>
      <c r="BB511" s="335"/>
      <c r="BC511" s="362"/>
      <c r="BD511" s="286"/>
      <c r="BE511" s="286"/>
    </row>
    <row r="512" spans="1:66" x14ac:dyDescent="0.25">
      <c r="A512" s="344"/>
      <c r="B512" s="288" t="s">
        <v>255</v>
      </c>
      <c r="C512" s="278">
        <f>'[4]ФОТ2014 общ (2)'!$C$83</f>
        <v>9</v>
      </c>
      <c r="D512" s="279"/>
      <c r="E512" s="279"/>
      <c r="F512" s="279"/>
      <c r="G512" s="279"/>
      <c r="H512" s="279">
        <v>1</v>
      </c>
      <c r="I512" s="279"/>
      <c r="J512" s="279"/>
      <c r="K512" s="279"/>
      <c r="L512" s="277">
        <v>3</v>
      </c>
      <c r="M512" s="280">
        <f>M$454</f>
        <v>3028</v>
      </c>
      <c r="N512" s="281">
        <f>N$244</f>
        <v>2</v>
      </c>
      <c r="O512" s="277">
        <v>1.25</v>
      </c>
      <c r="P512" s="282">
        <f>P$244</f>
        <v>1.58</v>
      </c>
      <c r="Q512" s="277"/>
      <c r="R512" s="280">
        <f>$R$565</f>
        <v>174</v>
      </c>
      <c r="S512" s="280">
        <f>T512/(R512/1)</f>
        <v>68.741379310344826</v>
      </c>
      <c r="T512" s="425">
        <f>ROUND(M512*N512*O512*P512,0)</f>
        <v>11961</v>
      </c>
      <c r="U512" s="284">
        <f>T512*C512</f>
        <v>107649</v>
      </c>
      <c r="V512" s="277">
        <v>12</v>
      </c>
      <c r="W512" s="285"/>
      <c r="X512" s="285">
        <f>U512*V512%</f>
        <v>12917.88</v>
      </c>
      <c r="Y512" s="277">
        <v>4</v>
      </c>
      <c r="Z512" s="285"/>
      <c r="AA512" s="285">
        <f>U512*Y512%</f>
        <v>4305.96</v>
      </c>
      <c r="AB512" s="277">
        <v>20</v>
      </c>
      <c r="AC512" s="277"/>
      <c r="AD512" s="340">
        <f>SUM([3]ночн.празд!P13:P13)</f>
        <v>3588.3</v>
      </c>
      <c r="AE512" s="341">
        <v>35</v>
      </c>
      <c r="AF512" s="340"/>
      <c r="AG512" s="340">
        <f>SUM([3]ночн.празд!Q13:Q13)</f>
        <v>12559.05</v>
      </c>
      <c r="AH512" s="341">
        <v>200</v>
      </c>
      <c r="AI512" s="340"/>
      <c r="AJ512" s="340">
        <f>SUM([3]ночн.празд!N13:O13)</f>
        <v>14951.249999999998</v>
      </c>
      <c r="AK512" s="277">
        <f>(7+25+15+7+10+20+15+15+10)/9</f>
        <v>13.777777777777779</v>
      </c>
      <c r="AL512" s="277"/>
      <c r="AM512" s="342">
        <f>9*T512*AK512%*1</f>
        <v>14831.64</v>
      </c>
      <c r="AN512" s="277"/>
      <c r="AO512" s="277"/>
      <c r="AP512" s="285"/>
      <c r="AQ512" s="284">
        <f>X512+AA512+AD512+AG512+AJ512+AM512+AP512</f>
        <v>63154.080000000002</v>
      </c>
      <c r="AR512" s="277">
        <f>AR$29</f>
        <v>20</v>
      </c>
      <c r="AS512" s="277">
        <f>AT512/C512</f>
        <v>2392.2000000000003</v>
      </c>
      <c r="AT512" s="280">
        <f>(U512)*AR512%</f>
        <v>21529.800000000003</v>
      </c>
      <c r="AU512" s="277">
        <v>1</v>
      </c>
      <c r="AV512" s="277">
        <v>100</v>
      </c>
      <c r="AW512" s="277">
        <f>AU512*T512</f>
        <v>11961</v>
      </c>
      <c r="AX512" s="277"/>
      <c r="AY512" s="277"/>
      <c r="AZ512" s="280"/>
      <c r="BA512" s="284">
        <f>AT512+AW512+AZ512</f>
        <v>33490.800000000003</v>
      </c>
      <c r="BB512" s="284">
        <f>BC512/C512</f>
        <v>22699.32</v>
      </c>
      <c r="BC512" s="284">
        <f>BA512+AQ512+U512</f>
        <v>204293.88</v>
      </c>
      <c r="BD512" s="286">
        <f>BC512/C512</f>
        <v>22699.32</v>
      </c>
      <c r="BE512" s="286"/>
    </row>
    <row r="513" spans="1:65" s="377" customFormat="1" x14ac:dyDescent="0.25">
      <c r="A513" s="375"/>
      <c r="B513" s="290" t="s">
        <v>249</v>
      </c>
      <c r="C513" s="376">
        <v>1</v>
      </c>
      <c r="D513" s="292"/>
      <c r="E513" s="292"/>
      <c r="F513" s="292"/>
      <c r="G513" s="292"/>
      <c r="H513" s="292">
        <v>1</v>
      </c>
      <c r="I513" s="292"/>
      <c r="J513" s="292"/>
      <c r="K513" s="292"/>
      <c r="L513" s="293">
        <v>4</v>
      </c>
      <c r="M513" s="294">
        <f>M$454</f>
        <v>3028</v>
      </c>
      <c r="N513" s="429">
        <f>N$244</f>
        <v>2</v>
      </c>
      <c r="O513" s="293">
        <v>1.43</v>
      </c>
      <c r="P513" s="295">
        <f>P$244</f>
        <v>1.58</v>
      </c>
      <c r="Q513" s="293"/>
      <c r="R513" s="294">
        <f>$R$565</f>
        <v>174</v>
      </c>
      <c r="S513" s="294">
        <f>T513/(R513/1)</f>
        <v>78.637931034482762</v>
      </c>
      <c r="T513" s="291">
        <f>ROUND(M513*N513*O513*P513,0)</f>
        <v>13683</v>
      </c>
      <c r="U513" s="297">
        <f>T513*C513</f>
        <v>13683</v>
      </c>
      <c r="V513" s="293">
        <v>16</v>
      </c>
      <c r="W513" s="298"/>
      <c r="X513" s="298">
        <f>U513*V513%</f>
        <v>2189.2800000000002</v>
      </c>
      <c r="Y513" s="277">
        <v>4</v>
      </c>
      <c r="Z513" s="285"/>
      <c r="AA513" s="285">
        <f>U513*Y513%</f>
        <v>547.32000000000005</v>
      </c>
      <c r="AB513" s="293"/>
      <c r="AC513" s="293"/>
      <c r="AD513" s="298"/>
      <c r="AE513" s="293"/>
      <c r="AF513" s="298"/>
      <c r="AG513" s="298"/>
      <c r="AH513" s="293"/>
      <c r="AI513" s="298"/>
      <c r="AJ513" s="298"/>
      <c r="AK513" s="293"/>
      <c r="AL513" s="293"/>
      <c r="AM513" s="298">
        <f>6*T513*AK513%*1</f>
        <v>0</v>
      </c>
      <c r="AN513" s="293"/>
      <c r="AO513" s="293"/>
      <c r="AP513" s="298"/>
      <c r="AQ513" s="297">
        <f>X513+AA513+AD513+AG513+AJ513+AM513+AP513</f>
        <v>2736.6000000000004</v>
      </c>
      <c r="AR513" s="293">
        <f>AR$29</f>
        <v>20</v>
      </c>
      <c r="AS513" s="293">
        <f>AT513/C513</f>
        <v>2736.6000000000004</v>
      </c>
      <c r="AT513" s="294">
        <f>(U513)*AR513%</f>
        <v>2736.6000000000004</v>
      </c>
      <c r="AU513" s="293"/>
      <c r="AV513" s="293">
        <v>100</v>
      </c>
      <c r="AW513" s="293">
        <f>AU513*T513</f>
        <v>0</v>
      </c>
      <c r="AX513" s="293"/>
      <c r="AY513" s="293"/>
      <c r="AZ513" s="294"/>
      <c r="BA513" s="297">
        <f>AT513+AW513+AZ513</f>
        <v>2736.6000000000004</v>
      </c>
      <c r="BB513" s="297">
        <f>BC513/C513</f>
        <v>19156.2</v>
      </c>
      <c r="BC513" s="297">
        <f>BA513+AQ513+U513</f>
        <v>19156.2</v>
      </c>
      <c r="BD513" s="299">
        <f>BC513/C513</f>
        <v>19156.2</v>
      </c>
      <c r="BE513" s="299"/>
    </row>
    <row r="514" spans="1:65" ht="28.5" x14ac:dyDescent="0.25">
      <c r="A514" s="344"/>
      <c r="B514" s="277" t="s">
        <v>292</v>
      </c>
      <c r="C514" s="278">
        <v>1</v>
      </c>
      <c r="D514" s="279"/>
      <c r="E514" s="279"/>
      <c r="F514" s="279"/>
      <c r="G514" s="279"/>
      <c r="H514" s="279"/>
      <c r="I514" s="279">
        <v>1</v>
      </c>
      <c r="J514" s="279"/>
      <c r="K514" s="279"/>
      <c r="L514" s="277">
        <v>4</v>
      </c>
      <c r="M514" s="280">
        <f>M$454</f>
        <v>3028</v>
      </c>
      <c r="N514" s="281">
        <f>N$244</f>
        <v>2</v>
      </c>
      <c r="O514" s="277">
        <v>1.43</v>
      </c>
      <c r="P514" s="282">
        <f>P$244</f>
        <v>1.58</v>
      </c>
      <c r="Q514" s="277"/>
      <c r="R514" s="280">
        <f>$R$565</f>
        <v>174</v>
      </c>
      <c r="S514" s="280">
        <f>T514/(R514/1)</f>
        <v>78.637931034482762</v>
      </c>
      <c r="T514" s="425">
        <f>ROUND(M514*N514*O514*P514,0)</f>
        <v>13683</v>
      </c>
      <c r="U514" s="284">
        <f>T514*C514</f>
        <v>13683</v>
      </c>
      <c r="V514" s="277">
        <v>16</v>
      </c>
      <c r="W514" s="285"/>
      <c r="X514" s="285">
        <f>U514*V514%</f>
        <v>2189.2800000000002</v>
      </c>
      <c r="Y514" s="277"/>
      <c r="Z514" s="277"/>
      <c r="AA514" s="277"/>
      <c r="AB514" s="277"/>
      <c r="AC514" s="277"/>
      <c r="AD514" s="277"/>
      <c r="AE514" s="277"/>
      <c r="AF514" s="277"/>
      <c r="AG514" s="277"/>
      <c r="AH514" s="277"/>
      <c r="AI514" s="277"/>
      <c r="AJ514" s="277"/>
      <c r="AK514" s="277"/>
      <c r="AL514" s="277"/>
      <c r="AM514" s="277">
        <f>T514*AK514%</f>
        <v>0</v>
      </c>
      <c r="AN514" s="277"/>
      <c r="AO514" s="277"/>
      <c r="AP514" s="277"/>
      <c r="AQ514" s="284">
        <f>X514+AA514+AD514+AG514+AJ514+AM514+AP514</f>
        <v>2189.2800000000002</v>
      </c>
      <c r="AR514" s="277">
        <f>AR$29</f>
        <v>20</v>
      </c>
      <c r="AS514" s="285">
        <f>AT514/C514</f>
        <v>2736.6000000000004</v>
      </c>
      <c r="AT514" s="280">
        <f>(U514)*AR514%</f>
        <v>2736.6000000000004</v>
      </c>
      <c r="AU514" s="277"/>
      <c r="AV514" s="277">
        <v>101</v>
      </c>
      <c r="AW514" s="277">
        <f>AU514*T514</f>
        <v>0</v>
      </c>
      <c r="AX514" s="277"/>
      <c r="AY514" s="285"/>
      <c r="AZ514" s="280"/>
      <c r="BA514" s="284">
        <f>AT514+AW514+AZ514</f>
        <v>2736.6000000000004</v>
      </c>
      <c r="BB514" s="284">
        <f>BC514/C514</f>
        <v>18608.88</v>
      </c>
      <c r="BC514" s="284">
        <f>BA514+AQ514+U514</f>
        <v>18608.88</v>
      </c>
      <c r="BD514" s="286">
        <f>BC514/C514</f>
        <v>18608.88</v>
      </c>
      <c r="BE514" s="286"/>
      <c r="BF514" s="241">
        <f>IF(D514=1,BC514,0)</f>
        <v>0</v>
      </c>
      <c r="BG514" s="241">
        <f>IF(E514=1,BC514,0)</f>
        <v>0</v>
      </c>
      <c r="BH514" s="251">
        <f>IF(F514=1,BC514,0)</f>
        <v>0</v>
      </c>
      <c r="BI514" s="241">
        <f>IF(G514=1,BC514,0)</f>
        <v>0</v>
      </c>
      <c r="BJ514" s="251">
        <f>IF(H514=1,BC514,0)</f>
        <v>0</v>
      </c>
      <c r="BK514" s="251">
        <f>IF(I514=1,BC514,0)</f>
        <v>18608.88</v>
      </c>
      <c r="BL514" s="251">
        <f>IF(J514=1,BC514,0)</f>
        <v>0</v>
      </c>
      <c r="BM514" s="241">
        <f>IF(K514=1,BC514,0)</f>
        <v>0</v>
      </c>
    </row>
    <row r="515" spans="1:65" ht="28.5" x14ac:dyDescent="0.25">
      <c r="A515" s="344"/>
      <c r="B515" s="288" t="s">
        <v>256</v>
      </c>
      <c r="C515" s="278">
        <v>1</v>
      </c>
      <c r="D515" s="279"/>
      <c r="E515" s="279"/>
      <c r="F515" s="279"/>
      <c r="G515" s="279"/>
      <c r="H515" s="279">
        <v>1</v>
      </c>
      <c r="I515" s="279"/>
      <c r="J515" s="279"/>
      <c r="K515" s="279"/>
      <c r="L515" s="277">
        <v>5</v>
      </c>
      <c r="M515" s="280">
        <f>M$454</f>
        <v>3028</v>
      </c>
      <c r="N515" s="281">
        <f>N$244</f>
        <v>2</v>
      </c>
      <c r="O515" s="277">
        <v>1.67</v>
      </c>
      <c r="P515" s="282">
        <f>P$244</f>
        <v>1.58</v>
      </c>
      <c r="Q515" s="277"/>
      <c r="R515" s="280">
        <f>$R$565</f>
        <v>174</v>
      </c>
      <c r="S515" s="280">
        <f>T515/(R515/1)</f>
        <v>91.833333333333329</v>
      </c>
      <c r="T515" s="425">
        <f>ROUND(M515*N515*O515*P515,0)</f>
        <v>15979</v>
      </c>
      <c r="U515" s="284">
        <f>T515*C515</f>
        <v>15979</v>
      </c>
      <c r="V515" s="277">
        <v>20</v>
      </c>
      <c r="W515" s="285"/>
      <c r="X515" s="285">
        <f>U515*V515%</f>
        <v>3195.8</v>
      </c>
      <c r="Y515" s="277"/>
      <c r="Z515" s="277"/>
      <c r="AA515" s="277"/>
      <c r="AB515" s="277"/>
      <c r="AC515" s="277"/>
      <c r="AD515" s="285"/>
      <c r="AE515" s="277"/>
      <c r="AF515" s="277"/>
      <c r="AG515" s="285"/>
      <c r="AH515" s="277"/>
      <c r="AI515" s="277"/>
      <c r="AJ515" s="285"/>
      <c r="AK515" s="277">
        <v>7</v>
      </c>
      <c r="AL515" s="277"/>
      <c r="AM515" s="285">
        <f>1*T515*AK515%</f>
        <v>1118.5300000000002</v>
      </c>
      <c r="AN515" s="277"/>
      <c r="AO515" s="277"/>
      <c r="AP515" s="285"/>
      <c r="AQ515" s="284">
        <f>X515+AA515+AD515+AG515+AJ515+AM515+AP515</f>
        <v>4314.33</v>
      </c>
      <c r="AR515" s="277">
        <f>AR$29</f>
        <v>20</v>
      </c>
      <c r="AS515" s="277">
        <f>AT515/C515</f>
        <v>3195.8</v>
      </c>
      <c r="AT515" s="280">
        <f>(U515)*AR515%</f>
        <v>3195.8</v>
      </c>
      <c r="AU515" s="277"/>
      <c r="AV515" s="277">
        <v>100</v>
      </c>
      <c r="AW515" s="277">
        <f>AU515*T515</f>
        <v>0</v>
      </c>
      <c r="AX515" s="277"/>
      <c r="AY515" s="277"/>
      <c r="AZ515" s="280"/>
      <c r="BA515" s="284">
        <f>AT515+AW515+AZ515</f>
        <v>3195.8</v>
      </c>
      <c r="BB515" s="284">
        <f>BC515/C515</f>
        <v>23489.13</v>
      </c>
      <c r="BC515" s="284">
        <f>BA515+AQ515+U515</f>
        <v>23489.13</v>
      </c>
      <c r="BD515" s="286">
        <f>BC515/C515</f>
        <v>23489.13</v>
      </c>
      <c r="BE515" s="286"/>
    </row>
    <row r="516" spans="1:65" s="287" customFormat="1" ht="6" customHeight="1" x14ac:dyDescent="0.25">
      <c r="A516" s="276"/>
      <c r="B516" s="277"/>
      <c r="C516" s="425"/>
      <c r="D516" s="279"/>
      <c r="E516" s="279"/>
      <c r="F516" s="279"/>
      <c r="G516" s="279"/>
      <c r="H516" s="279"/>
      <c r="I516" s="279"/>
      <c r="J516" s="279"/>
      <c r="K516" s="279"/>
      <c r="L516" s="277"/>
      <c r="M516" s="283"/>
      <c r="N516" s="277"/>
      <c r="O516" s="277"/>
      <c r="P516" s="277"/>
      <c r="Q516" s="277"/>
      <c r="R516" s="283"/>
      <c r="S516" s="283"/>
      <c r="T516" s="425"/>
      <c r="U516" s="284"/>
      <c r="V516" s="277"/>
      <c r="W516" s="277"/>
      <c r="X516" s="277"/>
      <c r="Y516" s="277"/>
      <c r="Z516" s="277"/>
      <c r="AA516" s="277"/>
      <c r="AB516" s="277"/>
      <c r="AC516" s="277"/>
      <c r="AD516" s="277"/>
      <c r="AE516" s="277"/>
      <c r="AF516" s="277"/>
      <c r="AG516" s="277"/>
      <c r="AH516" s="277"/>
      <c r="AI516" s="277"/>
      <c r="AJ516" s="277"/>
      <c r="AK516" s="277"/>
      <c r="AL516" s="277"/>
      <c r="AM516" s="277"/>
      <c r="AN516" s="277"/>
      <c r="AO516" s="277"/>
      <c r="AP516" s="277"/>
      <c r="AQ516" s="284">
        <f>X516+AA516+AD516+AG516+AJ516+AM516+AP516</f>
        <v>0</v>
      </c>
      <c r="AR516" s="277"/>
      <c r="AS516" s="277"/>
      <c r="AT516" s="280"/>
      <c r="AU516" s="277"/>
      <c r="AV516" s="277"/>
      <c r="AW516" s="277"/>
      <c r="AX516" s="277"/>
      <c r="AY516" s="277"/>
      <c r="AZ516" s="280"/>
      <c r="BA516" s="284"/>
      <c r="BB516" s="284"/>
      <c r="BC516" s="284"/>
      <c r="BD516" s="286"/>
      <c r="BE516" s="286"/>
    </row>
    <row r="517" spans="1:65" s="316" customFormat="1" ht="18" customHeight="1" x14ac:dyDescent="0.25">
      <c r="A517" s="306"/>
      <c r="B517" s="372" t="s">
        <v>229</v>
      </c>
      <c r="C517" s="329">
        <f>SUM(C512:C516)</f>
        <v>12</v>
      </c>
      <c r="D517" s="309"/>
      <c r="E517" s="309"/>
      <c r="F517" s="309"/>
      <c r="G517" s="309"/>
      <c r="H517" s="309"/>
      <c r="I517" s="309"/>
      <c r="J517" s="309"/>
      <c r="K517" s="309"/>
      <c r="L517" s="309"/>
      <c r="M517" s="310"/>
      <c r="N517" s="309"/>
      <c r="O517" s="309"/>
      <c r="P517" s="309"/>
      <c r="Q517" s="309"/>
      <c r="R517" s="310"/>
      <c r="S517" s="310"/>
      <c r="T517" s="349">
        <f>U517</f>
        <v>150994</v>
      </c>
      <c r="U517" s="329">
        <f>SUM(U512:U516)</f>
        <v>150994</v>
      </c>
      <c r="V517" s="309"/>
      <c r="W517" s="329"/>
      <c r="X517" s="329">
        <f>SUM(X512:X516)</f>
        <v>20492.239999999998</v>
      </c>
      <c r="Y517" s="329"/>
      <c r="Z517" s="329"/>
      <c r="AA517" s="329">
        <f>SUM(AA512:AA516)</f>
        <v>4853.28</v>
      </c>
      <c r="AB517" s="329"/>
      <c r="AC517" s="329"/>
      <c r="AD517" s="329">
        <f>SUM(AD512:AD516)</f>
        <v>3588.3</v>
      </c>
      <c r="AE517" s="329"/>
      <c r="AF517" s="329"/>
      <c r="AG517" s="329">
        <f>SUM(AG512:AG516)</f>
        <v>12559.05</v>
      </c>
      <c r="AH517" s="329"/>
      <c r="AI517" s="329"/>
      <c r="AJ517" s="329">
        <f>SUM(AJ512:AJ516)</f>
        <v>14951.249999999998</v>
      </c>
      <c r="AK517" s="309"/>
      <c r="AL517" s="309"/>
      <c r="AM517" s="309">
        <f>SUM(AM512:AM516)</f>
        <v>15950.17</v>
      </c>
      <c r="AN517" s="329"/>
      <c r="AO517" s="329"/>
      <c r="AP517" s="329">
        <f>SUM(AP512:AP516)</f>
        <v>0</v>
      </c>
      <c r="AQ517" s="329">
        <f>SUM(AQ512:AQ516)</f>
        <v>72394.290000000008</v>
      </c>
      <c r="AR517" s="329"/>
      <c r="AS517" s="329">
        <f>SUM(AS512:AS516)</f>
        <v>11061.2</v>
      </c>
      <c r="AT517" s="329">
        <f>SUM(AT512:AT516)</f>
        <v>30198.799999999999</v>
      </c>
      <c r="AU517" s="309">
        <f>SUM(AU512:AU516)</f>
        <v>1</v>
      </c>
      <c r="AV517" s="309"/>
      <c r="AW517" s="309">
        <f>SUM(AW512:AW516)</f>
        <v>11961</v>
      </c>
      <c r="AX517" s="329"/>
      <c r="AY517" s="329">
        <f>SUM(AY512:AY516)</f>
        <v>0</v>
      </c>
      <c r="AZ517" s="329">
        <f>SUM(AZ512:AZ516)</f>
        <v>0</v>
      </c>
      <c r="BA517" s="329">
        <f>SUM(BA512:BA516)</f>
        <v>42159.8</v>
      </c>
      <c r="BB517" s="329">
        <f>BC517/C517</f>
        <v>22129.007500000003</v>
      </c>
      <c r="BC517" s="329">
        <f>SUM(BC512:BC516)</f>
        <v>265548.09000000003</v>
      </c>
      <c r="BD517" s="286">
        <f>BC517/C517</f>
        <v>22129.007500000003</v>
      </c>
      <c r="BE517" s="286"/>
    </row>
    <row r="518" spans="1:65" s="316" customFormat="1" ht="28.5" x14ac:dyDescent="0.25">
      <c r="A518" s="306"/>
      <c r="B518" s="307" t="s">
        <v>285</v>
      </c>
      <c r="C518" s="329">
        <f>C488+C499+C510+C517</f>
        <v>51</v>
      </c>
      <c r="D518" s="309"/>
      <c r="E518" s="309"/>
      <c r="F518" s="309"/>
      <c r="G518" s="309"/>
      <c r="H518" s="309"/>
      <c r="I518" s="309"/>
      <c r="J518" s="309"/>
      <c r="K518" s="309"/>
      <c r="L518" s="309"/>
      <c r="M518" s="310"/>
      <c r="N518" s="309"/>
      <c r="O518" s="309"/>
      <c r="P518" s="309"/>
      <c r="Q518" s="309"/>
      <c r="R518" s="310"/>
      <c r="S518" s="310"/>
      <c r="T518" s="349">
        <f>U518</f>
        <v>717804</v>
      </c>
      <c r="U518" s="329">
        <f>U488+U499+U510+U517</f>
        <v>717804</v>
      </c>
      <c r="V518" s="309"/>
      <c r="W518" s="329"/>
      <c r="X518" s="329">
        <f>X488+X499+X510+X517</f>
        <v>113819</v>
      </c>
      <c r="Y518" s="329"/>
      <c r="Z518" s="329">
        <f>Z488+Z499+Z510+Z517</f>
        <v>0</v>
      </c>
      <c r="AA518" s="329">
        <f>AA488+AA499+AA510+AA517</f>
        <v>18930.32</v>
      </c>
      <c r="AB518" s="329"/>
      <c r="AC518" s="329"/>
      <c r="AD518" s="329">
        <f>AD488+AD499+AD510+AD517</f>
        <v>11884.2</v>
      </c>
      <c r="AE518" s="329"/>
      <c r="AF518" s="329">
        <f>AF488+AF499+AF510+AF517</f>
        <v>0</v>
      </c>
      <c r="AG518" s="329">
        <f>AG488+AG499+AG510+AG517</f>
        <v>41594.699999999997</v>
      </c>
      <c r="AH518" s="329"/>
      <c r="AI518" s="329">
        <f>AI488+AI499+AI510+AI517</f>
        <v>0</v>
      </c>
      <c r="AJ518" s="329">
        <f>AJ488+AJ499+AJ510+AJ517</f>
        <v>49517.5</v>
      </c>
      <c r="AK518" s="329"/>
      <c r="AL518" s="329">
        <f>AL488+AL499+AL510+AL517</f>
        <v>0</v>
      </c>
      <c r="AM518" s="329">
        <f>AM488+AM499+AM510+AM517</f>
        <v>54220.639999999999</v>
      </c>
      <c r="AN518" s="329"/>
      <c r="AO518" s="329">
        <f>AO488+AO499+AO510+AO517</f>
        <v>0</v>
      </c>
      <c r="AP518" s="329">
        <f>AP488+AP499+AP510+AP517</f>
        <v>5541.25</v>
      </c>
      <c r="AQ518" s="329">
        <f>AQ488+AQ499+AQ510+AQ517</f>
        <v>295507.61</v>
      </c>
      <c r="AR518" s="329"/>
      <c r="AS518" s="329">
        <f>AS488+AS499+AS510+AS517</f>
        <v>71843.600000000006</v>
      </c>
      <c r="AT518" s="329">
        <f>AT488+AT499+AT510+AT517</f>
        <v>143560.80000000002</v>
      </c>
      <c r="AU518" s="329">
        <f>AU488+AU499+AU510+AU517</f>
        <v>3</v>
      </c>
      <c r="AV518" s="329"/>
      <c r="AW518" s="329">
        <f>AW488+AW499+AW510+AW517</f>
        <v>43824</v>
      </c>
      <c r="AX518" s="329"/>
      <c r="AY518" s="329">
        <f>AY488+AY499+AY510+AY517</f>
        <v>-408.56400000000031</v>
      </c>
      <c r="AZ518" s="329">
        <f>AZ488+AZ499+AZ510+AZ517</f>
        <v>0</v>
      </c>
      <c r="BA518" s="329">
        <f>BA488+BA499+BA510+BA517</f>
        <v>187384.8</v>
      </c>
      <c r="BB518" s="329">
        <f>BB488+BB499+BB510+BB517</f>
        <v>406696.92816666671</v>
      </c>
      <c r="BC518" s="329">
        <f>BC488+BC499+BC510+BC517</f>
        <v>1200696.4099999999</v>
      </c>
      <c r="BD518" s="286">
        <f>BC518/C518</f>
        <v>23543.066862745098</v>
      </c>
      <c r="BE518" s="286"/>
      <c r="BF518" s="329">
        <f t="shared" ref="BF518:BM518" si="427">BF488+BF510+BF517</f>
        <v>0</v>
      </c>
      <c r="BG518" s="329">
        <f t="shared" si="427"/>
        <v>0</v>
      </c>
      <c r="BH518" s="329">
        <f t="shared" si="427"/>
        <v>0</v>
      </c>
      <c r="BI518" s="329">
        <f t="shared" si="427"/>
        <v>0</v>
      </c>
      <c r="BJ518" s="329">
        <f t="shared" si="427"/>
        <v>78184.56</v>
      </c>
      <c r="BK518" s="329">
        <f t="shared" si="427"/>
        <v>0</v>
      </c>
      <c r="BL518" s="329">
        <f t="shared" si="427"/>
        <v>0</v>
      </c>
      <c r="BM518" s="329">
        <f t="shared" si="427"/>
        <v>0</v>
      </c>
    </row>
    <row r="519" spans="1:65" s="287" customFormat="1" ht="7.5" customHeight="1" x14ac:dyDescent="0.25">
      <c r="A519" s="380"/>
      <c r="B519" s="274"/>
      <c r="C519" s="381"/>
      <c r="M519" s="382"/>
      <c r="R519" s="382"/>
      <c r="S519" s="382"/>
      <c r="T519" s="323"/>
      <c r="U519" s="323"/>
      <c r="X519" s="323"/>
      <c r="Y519" s="323"/>
      <c r="Z519" s="323"/>
      <c r="AA519" s="323"/>
      <c r="AB519" s="323"/>
      <c r="AC519" s="323"/>
      <c r="AD519" s="323"/>
      <c r="AE519" s="323"/>
      <c r="AF519" s="323"/>
      <c r="AG519" s="323"/>
      <c r="AH519" s="323"/>
      <c r="AI519" s="323"/>
      <c r="AJ519" s="323"/>
      <c r="AK519" s="323"/>
      <c r="AL519" s="394"/>
      <c r="AM519" s="394"/>
      <c r="AN519" s="323"/>
      <c r="AO519" s="323"/>
      <c r="AP519" s="323"/>
      <c r="AQ519" s="323"/>
      <c r="AT519" s="382"/>
      <c r="AV519" s="395"/>
      <c r="AW519" s="395"/>
      <c r="AZ519" s="382"/>
      <c r="BA519" s="323"/>
      <c r="BB519" s="323"/>
      <c r="BC519" s="323"/>
      <c r="BD519" s="286"/>
      <c r="BE519" s="286"/>
    </row>
    <row r="520" spans="1:65" s="275" customFormat="1" ht="19.5" customHeight="1" x14ac:dyDescent="0.25">
      <c r="A520" s="270" t="s">
        <v>258</v>
      </c>
      <c r="B520" s="271" t="s">
        <v>99</v>
      </c>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c r="AA520" s="272"/>
      <c r="AB520" s="272"/>
      <c r="AC520" s="272"/>
      <c r="AD520" s="272"/>
      <c r="AE520" s="272"/>
      <c r="AF520" s="272"/>
      <c r="AG520" s="272"/>
      <c r="AH520" s="272"/>
      <c r="AI520" s="272"/>
      <c r="AJ520" s="272"/>
      <c r="AK520" s="272"/>
      <c r="AL520" s="272"/>
      <c r="AM520" s="272"/>
      <c r="AN520" s="272"/>
      <c r="AO520" s="272"/>
      <c r="AP520" s="272"/>
      <c r="AQ520" s="272"/>
      <c r="AR520" s="272"/>
      <c r="AS520" s="272"/>
      <c r="AT520" s="272"/>
      <c r="AU520" s="272"/>
      <c r="AV520" s="272"/>
      <c r="AW520" s="272"/>
      <c r="AX520" s="272"/>
      <c r="AY520" s="272"/>
      <c r="AZ520" s="272"/>
      <c r="BA520" s="272"/>
      <c r="BB520" s="272"/>
      <c r="BC520" s="273"/>
      <c r="BD520" s="286"/>
      <c r="BE520" s="286"/>
    </row>
    <row r="521" spans="1:65" s="388" customFormat="1" ht="22.15" customHeight="1" x14ac:dyDescent="0.25">
      <c r="A521" s="383"/>
      <c r="B521" s="384" t="s">
        <v>259</v>
      </c>
      <c r="C521" s="385"/>
      <c r="D521" s="384"/>
      <c r="E521" s="384"/>
      <c r="F521" s="384"/>
      <c r="G521" s="384"/>
      <c r="H521" s="384"/>
      <c r="I521" s="384"/>
      <c r="J521" s="384"/>
      <c r="K521" s="384"/>
      <c r="L521" s="384"/>
      <c r="M521" s="386"/>
      <c r="N521" s="384"/>
      <c r="O521" s="384"/>
      <c r="P521" s="384"/>
      <c r="Q521" s="384"/>
      <c r="R521" s="386"/>
      <c r="S521" s="386"/>
      <c r="T521" s="385"/>
      <c r="U521" s="384"/>
      <c r="V521" s="384"/>
      <c r="W521" s="384"/>
      <c r="X521" s="384"/>
      <c r="Y521" s="384"/>
      <c r="Z521" s="384"/>
      <c r="AA521" s="384"/>
      <c r="AB521" s="384"/>
      <c r="AC521" s="384"/>
      <c r="AD521" s="384"/>
      <c r="AE521" s="384"/>
      <c r="AF521" s="384"/>
      <c r="AG521" s="384"/>
      <c r="AH521" s="384"/>
      <c r="AI521" s="384"/>
      <c r="AJ521" s="384"/>
      <c r="AK521" s="384"/>
      <c r="AL521" s="384"/>
      <c r="AM521" s="384"/>
      <c r="AN521" s="384"/>
      <c r="AO521" s="384"/>
      <c r="AP521" s="384"/>
      <c r="AQ521" s="387"/>
      <c r="AR521" s="384"/>
      <c r="AS521" s="384"/>
      <c r="AT521" s="386"/>
      <c r="AU521" s="384"/>
      <c r="AV521" s="384"/>
      <c r="AW521" s="384"/>
      <c r="AX521" s="384"/>
      <c r="AY521" s="384"/>
      <c r="AZ521" s="386"/>
      <c r="BA521" s="384"/>
      <c r="BB521" s="384"/>
      <c r="BC521" s="387"/>
      <c r="BD521" s="286"/>
      <c r="BE521" s="286"/>
    </row>
    <row r="522" spans="1:65" s="287" customFormat="1" x14ac:dyDescent="0.25">
      <c r="A522" s="276"/>
      <c r="B522" s="277" t="s">
        <v>260</v>
      </c>
      <c r="C522" s="425">
        <f>1</f>
        <v>1</v>
      </c>
      <c r="D522" s="279"/>
      <c r="E522" s="279"/>
      <c r="F522" s="279"/>
      <c r="G522" s="279"/>
      <c r="H522" s="279"/>
      <c r="I522" s="279"/>
      <c r="J522" s="279">
        <v>1</v>
      </c>
      <c r="K522" s="279"/>
      <c r="L522" s="277"/>
      <c r="M522" s="280">
        <f>M$454</f>
        <v>3028</v>
      </c>
      <c r="N522" s="281">
        <f>N$244</f>
        <v>2</v>
      </c>
      <c r="O522" s="282">
        <v>2.35</v>
      </c>
      <c r="P522" s="282">
        <f>P$244</f>
        <v>1.58</v>
      </c>
      <c r="Q522" s="282"/>
      <c r="R522" s="280">
        <f>$R$565</f>
        <v>174</v>
      </c>
      <c r="S522" s="280">
        <f>T522/(R522/1)</f>
        <v>129.22988505747125</v>
      </c>
      <c r="T522" s="425">
        <f>ROUND(M522*N522*O522*P522,0)</f>
        <v>22486</v>
      </c>
      <c r="U522" s="284">
        <f>T522*C522</f>
        <v>22486</v>
      </c>
      <c r="V522" s="277">
        <v>30</v>
      </c>
      <c r="W522" s="285"/>
      <c r="X522" s="285">
        <f>U522*V522%</f>
        <v>6745.8</v>
      </c>
      <c r="Y522" s="277"/>
      <c r="Z522" s="277"/>
      <c r="AA522" s="277"/>
      <c r="AB522" s="277"/>
      <c r="AC522" s="277"/>
      <c r="AD522" s="277"/>
      <c r="AE522" s="277"/>
      <c r="AF522" s="277"/>
      <c r="AG522" s="277"/>
      <c r="AH522" s="277"/>
      <c r="AI522" s="277"/>
      <c r="AJ522" s="277"/>
      <c r="AK522" s="277">
        <v>15</v>
      </c>
      <c r="AL522" s="277"/>
      <c r="AM522" s="285">
        <f>T522*AK522%*1</f>
        <v>3372.9</v>
      </c>
      <c r="AN522" s="277"/>
      <c r="AO522" s="277"/>
      <c r="AP522" s="277"/>
      <c r="AQ522" s="284">
        <f t="shared" ref="AQ522:AQ528" si="428">X522+AA522+AD522+AG522+AJ522+AM522+AP522</f>
        <v>10118.700000000001</v>
      </c>
      <c r="AR522" s="277">
        <f>AR$29</f>
        <v>20</v>
      </c>
      <c r="AS522" s="277">
        <f>AT522/C522</f>
        <v>4497.2</v>
      </c>
      <c r="AT522" s="280">
        <f>(U522)*AR522%</f>
        <v>4497.2</v>
      </c>
      <c r="AU522" s="277"/>
      <c r="AV522" s="277">
        <v>100</v>
      </c>
      <c r="AW522" s="277">
        <f>AU522*T522</f>
        <v>0</v>
      </c>
      <c r="AX522" s="277"/>
      <c r="AY522" s="277"/>
      <c r="AZ522" s="280"/>
      <c r="BA522" s="284">
        <f>AT522+AW522+AZ522</f>
        <v>4497.2</v>
      </c>
      <c r="BB522" s="284">
        <f>BC522/C522</f>
        <v>37101.9</v>
      </c>
      <c r="BC522" s="284">
        <f>BA522+AQ522+U522</f>
        <v>37101.9</v>
      </c>
      <c r="BD522" s="286">
        <f>BC522/C522</f>
        <v>37101.9</v>
      </c>
      <c r="BE522" s="286"/>
      <c r="BF522" s="251">
        <f>IF(D522=1,BC522,0)</f>
        <v>0</v>
      </c>
      <c r="BG522" s="251">
        <f>IF(E522=1,BC522,0)</f>
        <v>0</v>
      </c>
      <c r="BH522" s="251">
        <f>IF(F522=1,BC522,0)</f>
        <v>0</v>
      </c>
      <c r="BI522" s="251">
        <f>IF(G522=1,BC522,0)</f>
        <v>0</v>
      </c>
      <c r="BJ522" s="251">
        <f>IF(H522=1,BC522,0)</f>
        <v>0</v>
      </c>
      <c r="BK522" s="251">
        <f>IF(I522=1,BC522,0)</f>
        <v>0</v>
      </c>
      <c r="BL522" s="251">
        <f>IF(J522=1,BC522,0)</f>
        <v>37101.9</v>
      </c>
      <c r="BM522" s="251">
        <f>IF(K522=1,BC522,0)</f>
        <v>0</v>
      </c>
    </row>
    <row r="523" spans="1:65" s="287" customFormat="1" x14ac:dyDescent="0.25">
      <c r="A523" s="276"/>
      <c r="B523" s="288" t="s">
        <v>238</v>
      </c>
      <c r="C523" s="425">
        <v>2</v>
      </c>
      <c r="D523" s="279"/>
      <c r="E523" s="279"/>
      <c r="F523" s="279"/>
      <c r="G523" s="279"/>
      <c r="H523" s="279"/>
      <c r="I523" s="279"/>
      <c r="J523" s="279">
        <v>1</v>
      </c>
      <c r="K523" s="279"/>
      <c r="L523" s="277"/>
      <c r="M523" s="280">
        <f>M$454</f>
        <v>3028</v>
      </c>
      <c r="N523" s="281">
        <f>N$244</f>
        <v>2</v>
      </c>
      <c r="O523" s="282">
        <v>1.8</v>
      </c>
      <c r="P523" s="282">
        <f>P$244</f>
        <v>1.58</v>
      </c>
      <c r="Q523" s="282"/>
      <c r="R523" s="280">
        <f>$R$565</f>
        <v>174</v>
      </c>
      <c r="S523" s="280">
        <f>T523/(R523/1)</f>
        <v>98.982758620689651</v>
      </c>
      <c r="T523" s="425">
        <f>ROUND(M523*N523*O523*P523,0)</f>
        <v>17223</v>
      </c>
      <c r="U523" s="284">
        <f>T523*C523</f>
        <v>34446</v>
      </c>
      <c r="V523" s="277">
        <v>20</v>
      </c>
      <c r="W523" s="285"/>
      <c r="X523" s="285">
        <f>U523*V523%</f>
        <v>6889.2000000000007</v>
      </c>
      <c r="Y523" s="277"/>
      <c r="Z523" s="277"/>
      <c r="AA523" s="277"/>
      <c r="AB523" s="277"/>
      <c r="AC523" s="277"/>
      <c r="AD523" s="277"/>
      <c r="AE523" s="277"/>
      <c r="AF523" s="277"/>
      <c r="AG523" s="277"/>
      <c r="AH523" s="277"/>
      <c r="AI523" s="277"/>
      <c r="AJ523" s="277"/>
      <c r="AK523" s="277">
        <f>(15+15)/2</f>
        <v>15</v>
      </c>
      <c r="AL523" s="277"/>
      <c r="AM523" s="342">
        <f>2*T523*AK523%*1</f>
        <v>5166.8999999999996</v>
      </c>
      <c r="AN523" s="277"/>
      <c r="AO523" s="277"/>
      <c r="AP523" s="277"/>
      <c r="AQ523" s="284">
        <f t="shared" si="428"/>
        <v>12056.1</v>
      </c>
      <c r="AR523" s="277">
        <f>AR$29</f>
        <v>20</v>
      </c>
      <c r="AS523" s="285">
        <f>AT523/C523</f>
        <v>3444.6000000000004</v>
      </c>
      <c r="AT523" s="280">
        <f>(U523)*AR523%</f>
        <v>6889.2000000000007</v>
      </c>
      <c r="AU523" s="277"/>
      <c r="AV523" s="277">
        <v>100</v>
      </c>
      <c r="AW523" s="277">
        <f>AU523*T523</f>
        <v>0</v>
      </c>
      <c r="AX523" s="277"/>
      <c r="AY523" s="285"/>
      <c r="AZ523" s="280"/>
      <c r="BA523" s="284">
        <f>AT523+AW523+AZ523</f>
        <v>6889.2000000000007</v>
      </c>
      <c r="BB523" s="284">
        <f>BC523/C523</f>
        <v>26695.65</v>
      </c>
      <c r="BC523" s="284">
        <f>BA523+AQ523+U523</f>
        <v>53391.3</v>
      </c>
      <c r="BD523" s="286">
        <f>BC523/C523</f>
        <v>26695.65</v>
      </c>
      <c r="BE523" s="286"/>
      <c r="BF523" s="251">
        <f>IF(D523=1,BC523,0)</f>
        <v>0</v>
      </c>
      <c r="BG523" s="251">
        <f>IF(E523=1,BC523,0)</f>
        <v>0</v>
      </c>
      <c r="BH523" s="251">
        <f>IF(F523=1,BC523,0)</f>
        <v>0</v>
      </c>
      <c r="BI523" s="251">
        <f>IF(G523=1,BC523,0)</f>
        <v>0</v>
      </c>
      <c r="BJ523" s="251">
        <f>IF(H523=1,BC523,0)</f>
        <v>0</v>
      </c>
      <c r="BK523" s="251">
        <f>IF(I523=1,BC523,0)</f>
        <v>0</v>
      </c>
      <c r="BL523" s="251">
        <f>IF(J523=1,BC523,0)</f>
        <v>53391.3</v>
      </c>
      <c r="BM523" s="251">
        <f>IF(K523=1,BC523,0)</f>
        <v>0</v>
      </c>
    </row>
    <row r="524" spans="1:65" s="287" customFormat="1" ht="29.25" customHeight="1" x14ac:dyDescent="0.25">
      <c r="A524" s="276"/>
      <c r="B524" s="288" t="s">
        <v>261</v>
      </c>
      <c r="C524" s="278">
        <v>1</v>
      </c>
      <c r="D524" s="279"/>
      <c r="E524" s="279"/>
      <c r="F524" s="279"/>
      <c r="G524" s="279"/>
      <c r="H524" s="279">
        <v>1</v>
      </c>
      <c r="I524" s="279"/>
      <c r="J524" s="279"/>
      <c r="K524" s="279"/>
      <c r="L524" s="277"/>
      <c r="M524" s="280">
        <f>M$454</f>
        <v>3028</v>
      </c>
      <c r="N524" s="281">
        <f>N$244</f>
        <v>2</v>
      </c>
      <c r="O524" s="282">
        <v>1.32</v>
      </c>
      <c r="P524" s="282">
        <f>P$244</f>
        <v>1.58</v>
      </c>
      <c r="Q524" s="282"/>
      <c r="R524" s="280">
        <f>$R$565</f>
        <v>174</v>
      </c>
      <c r="S524" s="280">
        <f>T524/(R524/1)</f>
        <v>72.58620689655173</v>
      </c>
      <c r="T524" s="425">
        <f>ROUND(M524*N524*O524*P524,0)</f>
        <v>12630</v>
      </c>
      <c r="U524" s="284">
        <f>T524*C524</f>
        <v>12630</v>
      </c>
      <c r="V524" s="277">
        <v>12</v>
      </c>
      <c r="W524" s="285"/>
      <c r="X524" s="285">
        <f>U524*V524%</f>
        <v>1515.6</v>
      </c>
      <c r="Y524" s="277"/>
      <c r="Z524" s="277"/>
      <c r="AA524" s="277"/>
      <c r="AB524" s="277"/>
      <c r="AC524" s="277"/>
      <c r="AD524" s="277"/>
      <c r="AE524" s="277"/>
      <c r="AF524" s="277"/>
      <c r="AG524" s="277"/>
      <c r="AH524" s="277"/>
      <c r="AI524" s="277"/>
      <c r="AJ524" s="277"/>
      <c r="AK524" s="277">
        <v>20</v>
      </c>
      <c r="AL524" s="277"/>
      <c r="AM524" s="342">
        <f>1*T524*AK524%*1</f>
        <v>2526</v>
      </c>
      <c r="AN524" s="277"/>
      <c r="AO524" s="277"/>
      <c r="AP524" s="277"/>
      <c r="AQ524" s="284">
        <f>X524+AA524+AD524+AG524+AJ524+AM524+AP524</f>
        <v>4041.6</v>
      </c>
      <c r="AR524" s="277">
        <f>AR$29</f>
        <v>20</v>
      </c>
      <c r="AS524" s="285">
        <f>AT524/C524</f>
        <v>2526</v>
      </c>
      <c r="AT524" s="280">
        <f>(U524)*AR524%</f>
        <v>2526</v>
      </c>
      <c r="AU524" s="277"/>
      <c r="AV524" s="277">
        <v>100</v>
      </c>
      <c r="AW524" s="277">
        <f>AU524*T524</f>
        <v>0</v>
      </c>
      <c r="AX524" s="277"/>
      <c r="AY524" s="285"/>
      <c r="AZ524" s="280"/>
      <c r="BA524" s="284">
        <f>AT524+AW524+AZ524</f>
        <v>2526</v>
      </c>
      <c r="BB524" s="284">
        <f>BC524/C524</f>
        <v>19197.599999999999</v>
      </c>
      <c r="BC524" s="284">
        <f>BA524+AQ524+U524</f>
        <v>19197.599999999999</v>
      </c>
      <c r="BD524" s="286">
        <f>BC524/C524</f>
        <v>19197.599999999999</v>
      </c>
      <c r="BE524" s="286"/>
      <c r="BF524" s="251">
        <f>IF(D524=1,BC524,0)</f>
        <v>0</v>
      </c>
      <c r="BG524" s="251">
        <f>IF(E524=1,BC524,0)</f>
        <v>0</v>
      </c>
      <c r="BH524" s="251">
        <f>IF(F524=1,BC524,0)</f>
        <v>0</v>
      </c>
      <c r="BI524" s="251">
        <f>IF(G524=1,BC524,0)</f>
        <v>0</v>
      </c>
      <c r="BJ524" s="251">
        <f>IF(H524=1,BC524,0)</f>
        <v>19197.599999999999</v>
      </c>
      <c r="BK524" s="251">
        <f>IF(I524=1,BC524,0)</f>
        <v>0</v>
      </c>
      <c r="BL524" s="251">
        <f>IF(J524=1,BC524,0)</f>
        <v>0</v>
      </c>
      <c r="BM524" s="251">
        <f>IF(K524=1,BC524,0)</f>
        <v>0</v>
      </c>
    </row>
    <row r="525" spans="1:65" s="287" customFormat="1" ht="14.25" customHeight="1" x14ac:dyDescent="0.25">
      <c r="A525" s="276"/>
      <c r="B525" s="288" t="s">
        <v>293</v>
      </c>
      <c r="C525" s="278">
        <f>4</f>
        <v>4</v>
      </c>
      <c r="D525" s="279"/>
      <c r="E525" s="279"/>
      <c r="F525" s="279"/>
      <c r="G525" s="279"/>
      <c r="H525" s="279">
        <v>1</v>
      </c>
      <c r="I525" s="279"/>
      <c r="J525" s="279"/>
      <c r="K525" s="279"/>
      <c r="L525" s="277"/>
      <c r="M525" s="280">
        <f>M$454</f>
        <v>3028</v>
      </c>
      <c r="N525" s="281">
        <f>N$244</f>
        <v>2</v>
      </c>
      <c r="O525" s="282">
        <v>1.2</v>
      </c>
      <c r="P525" s="282">
        <f>P$244</f>
        <v>1.58</v>
      </c>
      <c r="Q525" s="282"/>
      <c r="R525" s="280">
        <f>$R$565</f>
        <v>174</v>
      </c>
      <c r="S525" s="280">
        <f>T525/(R525/1)</f>
        <v>65.988505747126439</v>
      </c>
      <c r="T525" s="425">
        <f>ROUND(M525*N525*O525*P525,0)</f>
        <v>11482</v>
      </c>
      <c r="U525" s="284">
        <f>T525*C525</f>
        <v>45928</v>
      </c>
      <c r="V525" s="277">
        <v>12</v>
      </c>
      <c r="W525" s="285"/>
      <c r="X525" s="285">
        <f>U525*V525%</f>
        <v>5511.36</v>
      </c>
      <c r="Y525" s="277"/>
      <c r="Z525" s="277"/>
      <c r="AA525" s="277"/>
      <c r="AB525" s="277"/>
      <c r="AC525" s="277"/>
      <c r="AD525" s="277"/>
      <c r="AE525" s="277"/>
      <c r="AF525" s="277"/>
      <c r="AG525" s="277"/>
      <c r="AH525" s="277"/>
      <c r="AI525" s="277"/>
      <c r="AJ525" s="277"/>
      <c r="AK525" s="277">
        <f>(15+20+10+10)/4</f>
        <v>13.75</v>
      </c>
      <c r="AL525" s="277"/>
      <c r="AM525" s="342">
        <f>4*T525*AK525%*1</f>
        <v>6315.1</v>
      </c>
      <c r="AN525" s="277"/>
      <c r="AO525" s="277"/>
      <c r="AP525" s="277"/>
      <c r="AQ525" s="284">
        <f t="shared" si="428"/>
        <v>11826.46</v>
      </c>
      <c r="AR525" s="277">
        <f>AR$29</f>
        <v>20</v>
      </c>
      <c r="AS525" s="285">
        <f>AT525/C525</f>
        <v>2296.4</v>
      </c>
      <c r="AT525" s="280">
        <f>(U525)*AR525%</f>
        <v>9185.6</v>
      </c>
      <c r="AU525" s="277"/>
      <c r="AV525" s="277">
        <v>100</v>
      </c>
      <c r="AW525" s="277">
        <f>AU525*T525</f>
        <v>0</v>
      </c>
      <c r="AX525" s="277"/>
      <c r="AY525" s="285"/>
      <c r="AZ525" s="280"/>
      <c r="BA525" s="284">
        <f>AT525+AW525+AZ525</f>
        <v>9185.6</v>
      </c>
      <c r="BB525" s="284">
        <f>BC525/C525</f>
        <v>16735.014999999999</v>
      </c>
      <c r="BC525" s="284">
        <f>BA525+AQ525+U525</f>
        <v>66940.06</v>
      </c>
      <c r="BD525" s="286">
        <f>BC525/C525</f>
        <v>16735.014999999999</v>
      </c>
      <c r="BE525" s="286"/>
      <c r="BF525" s="251">
        <f>IF(D525=1,BC525,0)</f>
        <v>0</v>
      </c>
      <c r="BG525" s="251">
        <f>IF(E525=1,BC525,0)</f>
        <v>0</v>
      </c>
      <c r="BH525" s="251">
        <f>IF(F525=1,BC525,0)</f>
        <v>0</v>
      </c>
      <c r="BI525" s="251">
        <f>IF(G525=1,BC525,0)</f>
        <v>0</v>
      </c>
      <c r="BJ525" s="251">
        <f>IF(H525=1,BC525,0)</f>
        <v>66940.06</v>
      </c>
      <c r="BK525" s="251">
        <f>IF(I525=1,BC525,0)</f>
        <v>0</v>
      </c>
      <c r="BL525" s="251">
        <f>IF(J525=1,BC525,0)</f>
        <v>0</v>
      </c>
      <c r="BM525" s="251">
        <f>IF(K525=1,BC525,0)</f>
        <v>0</v>
      </c>
    </row>
    <row r="526" spans="1:65" s="301" customFormat="1" ht="14.25" customHeight="1" x14ac:dyDescent="0.25">
      <c r="A526" s="289"/>
      <c r="B526" s="290" t="s">
        <v>293</v>
      </c>
      <c r="C526" s="376">
        <v>6</v>
      </c>
      <c r="D526" s="292"/>
      <c r="E526" s="292"/>
      <c r="F526" s="292"/>
      <c r="G526" s="292"/>
      <c r="H526" s="292"/>
      <c r="I526" s="292">
        <v>1</v>
      </c>
      <c r="J526" s="292"/>
      <c r="K526" s="292"/>
      <c r="L526" s="293"/>
      <c r="M526" s="294">
        <f>M$454</f>
        <v>3028</v>
      </c>
      <c r="N526" s="429">
        <f>N$244</f>
        <v>2</v>
      </c>
      <c r="O526" s="295">
        <v>1.2</v>
      </c>
      <c r="P526" s="295">
        <f>P$244</f>
        <v>1.58</v>
      </c>
      <c r="Q526" s="295"/>
      <c r="R526" s="294">
        <f>$R$565</f>
        <v>174</v>
      </c>
      <c r="S526" s="294">
        <f>T526/(R526/1)</f>
        <v>65.988505747126439</v>
      </c>
      <c r="T526" s="291">
        <f>ROUND(M526*N526*O526*P526,0)</f>
        <v>11482</v>
      </c>
      <c r="U526" s="297">
        <f>T526*C526</f>
        <v>68892</v>
      </c>
      <c r="V526" s="293">
        <v>12</v>
      </c>
      <c r="W526" s="298"/>
      <c r="X526" s="298">
        <f>U526*V526%</f>
        <v>8267.0399999999991</v>
      </c>
      <c r="Y526" s="293"/>
      <c r="Z526" s="293"/>
      <c r="AA526" s="293"/>
      <c r="AB526" s="293"/>
      <c r="AC526" s="293"/>
      <c r="AD526" s="293"/>
      <c r="AE526" s="293"/>
      <c r="AF526" s="293"/>
      <c r="AG526" s="293"/>
      <c r="AH526" s="293"/>
      <c r="AI526" s="293"/>
      <c r="AJ526" s="293"/>
      <c r="AK526" s="277">
        <f>(10+10)/2</f>
        <v>10</v>
      </c>
      <c r="AL526" s="293"/>
      <c r="AM526" s="298">
        <f>2*T526*AK526%*1</f>
        <v>2296.4</v>
      </c>
      <c r="AN526" s="293"/>
      <c r="AO526" s="293"/>
      <c r="AP526" s="293"/>
      <c r="AQ526" s="297">
        <f t="shared" si="428"/>
        <v>10563.439999999999</v>
      </c>
      <c r="AR526" s="293">
        <f>AR$29</f>
        <v>20</v>
      </c>
      <c r="AS526" s="298">
        <f>AT526/C526</f>
        <v>2296.4</v>
      </c>
      <c r="AT526" s="294">
        <f>(U526)*AR526%</f>
        <v>13778.400000000001</v>
      </c>
      <c r="AU526" s="293"/>
      <c r="AV526" s="293">
        <v>100</v>
      </c>
      <c r="AW526" s="293">
        <f>AU526*T526</f>
        <v>0</v>
      </c>
      <c r="AX526" s="293"/>
      <c r="AY526" s="298"/>
      <c r="AZ526" s="294"/>
      <c r="BA526" s="297">
        <f>AT526+AW526+AZ526</f>
        <v>13778.400000000001</v>
      </c>
      <c r="BB526" s="297">
        <f>BC526/C526</f>
        <v>15538.973333333333</v>
      </c>
      <c r="BC526" s="297">
        <f>BA526+AQ526+U526</f>
        <v>93233.84</v>
      </c>
      <c r="BD526" s="299">
        <f>BC526/C526</f>
        <v>15538.973333333333</v>
      </c>
      <c r="BE526" s="299"/>
      <c r="BF526" s="300">
        <f>IF(D526=1,BC526,0)</f>
        <v>0</v>
      </c>
      <c r="BG526" s="300">
        <f>IF(E526=1,BC526,0)</f>
        <v>0</v>
      </c>
      <c r="BH526" s="300">
        <f>IF(F526=1,BC526,0)</f>
        <v>0</v>
      </c>
      <c r="BI526" s="300">
        <f>IF(G526=1,BC526,0)</f>
        <v>0</v>
      </c>
      <c r="BJ526" s="300">
        <f>IF(H526=1,BC526,0)</f>
        <v>0</v>
      </c>
      <c r="BK526" s="300">
        <f>IF(I526=1,BC526,0)</f>
        <v>93233.84</v>
      </c>
      <c r="BL526" s="300">
        <f>IF(J526=1,BC526,0)</f>
        <v>0</v>
      </c>
      <c r="BM526" s="300">
        <f>IF(K526=1,BC526,0)</f>
        <v>0</v>
      </c>
    </row>
    <row r="527" spans="1:65" s="301" customFormat="1" x14ac:dyDescent="0.25">
      <c r="A527" s="289"/>
      <c r="B527" s="290"/>
      <c r="C527" s="291"/>
      <c r="D527" s="292"/>
      <c r="E527" s="292"/>
      <c r="F527" s="292"/>
      <c r="G527" s="292"/>
      <c r="H527" s="292"/>
      <c r="I527" s="292"/>
      <c r="J527" s="292"/>
      <c r="K527" s="292"/>
      <c r="L527" s="293"/>
      <c r="M527" s="294"/>
      <c r="N527" s="429"/>
      <c r="O527" s="430"/>
      <c r="P527" s="430"/>
      <c r="Q527" s="295"/>
      <c r="R527" s="294"/>
      <c r="S527" s="294"/>
      <c r="T527" s="291"/>
      <c r="U527" s="297"/>
      <c r="V527" s="293"/>
      <c r="W527" s="298"/>
      <c r="X527" s="298"/>
      <c r="Y527" s="293"/>
      <c r="Z527" s="293"/>
      <c r="AA527" s="293"/>
      <c r="AB527" s="293"/>
      <c r="AC527" s="293"/>
      <c r="AD527" s="293"/>
      <c r="AE527" s="293"/>
      <c r="AF527" s="293"/>
      <c r="AG527" s="293"/>
      <c r="AH527" s="293"/>
      <c r="AI527" s="293"/>
      <c r="AJ527" s="293"/>
      <c r="AK527" s="277"/>
      <c r="AL527" s="293"/>
      <c r="AM527" s="298"/>
      <c r="AN527" s="293"/>
      <c r="AO527" s="293"/>
      <c r="AP527" s="293"/>
      <c r="AQ527" s="297"/>
      <c r="AR527" s="293"/>
      <c r="AS527" s="298"/>
      <c r="AT527" s="294"/>
      <c r="AU527" s="293"/>
      <c r="AV527" s="293"/>
      <c r="AW527" s="293"/>
      <c r="AX527" s="431"/>
      <c r="AY527" s="431"/>
      <c r="AZ527" s="431"/>
      <c r="BA527" s="297"/>
      <c r="BB527" s="297"/>
      <c r="BC527" s="297"/>
      <c r="BD527" s="463"/>
      <c r="BE527" s="299"/>
      <c r="BF527" s="300"/>
      <c r="BG527" s="300"/>
      <c r="BH527" s="300"/>
      <c r="BI527" s="300"/>
      <c r="BJ527" s="300"/>
      <c r="BK527" s="300"/>
      <c r="BL527" s="300"/>
      <c r="BM527" s="300"/>
    </row>
    <row r="528" spans="1:65" s="287" customFormat="1" ht="8.25" customHeight="1" x14ac:dyDescent="0.25">
      <c r="A528" s="276"/>
      <c r="B528" s="288"/>
      <c r="C528" s="425"/>
      <c r="D528" s="279"/>
      <c r="E528" s="279"/>
      <c r="F528" s="279"/>
      <c r="G528" s="279"/>
      <c r="H528" s="279"/>
      <c r="I528" s="279"/>
      <c r="J528" s="279"/>
      <c r="K528" s="279"/>
      <c r="L528" s="277"/>
      <c r="M528" s="280"/>
      <c r="N528" s="281"/>
      <c r="O528" s="282"/>
      <c r="P528" s="282"/>
      <c r="Q528" s="282"/>
      <c r="R528" s="283"/>
      <c r="S528" s="280"/>
      <c r="T528" s="425"/>
      <c r="U528" s="284"/>
      <c r="V528" s="277"/>
      <c r="W528" s="285"/>
      <c r="X528" s="285"/>
      <c r="Y528" s="277"/>
      <c r="Z528" s="277"/>
      <c r="AA528" s="277"/>
      <c r="AB528" s="277"/>
      <c r="AC528" s="277"/>
      <c r="AD528" s="285"/>
      <c r="AE528" s="277"/>
      <c r="AF528" s="285"/>
      <c r="AG528" s="285"/>
      <c r="AH528" s="277"/>
      <c r="AI528" s="285"/>
      <c r="AJ528" s="285"/>
      <c r="AK528" s="277"/>
      <c r="AL528" s="277"/>
      <c r="AM528" s="285">
        <f>T528*AK528%*2*5</f>
        <v>0</v>
      </c>
      <c r="AN528" s="277"/>
      <c r="AO528" s="277"/>
      <c r="AP528" s="277"/>
      <c r="AQ528" s="284">
        <f t="shared" si="428"/>
        <v>0</v>
      </c>
      <c r="AR528" s="277"/>
      <c r="AS528" s="285"/>
      <c r="AT528" s="280"/>
      <c r="AU528" s="277"/>
      <c r="AV528" s="277"/>
      <c r="AW528" s="277"/>
      <c r="AX528" s="277"/>
      <c r="AY528" s="285"/>
      <c r="AZ528" s="280"/>
      <c r="BA528" s="284"/>
      <c r="BB528" s="284"/>
      <c r="BC528" s="284"/>
      <c r="BD528" s="286"/>
      <c r="BE528" s="286"/>
      <c r="BF528" s="251"/>
      <c r="BG528" s="251"/>
      <c r="BH528" s="251"/>
      <c r="BI528" s="251"/>
      <c r="BJ528" s="251"/>
      <c r="BK528" s="251"/>
      <c r="BL528" s="251"/>
      <c r="BM528" s="251"/>
    </row>
    <row r="529" spans="1:65" s="316" customFormat="1" ht="14.25" x14ac:dyDescent="0.25">
      <c r="A529" s="306"/>
      <c r="B529" s="372" t="s">
        <v>229</v>
      </c>
      <c r="C529" s="329">
        <f>SUM(C522:C528)</f>
        <v>14</v>
      </c>
      <c r="D529" s="309"/>
      <c r="E529" s="309"/>
      <c r="F529" s="309"/>
      <c r="G529" s="309"/>
      <c r="H529" s="309"/>
      <c r="I529" s="309"/>
      <c r="J529" s="309"/>
      <c r="K529" s="309"/>
      <c r="L529" s="309"/>
      <c r="M529" s="310"/>
      <c r="N529" s="309"/>
      <c r="O529" s="309"/>
      <c r="P529" s="309"/>
      <c r="Q529" s="309"/>
      <c r="R529" s="310"/>
      <c r="S529" s="310"/>
      <c r="T529" s="349">
        <f>U529</f>
        <v>184382</v>
      </c>
      <c r="U529" s="312">
        <f>SUM(U522:U528)</f>
        <v>184382</v>
      </c>
      <c r="V529" s="309"/>
      <c r="W529" s="309"/>
      <c r="X529" s="312">
        <f>SUM(X522:X528)</f>
        <v>28929</v>
      </c>
      <c r="Y529" s="312"/>
      <c r="Z529" s="312"/>
      <c r="AA529" s="312">
        <f>SUM(AA522:AA528)</f>
        <v>0</v>
      </c>
      <c r="AB529" s="312"/>
      <c r="AC529" s="312"/>
      <c r="AD529" s="312">
        <f>SUM(AD522:AD528)</f>
        <v>0</v>
      </c>
      <c r="AE529" s="312"/>
      <c r="AF529" s="312"/>
      <c r="AG529" s="312">
        <f>SUM(AG522:AG528)</f>
        <v>0</v>
      </c>
      <c r="AH529" s="312"/>
      <c r="AI529" s="312"/>
      <c r="AJ529" s="312">
        <f>SUM(AJ522:AJ528)</f>
        <v>0</v>
      </c>
      <c r="AK529" s="312"/>
      <c r="AL529" s="312"/>
      <c r="AM529" s="312">
        <f>SUM(AM522:AM528)</f>
        <v>19677.300000000003</v>
      </c>
      <c r="AN529" s="312"/>
      <c r="AO529" s="312"/>
      <c r="AP529" s="312">
        <f>SUM(AP522:AP528)</f>
        <v>0</v>
      </c>
      <c r="AQ529" s="312">
        <f>SUM(AQ522:AQ528)</f>
        <v>48606.3</v>
      </c>
      <c r="AR529" s="312"/>
      <c r="AS529" s="312">
        <f>SUM(AS522:AS528)</f>
        <v>15060.599999999999</v>
      </c>
      <c r="AT529" s="312">
        <f>SUM(AT522:AT528)</f>
        <v>36876.400000000001</v>
      </c>
      <c r="AU529" s="312">
        <f>SUM(AU522:AU528)</f>
        <v>0</v>
      </c>
      <c r="AV529" s="312"/>
      <c r="AW529" s="312">
        <f>SUM(AW522:AW528)</f>
        <v>0</v>
      </c>
      <c r="AX529" s="312"/>
      <c r="AY529" s="312">
        <f>SUM(AY522:AY528)</f>
        <v>0</v>
      </c>
      <c r="AZ529" s="312">
        <f>SUM(AZ522:AZ528)</f>
        <v>0</v>
      </c>
      <c r="BA529" s="312">
        <f>SUM(BA522:BA528)</f>
        <v>36876.400000000001</v>
      </c>
      <c r="BB529" s="312">
        <f>BC529/C529</f>
        <v>19276.05</v>
      </c>
      <c r="BC529" s="312">
        <f>SUM(BC522:BC528)</f>
        <v>269864.7</v>
      </c>
      <c r="BD529" s="286">
        <f>BC529/C529</f>
        <v>19276.05</v>
      </c>
      <c r="BE529" s="286"/>
    </row>
    <row r="530" spans="1:65" s="287" customFormat="1" ht="57" customHeight="1" x14ac:dyDescent="0.25">
      <c r="A530" s="276"/>
      <c r="B530" s="288"/>
      <c r="C530" s="425"/>
      <c r="D530" s="279"/>
      <c r="E530" s="279"/>
      <c r="F530" s="279"/>
      <c r="G530" s="279"/>
      <c r="H530" s="279"/>
      <c r="I530" s="279"/>
      <c r="J530" s="279"/>
      <c r="K530" s="279"/>
      <c r="L530" s="277"/>
      <c r="M530" s="280"/>
      <c r="N530" s="282"/>
      <c r="O530" s="282"/>
      <c r="P530" s="282"/>
      <c r="Q530" s="282"/>
      <c r="R530" s="283"/>
      <c r="S530" s="364"/>
      <c r="T530" s="425"/>
      <c r="U530" s="307"/>
      <c r="V530" s="277"/>
      <c r="W530" s="285"/>
      <c r="X530" s="285"/>
      <c r="Y530" s="277"/>
      <c r="Z530" s="277"/>
      <c r="AA530" s="277"/>
      <c r="AB530" s="277"/>
      <c r="AC530" s="277"/>
      <c r="AD530" s="285"/>
      <c r="AE530" s="277"/>
      <c r="AF530" s="285"/>
      <c r="AG530" s="285"/>
      <c r="AH530" s="277"/>
      <c r="AI530" s="285"/>
      <c r="AJ530" s="285"/>
      <c r="AK530" s="274"/>
      <c r="AL530" s="277"/>
      <c r="AM530" s="277"/>
      <c r="AN530" s="277"/>
      <c r="AO530" s="277"/>
      <c r="AP530" s="277"/>
      <c r="AQ530" s="307"/>
      <c r="AR530" s="277"/>
      <c r="AS530" s="285"/>
      <c r="AT530" s="280"/>
      <c r="AU530" s="277"/>
      <c r="AV530" s="277"/>
      <c r="AW530" s="277"/>
      <c r="AX530" s="277"/>
      <c r="AY530" s="285"/>
      <c r="AZ530" s="280"/>
      <c r="BA530" s="307"/>
      <c r="BB530" s="307"/>
      <c r="BC530" s="307"/>
      <c r="BD530" s="286"/>
      <c r="BE530" s="286"/>
      <c r="BF530" s="251"/>
      <c r="BG530" s="251"/>
      <c r="BH530" s="251"/>
      <c r="BI530" s="251"/>
      <c r="BJ530" s="251"/>
      <c r="BK530" s="251"/>
      <c r="BL530" s="251"/>
      <c r="BM530" s="251"/>
    </row>
    <row r="531" spans="1:65" s="275" customFormat="1" ht="29.25" customHeight="1" x14ac:dyDescent="0.25">
      <c r="A531" s="270" t="s">
        <v>263</v>
      </c>
      <c r="B531" s="324" t="s">
        <v>264</v>
      </c>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c r="AA531" s="272"/>
      <c r="AB531" s="272"/>
      <c r="AC531" s="272"/>
      <c r="AD531" s="272"/>
      <c r="AE531" s="272"/>
      <c r="AF531" s="272"/>
      <c r="AG531" s="272"/>
      <c r="AH531" s="272"/>
      <c r="AI531" s="272"/>
      <c r="AJ531" s="272"/>
      <c r="AK531" s="272"/>
      <c r="AL531" s="272"/>
      <c r="AM531" s="272"/>
      <c r="AN531" s="272"/>
      <c r="AO531" s="272"/>
      <c r="AP531" s="272"/>
      <c r="AQ531" s="272"/>
      <c r="AR531" s="272"/>
      <c r="AS531" s="272"/>
      <c r="AT531" s="272"/>
      <c r="AU531" s="272"/>
      <c r="AV531" s="272"/>
      <c r="AW531" s="272"/>
      <c r="AX531" s="272"/>
      <c r="AY531" s="272"/>
      <c r="AZ531" s="272"/>
      <c r="BA531" s="272"/>
      <c r="BB531" s="272"/>
      <c r="BC531" s="273"/>
      <c r="BD531" s="286"/>
      <c r="BE531" s="286"/>
    </row>
    <row r="532" spans="1:65" s="377" customFormat="1" x14ac:dyDescent="0.25">
      <c r="A532" s="375"/>
      <c r="B532" s="288" t="s">
        <v>265</v>
      </c>
      <c r="C532" s="376">
        <v>1</v>
      </c>
      <c r="D532" s="292"/>
      <c r="E532" s="292"/>
      <c r="F532" s="292"/>
      <c r="G532" s="292"/>
      <c r="H532" s="292"/>
      <c r="I532" s="292">
        <v>1</v>
      </c>
      <c r="J532" s="292"/>
      <c r="K532" s="292"/>
      <c r="L532" s="293"/>
      <c r="M532" s="280">
        <f>M$454</f>
        <v>3028</v>
      </c>
      <c r="N532" s="281">
        <f>N$29</f>
        <v>2</v>
      </c>
      <c r="O532" s="293">
        <v>1.9</v>
      </c>
      <c r="P532" s="295">
        <f>P$244</f>
        <v>1.58</v>
      </c>
      <c r="Q532" s="293"/>
      <c r="R532" s="294">
        <f>$R$565</f>
        <v>174</v>
      </c>
      <c r="S532" s="294">
        <f>T532/(R532/1)</f>
        <v>104.48275862068965</v>
      </c>
      <c r="T532" s="291">
        <f>ROUND(M532*N532*O532*P532,0)</f>
        <v>18180</v>
      </c>
      <c r="U532" s="297">
        <f>T532*C532</f>
        <v>18180</v>
      </c>
      <c r="V532" s="293">
        <v>20</v>
      </c>
      <c r="W532" s="298"/>
      <c r="X532" s="298">
        <f>U532*V532%</f>
        <v>3636</v>
      </c>
      <c r="Y532" s="293"/>
      <c r="Z532" s="293"/>
      <c r="AA532" s="293"/>
      <c r="AB532" s="293"/>
      <c r="AC532" s="293"/>
      <c r="AD532" s="293"/>
      <c r="AE532" s="293"/>
      <c r="AF532" s="293"/>
      <c r="AG532" s="293"/>
      <c r="AH532" s="293"/>
      <c r="AI532" s="293"/>
      <c r="AJ532" s="293"/>
      <c r="AK532" s="293">
        <v>15</v>
      </c>
      <c r="AL532" s="293"/>
      <c r="AM532" s="298">
        <f>T532*AK532%</f>
        <v>2727</v>
      </c>
      <c r="AN532" s="293"/>
      <c r="AO532" s="293"/>
      <c r="AP532" s="293"/>
      <c r="AQ532" s="297">
        <f>X532+AA532+AD532+AG532+AJ532+AM532+AP532</f>
        <v>6363</v>
      </c>
      <c r="AR532" s="293">
        <v>20</v>
      </c>
      <c r="AS532" s="298">
        <f>AT532/C532</f>
        <v>3636</v>
      </c>
      <c r="AT532" s="294">
        <f>(U532)*AR532%</f>
        <v>3636</v>
      </c>
      <c r="AU532" s="293"/>
      <c r="AV532" s="293">
        <v>100</v>
      </c>
      <c r="AW532" s="293">
        <f>AU532*T532</f>
        <v>0</v>
      </c>
      <c r="AX532" s="293"/>
      <c r="AY532" s="298"/>
      <c r="AZ532" s="294"/>
      <c r="BA532" s="297">
        <f>AT532+AW532+AZ532</f>
        <v>3636</v>
      </c>
      <c r="BB532" s="297">
        <f t="shared" ref="BB532:BB539" si="429">BC532/C532</f>
        <v>28179</v>
      </c>
      <c r="BC532" s="297">
        <f>BA532+AQ532+U532</f>
        <v>28179</v>
      </c>
      <c r="BD532" s="299">
        <f t="shared" ref="BD532:BD539" si="430">BC532/C532</f>
        <v>28179</v>
      </c>
      <c r="BE532" s="299"/>
      <c r="BF532" s="377">
        <f>IF(D532=1,BC532,0)</f>
        <v>0</v>
      </c>
      <c r="BG532" s="377">
        <f>IF(E532=1,BC532,0)</f>
        <v>0</v>
      </c>
      <c r="BH532" s="377">
        <f>IF(F532=1,BC532,0)</f>
        <v>0</v>
      </c>
      <c r="BI532" s="377">
        <f>IF(G532=1,BC532,0)</f>
        <v>0</v>
      </c>
      <c r="BJ532" s="300">
        <f>IF(H532=1,BC532,0)</f>
        <v>0</v>
      </c>
      <c r="BK532" s="300">
        <f>IF(I532=1,BC532,0)</f>
        <v>28179</v>
      </c>
      <c r="BL532" s="300">
        <f>IF(J532=1,BC532,0)</f>
        <v>0</v>
      </c>
      <c r="BM532" s="377">
        <f>IF(K532=1,BC532,0)</f>
        <v>0</v>
      </c>
    </row>
    <row r="533" spans="1:65" ht="32.25" customHeight="1" x14ac:dyDescent="0.25">
      <c r="A533" s="344"/>
      <c r="B533" s="288" t="s">
        <v>266</v>
      </c>
      <c r="C533" s="393">
        <v>2.25</v>
      </c>
      <c r="D533" s="279"/>
      <c r="E533" s="279"/>
      <c r="F533" s="279"/>
      <c r="G533" s="279"/>
      <c r="H533" s="279"/>
      <c r="I533" s="279">
        <v>1</v>
      </c>
      <c r="J533" s="279"/>
      <c r="K533" s="279"/>
      <c r="L533" s="277">
        <v>4</v>
      </c>
      <c r="M533" s="280">
        <f>M$454</f>
        <v>3028</v>
      </c>
      <c r="N533" s="281">
        <f>N$29</f>
        <v>2</v>
      </c>
      <c r="O533" s="277">
        <v>1.43</v>
      </c>
      <c r="P533" s="282">
        <v>1.58</v>
      </c>
      <c r="Q533" s="277"/>
      <c r="R533" s="280">
        <f>$R$565</f>
        <v>174</v>
      </c>
      <c r="S533" s="280">
        <f>T533/(R533/1)</f>
        <v>78.637931034482762</v>
      </c>
      <c r="T533" s="425">
        <f>ROUND(M533*N533*O533*P533,0)</f>
        <v>13683</v>
      </c>
      <c r="U533" s="284">
        <f>T533*C533</f>
        <v>30786.75</v>
      </c>
      <c r="V533" s="277">
        <v>16</v>
      </c>
      <c r="W533" s="285"/>
      <c r="X533" s="285">
        <f>U533*V533%</f>
        <v>4925.88</v>
      </c>
      <c r="Y533" s="277"/>
      <c r="Z533" s="277"/>
      <c r="AA533" s="277"/>
      <c r="AB533" s="277"/>
      <c r="AC533" s="277"/>
      <c r="AD533" s="277"/>
      <c r="AE533" s="277"/>
      <c r="AF533" s="277"/>
      <c r="AG533" s="277"/>
      <c r="AH533" s="277"/>
      <c r="AI533" s="277"/>
      <c r="AJ533" s="277"/>
      <c r="AK533" s="277">
        <v>7</v>
      </c>
      <c r="AL533" s="277"/>
      <c r="AM533" s="285">
        <f>T533*AK533%</f>
        <v>957.81000000000006</v>
      </c>
      <c r="AN533" s="277"/>
      <c r="AO533" s="277"/>
      <c r="AP533" s="277"/>
      <c r="AQ533" s="284">
        <f>X533+AA533+AD533+AG533+AJ533+AM533+AP533</f>
        <v>5883.6900000000005</v>
      </c>
      <c r="AR533" s="277">
        <v>20</v>
      </c>
      <c r="AS533" s="285">
        <f>AT533/C533</f>
        <v>2736.6000000000004</v>
      </c>
      <c r="AT533" s="280">
        <f>(U533)*AR533%</f>
        <v>6157.35</v>
      </c>
      <c r="AU533" s="277"/>
      <c r="AV533" s="277">
        <v>100</v>
      </c>
      <c r="AW533" s="277">
        <f>AU533*T533</f>
        <v>0</v>
      </c>
      <c r="AX533" s="277"/>
      <c r="AY533" s="285"/>
      <c r="AZ533" s="280"/>
      <c r="BA533" s="284">
        <f>AT533+AW533+AZ533</f>
        <v>6157.35</v>
      </c>
      <c r="BB533" s="284">
        <f t="shared" si="429"/>
        <v>19034.573333333334</v>
      </c>
      <c r="BC533" s="284">
        <f>BA533+AQ533+U533</f>
        <v>42827.79</v>
      </c>
      <c r="BD533" s="286">
        <f t="shared" si="430"/>
        <v>19034.573333333334</v>
      </c>
      <c r="BE533" s="286"/>
      <c r="BF533" s="241">
        <f>IF(D533=1,BC533,0)</f>
        <v>0</v>
      </c>
      <c r="BG533" s="241">
        <f>IF(E533=1,BC533,0)</f>
        <v>0</v>
      </c>
      <c r="BH533" s="251">
        <f>IF(F533=1,BC533,0)</f>
        <v>0</v>
      </c>
      <c r="BI533" s="241">
        <f>IF(G533=1,BC533,0)</f>
        <v>0</v>
      </c>
      <c r="BJ533" s="251">
        <f>IF(H533=1,BC533,0)</f>
        <v>0</v>
      </c>
      <c r="BK533" s="251">
        <f>IF(I533=1,BC533,0)</f>
        <v>42827.79</v>
      </c>
      <c r="BL533" s="251">
        <f>IF(J533=1,BC533,0)</f>
        <v>0</v>
      </c>
      <c r="BM533" s="241">
        <f>IF(K533=1,BC533,0)</f>
        <v>0</v>
      </c>
    </row>
    <row r="534" spans="1:65" x14ac:dyDescent="0.25">
      <c r="A534" s="344"/>
      <c r="B534" s="288" t="s">
        <v>240</v>
      </c>
      <c r="C534" s="393">
        <v>0.25</v>
      </c>
      <c r="D534" s="279"/>
      <c r="E534" s="279"/>
      <c r="F534" s="279"/>
      <c r="G534" s="279"/>
      <c r="H534" s="279"/>
      <c r="I534" s="279">
        <v>1</v>
      </c>
      <c r="J534" s="279"/>
      <c r="K534" s="279"/>
      <c r="L534" s="277">
        <v>4</v>
      </c>
      <c r="M534" s="280">
        <f>M$454</f>
        <v>3028</v>
      </c>
      <c r="N534" s="281">
        <f>N$29</f>
        <v>2</v>
      </c>
      <c r="O534" s="277">
        <v>1.43</v>
      </c>
      <c r="P534" s="282">
        <v>1.58</v>
      </c>
      <c r="Q534" s="277"/>
      <c r="R534" s="280">
        <f>$R$565</f>
        <v>174</v>
      </c>
      <c r="S534" s="280">
        <f>T534/(R534/1)</f>
        <v>78.637931034482762</v>
      </c>
      <c r="T534" s="425">
        <f>ROUND(M534*N534*O534*P534,0)</f>
        <v>13683</v>
      </c>
      <c r="U534" s="284">
        <f>T534*C534</f>
        <v>3420.75</v>
      </c>
      <c r="V534" s="277">
        <v>16</v>
      </c>
      <c r="W534" s="285"/>
      <c r="X534" s="285">
        <f>U534*V534%</f>
        <v>547.32000000000005</v>
      </c>
      <c r="Y534" s="277">
        <v>4</v>
      </c>
      <c r="Z534" s="285"/>
      <c r="AA534" s="285">
        <f>U534*Y534%</f>
        <v>136.83000000000001</v>
      </c>
      <c r="AB534" s="277"/>
      <c r="AC534" s="277"/>
      <c r="AD534" s="277"/>
      <c r="AE534" s="277"/>
      <c r="AF534" s="277"/>
      <c r="AG534" s="277"/>
      <c r="AH534" s="277"/>
      <c r="AI534" s="277"/>
      <c r="AJ534" s="277"/>
      <c r="AK534" s="277"/>
      <c r="AL534" s="277"/>
      <c r="AM534" s="285">
        <f>T534*AK534%</f>
        <v>0</v>
      </c>
      <c r="AN534" s="277"/>
      <c r="AO534" s="277"/>
      <c r="AP534" s="277"/>
      <c r="AQ534" s="284">
        <f>X534+AA534+AD534+AG534+AJ534+AM534+AP534</f>
        <v>684.15000000000009</v>
      </c>
      <c r="AR534" s="277">
        <v>20</v>
      </c>
      <c r="AS534" s="285">
        <f>AT534/C534</f>
        <v>2736.6000000000004</v>
      </c>
      <c r="AT534" s="280">
        <f>(U534)*AR534%</f>
        <v>684.15000000000009</v>
      </c>
      <c r="AU534" s="339"/>
      <c r="AV534" s="277">
        <v>100</v>
      </c>
      <c r="AW534" s="277">
        <f>AU534*T534</f>
        <v>0</v>
      </c>
      <c r="AX534" s="277"/>
      <c r="AY534" s="285"/>
      <c r="AZ534" s="280"/>
      <c r="BA534" s="284">
        <f>AT534+AW534+AZ534</f>
        <v>684.15000000000009</v>
      </c>
      <c r="BB534" s="284">
        <f t="shared" si="429"/>
        <v>19156.2</v>
      </c>
      <c r="BC534" s="284">
        <f>BA534+AQ534+U534</f>
        <v>4789.05</v>
      </c>
      <c r="BD534" s="286">
        <f t="shared" si="430"/>
        <v>19156.2</v>
      </c>
      <c r="BE534" s="286"/>
      <c r="BF534" s="241">
        <f>IF(D534=1,BC534,0)</f>
        <v>0</v>
      </c>
      <c r="BG534" s="241">
        <f>IF(E534=1,BC534,0)</f>
        <v>0</v>
      </c>
      <c r="BH534" s="251">
        <f>IF(F534=1,BC534,0)</f>
        <v>0</v>
      </c>
      <c r="BI534" s="241">
        <f>IF(G534=1,BC534,0)</f>
        <v>0</v>
      </c>
      <c r="BJ534" s="251">
        <f>IF(H534=1,BC534,0)</f>
        <v>0</v>
      </c>
      <c r="BK534" s="251">
        <f>IF(I534=1,BC534,0)</f>
        <v>4789.05</v>
      </c>
      <c r="BL534" s="251">
        <f>IF(J534=1,BC534,0)</f>
        <v>0</v>
      </c>
      <c r="BM534" s="241">
        <f>IF(K534=1,BC534,0)</f>
        <v>0</v>
      </c>
    </row>
    <row r="535" spans="1:65" x14ac:dyDescent="0.25">
      <c r="A535" s="344"/>
      <c r="B535" s="288" t="s">
        <v>267</v>
      </c>
      <c r="C535" s="393">
        <v>1</v>
      </c>
      <c r="D535" s="279"/>
      <c r="E535" s="279"/>
      <c r="F535" s="279"/>
      <c r="G535" s="279"/>
      <c r="H535" s="279"/>
      <c r="I535" s="279">
        <v>1</v>
      </c>
      <c r="J535" s="279"/>
      <c r="K535" s="279"/>
      <c r="L535" s="277"/>
      <c r="M535" s="280">
        <f>M$454</f>
        <v>3028</v>
      </c>
      <c r="N535" s="281">
        <f>N$29</f>
        <v>2</v>
      </c>
      <c r="O535" s="339">
        <v>1.95</v>
      </c>
      <c r="P535" s="282">
        <v>1</v>
      </c>
      <c r="Q535" s="277"/>
      <c r="R535" s="280">
        <f>$R$565</f>
        <v>174</v>
      </c>
      <c r="S535" s="280">
        <f>T535/(R535/1)</f>
        <v>67.867816091954026</v>
      </c>
      <c r="T535" s="425">
        <f>ROUND(M535*N535*O535*P535,0)</f>
        <v>11809</v>
      </c>
      <c r="U535" s="284">
        <f>T535*C535</f>
        <v>11809</v>
      </c>
      <c r="V535" s="277"/>
      <c r="W535" s="285"/>
      <c r="X535" s="285">
        <f>U535*V535%</f>
        <v>0</v>
      </c>
      <c r="Y535" s="277"/>
      <c r="Z535" s="277"/>
      <c r="AA535" s="277"/>
      <c r="AB535" s="277"/>
      <c r="AC535" s="277"/>
      <c r="AD535" s="277"/>
      <c r="AE535" s="277"/>
      <c r="AF535" s="277"/>
      <c r="AG535" s="277"/>
      <c r="AH535" s="277"/>
      <c r="AI535" s="277"/>
      <c r="AJ535" s="277"/>
      <c r="AK535" s="277"/>
      <c r="AL535" s="277"/>
      <c r="AM535" s="285">
        <f>T535*AK535%</f>
        <v>0</v>
      </c>
      <c r="AN535" s="277">
        <v>25</v>
      </c>
      <c r="AO535" s="285"/>
      <c r="AP535" s="285">
        <f>U535*AN535%</f>
        <v>2952.25</v>
      </c>
      <c r="AQ535" s="284">
        <f>X535+AA535+AD535+AG535+AJ535+AM535+AP535</f>
        <v>2952.25</v>
      </c>
      <c r="AR535" s="277">
        <v>20</v>
      </c>
      <c r="AS535" s="285">
        <f>AT535/C535</f>
        <v>2361.8000000000002</v>
      </c>
      <c r="AT535" s="280">
        <f>(U535)*AR535%</f>
        <v>2361.8000000000002</v>
      </c>
      <c r="AU535" s="339"/>
      <c r="AV535" s="277">
        <v>100</v>
      </c>
      <c r="AW535" s="277">
        <f>AU535*T535</f>
        <v>0</v>
      </c>
      <c r="AX535" s="277"/>
      <c r="AY535" s="285"/>
      <c r="AZ535" s="280"/>
      <c r="BA535" s="284">
        <f>AT535+AW535+AZ535</f>
        <v>2361.8000000000002</v>
      </c>
      <c r="BB535" s="284">
        <f t="shared" si="429"/>
        <v>17123.05</v>
      </c>
      <c r="BC535" s="284">
        <f>BA535+AQ535+U535</f>
        <v>17123.05</v>
      </c>
      <c r="BD535" s="286">
        <f t="shared" si="430"/>
        <v>17123.05</v>
      </c>
      <c r="BE535" s="286"/>
      <c r="BF535" s="241">
        <f>IF(D535=1,BC535,0)</f>
        <v>0</v>
      </c>
      <c r="BG535" s="241">
        <f>IF(E535=1,BC535,0)</f>
        <v>0</v>
      </c>
      <c r="BH535" s="251">
        <f>IF(F535=1,BC535,0)</f>
        <v>0</v>
      </c>
      <c r="BI535" s="241">
        <f>IF(G535=1,BC535,0)</f>
        <v>0</v>
      </c>
      <c r="BJ535" s="251">
        <f>IF(H535=1,BC535,0)</f>
        <v>0</v>
      </c>
      <c r="BK535" s="251">
        <f>IF(I535=1,BC535,0)</f>
        <v>17123.05</v>
      </c>
      <c r="BL535" s="251">
        <f>IF(J535=1,BC535,0)</f>
        <v>0</v>
      </c>
      <c r="BM535" s="241">
        <f>IF(K535=1,BC535,0)</f>
        <v>0</v>
      </c>
    </row>
    <row r="536" spans="1:65" ht="5.25" customHeight="1" x14ac:dyDescent="0.25">
      <c r="A536" s="344"/>
      <c r="B536" s="288"/>
      <c r="C536" s="393"/>
      <c r="D536" s="279"/>
      <c r="E536" s="279"/>
      <c r="F536" s="279"/>
      <c r="G536" s="279"/>
      <c r="H536" s="279"/>
      <c r="I536" s="279"/>
      <c r="J536" s="279"/>
      <c r="K536" s="279"/>
      <c r="L536" s="277"/>
      <c r="M536" s="280"/>
      <c r="N536" s="281"/>
      <c r="O536" s="277"/>
      <c r="P536" s="282"/>
      <c r="Q536" s="277"/>
      <c r="R536" s="280"/>
      <c r="S536" s="280"/>
      <c r="T536" s="425"/>
      <c r="U536" s="284"/>
      <c r="V536" s="277"/>
      <c r="W536" s="285"/>
      <c r="X536" s="285"/>
      <c r="Y536" s="277"/>
      <c r="Z536" s="277"/>
      <c r="AA536" s="277"/>
      <c r="AB536" s="277"/>
      <c r="AC536" s="277"/>
      <c r="AD536" s="277"/>
      <c r="AE536" s="277"/>
      <c r="AF536" s="277"/>
      <c r="AG536" s="277"/>
      <c r="AH536" s="277"/>
      <c r="AI536" s="277"/>
      <c r="AJ536" s="277"/>
      <c r="AK536" s="277"/>
      <c r="AL536" s="277"/>
      <c r="AM536" s="285"/>
      <c r="AN536" s="277"/>
      <c r="AO536" s="277"/>
      <c r="AP536" s="285"/>
      <c r="AQ536" s="284"/>
      <c r="AR536" s="277"/>
      <c r="AS536" s="285"/>
      <c r="AT536" s="280"/>
      <c r="AU536" s="339"/>
      <c r="AV536" s="277"/>
      <c r="AW536" s="277"/>
      <c r="AX536" s="277"/>
      <c r="AY536" s="285"/>
      <c r="AZ536" s="280"/>
      <c r="BA536" s="284"/>
      <c r="BB536" s="284"/>
      <c r="BC536" s="284"/>
      <c r="BD536" s="286"/>
      <c r="BE536" s="286"/>
      <c r="BH536" s="251"/>
      <c r="BJ536" s="251"/>
      <c r="BK536" s="251"/>
      <c r="BL536" s="251"/>
    </row>
    <row r="537" spans="1:65" s="316" customFormat="1" ht="14.25" x14ac:dyDescent="0.25">
      <c r="A537" s="306"/>
      <c r="B537" s="372" t="s">
        <v>229</v>
      </c>
      <c r="C537" s="329">
        <f>SUM(C532:C535)</f>
        <v>4.5</v>
      </c>
      <c r="D537" s="309"/>
      <c r="E537" s="309"/>
      <c r="F537" s="309"/>
      <c r="G537" s="309"/>
      <c r="H537" s="309"/>
      <c r="I537" s="309"/>
      <c r="J537" s="309"/>
      <c r="K537" s="309"/>
      <c r="L537" s="309"/>
      <c r="M537" s="310"/>
      <c r="N537" s="309"/>
      <c r="O537" s="309"/>
      <c r="P537" s="309"/>
      <c r="Q537" s="309"/>
      <c r="R537" s="310"/>
      <c r="S537" s="310"/>
      <c r="T537" s="349">
        <f>U537</f>
        <v>64196.5</v>
      </c>
      <c r="U537" s="329">
        <f>SUM(U532:U535)</f>
        <v>64196.5</v>
      </c>
      <c r="V537" s="309"/>
      <c r="W537" s="309"/>
      <c r="X537" s="329">
        <f>SUM(X532:X535)</f>
        <v>9109.2000000000007</v>
      </c>
      <c r="Y537" s="329"/>
      <c r="Z537" s="329"/>
      <c r="AA537" s="329">
        <f>SUM(AA532:AA535)</f>
        <v>136.83000000000001</v>
      </c>
      <c r="AB537" s="329"/>
      <c r="AC537" s="329"/>
      <c r="AD537" s="329">
        <f>SUM(AD532:AD535)</f>
        <v>0</v>
      </c>
      <c r="AE537" s="329"/>
      <c r="AF537" s="329"/>
      <c r="AG537" s="329">
        <f>SUM(AG532:AG535)</f>
        <v>0</v>
      </c>
      <c r="AH537" s="329"/>
      <c r="AI537" s="329"/>
      <c r="AJ537" s="329">
        <f>SUM(AJ532:AJ535)</f>
        <v>0</v>
      </c>
      <c r="AK537" s="329"/>
      <c r="AL537" s="329"/>
      <c r="AM537" s="329">
        <f>SUM(AM532:AM535)</f>
        <v>3684.81</v>
      </c>
      <c r="AN537" s="329"/>
      <c r="AO537" s="329"/>
      <c r="AP537" s="329">
        <f>SUM(AP532:AP535)</f>
        <v>2952.25</v>
      </c>
      <c r="AQ537" s="329">
        <f>SUM(AQ532:AQ535)</f>
        <v>15883.09</v>
      </c>
      <c r="AR537" s="329"/>
      <c r="AS537" s="329">
        <f>SUM(AS532:AS535)</f>
        <v>11471</v>
      </c>
      <c r="AT537" s="329">
        <f>SUM(AT532:AT535)</f>
        <v>12839.3</v>
      </c>
      <c r="AU537" s="329">
        <f>SUM(AU532:AU535)</f>
        <v>0</v>
      </c>
      <c r="AV537" s="329"/>
      <c r="AW537" s="329">
        <f>SUM(AW532:AW535)</f>
        <v>0</v>
      </c>
      <c r="AX537" s="329"/>
      <c r="AY537" s="329">
        <f>SUM(AY532:AY535)</f>
        <v>0</v>
      </c>
      <c r="AZ537" s="329">
        <f>SUM(AZ532:AZ535)</f>
        <v>0</v>
      </c>
      <c r="BA537" s="329">
        <f>SUM(BA532:BA535)</f>
        <v>12839.3</v>
      </c>
      <c r="BB537" s="329">
        <f t="shared" si="429"/>
        <v>20648.642222222225</v>
      </c>
      <c r="BC537" s="329">
        <f>SUM(BC532:BC535)</f>
        <v>92918.890000000014</v>
      </c>
      <c r="BD537" s="286">
        <f t="shared" si="430"/>
        <v>20648.642222222225</v>
      </c>
      <c r="BE537" s="323"/>
    </row>
    <row r="538" spans="1:65" s="316" customFormat="1" ht="14.25" hidden="1" x14ac:dyDescent="0.25">
      <c r="A538" s="306"/>
      <c r="B538" s="372"/>
      <c r="C538" s="329"/>
      <c r="D538" s="309"/>
      <c r="E538" s="309"/>
      <c r="F538" s="309"/>
      <c r="G538" s="309"/>
      <c r="H538" s="309"/>
      <c r="I538" s="309"/>
      <c r="J538" s="309"/>
      <c r="K538" s="309"/>
      <c r="L538" s="309"/>
      <c r="M538" s="310"/>
      <c r="N538" s="309"/>
      <c r="O538" s="309"/>
      <c r="P538" s="309"/>
      <c r="Q538" s="309"/>
      <c r="R538" s="310"/>
      <c r="S538" s="310"/>
      <c r="T538" s="349"/>
      <c r="U538" s="329"/>
      <c r="V538" s="309"/>
      <c r="W538" s="30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29"/>
      <c r="AX538" s="329"/>
      <c r="AY538" s="329"/>
      <c r="AZ538" s="329"/>
      <c r="BA538" s="329"/>
      <c r="BB538" s="329"/>
      <c r="BC538" s="329"/>
      <c r="BD538" s="286"/>
      <c r="BE538" s="323"/>
    </row>
    <row r="539" spans="1:65" s="316" customFormat="1" ht="14.25" hidden="1" x14ac:dyDescent="0.25">
      <c r="A539" s="306"/>
      <c r="B539" s="307" t="s">
        <v>229</v>
      </c>
      <c r="C539" s="329">
        <f>+C529+C537</f>
        <v>18.5</v>
      </c>
      <c r="D539" s="309"/>
      <c r="E539" s="309"/>
      <c r="F539" s="309"/>
      <c r="G539" s="309"/>
      <c r="H539" s="309"/>
      <c r="I539" s="309"/>
      <c r="J539" s="309"/>
      <c r="K539" s="309"/>
      <c r="L539" s="309"/>
      <c r="M539" s="310"/>
      <c r="N539" s="309"/>
      <c r="O539" s="309"/>
      <c r="P539" s="309"/>
      <c r="Q539" s="309"/>
      <c r="R539" s="310"/>
      <c r="S539" s="310"/>
      <c r="T539" s="349">
        <f>U539</f>
        <v>248578.5</v>
      </c>
      <c r="U539" s="329">
        <f>+U529+U537</f>
        <v>248578.5</v>
      </c>
      <c r="V539" s="309"/>
      <c r="W539" s="309"/>
      <c r="X539" s="329">
        <f>+X529+X537</f>
        <v>38038.199999999997</v>
      </c>
      <c r="Y539" s="329"/>
      <c r="Z539" s="329"/>
      <c r="AA539" s="329">
        <f>+AA529+AA537</f>
        <v>136.83000000000001</v>
      </c>
      <c r="AB539" s="329"/>
      <c r="AC539" s="329"/>
      <c r="AD539" s="329">
        <f>+AD529+AD537</f>
        <v>0</v>
      </c>
      <c r="AE539" s="329"/>
      <c r="AF539" s="329"/>
      <c r="AG539" s="329">
        <f>+AG529+AG537</f>
        <v>0</v>
      </c>
      <c r="AH539" s="329"/>
      <c r="AI539" s="329"/>
      <c r="AJ539" s="329">
        <f>+AJ529+AJ537</f>
        <v>0</v>
      </c>
      <c r="AK539" s="329"/>
      <c r="AL539" s="329"/>
      <c r="AM539" s="329">
        <f>+AM529+AM537</f>
        <v>23362.110000000004</v>
      </c>
      <c r="AN539" s="329"/>
      <c r="AO539" s="329"/>
      <c r="AP539" s="329">
        <f>+AP529+AP537</f>
        <v>2952.25</v>
      </c>
      <c r="AQ539" s="329">
        <f>+AQ529+AQ537</f>
        <v>64489.39</v>
      </c>
      <c r="AR539" s="329"/>
      <c r="AS539" s="329">
        <f>+AS529+AS537</f>
        <v>26531.599999999999</v>
      </c>
      <c r="AT539" s="329">
        <f>+AT529+AT537</f>
        <v>49715.7</v>
      </c>
      <c r="AU539" s="329">
        <f>+AU529+AU537</f>
        <v>0</v>
      </c>
      <c r="AV539" s="329"/>
      <c r="AW539" s="329">
        <f>+AW529+AW537</f>
        <v>0</v>
      </c>
      <c r="AX539" s="329"/>
      <c r="AY539" s="329">
        <f>+AY529+AY537</f>
        <v>0</v>
      </c>
      <c r="AZ539" s="329">
        <f>+AZ529+AZ537</f>
        <v>0</v>
      </c>
      <c r="BA539" s="329">
        <f>+BA529+BA537</f>
        <v>49715.7</v>
      </c>
      <c r="BB539" s="329">
        <f t="shared" si="429"/>
        <v>19609.923783783786</v>
      </c>
      <c r="BC539" s="329">
        <f>+BC529+BC537</f>
        <v>362783.59</v>
      </c>
      <c r="BD539" s="286">
        <f t="shared" si="430"/>
        <v>19609.923783783786</v>
      </c>
      <c r="BE539" s="323"/>
      <c r="BF539" s="315">
        <f t="shared" ref="BF539:BM539" si="431">SUM(BF522:BF537)</f>
        <v>0</v>
      </c>
      <c r="BG539" s="315">
        <f t="shared" si="431"/>
        <v>0</v>
      </c>
      <c r="BH539" s="315">
        <f t="shared" si="431"/>
        <v>0</v>
      </c>
      <c r="BI539" s="315">
        <f t="shared" si="431"/>
        <v>0</v>
      </c>
      <c r="BJ539" s="315">
        <f t="shared" si="431"/>
        <v>86137.66</v>
      </c>
      <c r="BK539" s="315">
        <f t="shared" si="431"/>
        <v>186152.72999999998</v>
      </c>
      <c r="BL539" s="315">
        <f t="shared" si="431"/>
        <v>90493.200000000012</v>
      </c>
      <c r="BM539" s="315">
        <f t="shared" si="431"/>
        <v>0</v>
      </c>
    </row>
    <row r="540" spans="1:65" s="287" customFormat="1" ht="97.5" hidden="1" customHeight="1" x14ac:dyDescent="0.25">
      <c r="A540" s="380"/>
      <c r="B540" s="274"/>
      <c r="C540" s="323"/>
      <c r="M540" s="382"/>
      <c r="R540" s="382"/>
      <c r="S540" s="382"/>
      <c r="U540" s="323"/>
      <c r="X540" s="323"/>
      <c r="Y540" s="323"/>
      <c r="Z540" s="323"/>
      <c r="AA540" s="323"/>
      <c r="AB540" s="323"/>
      <c r="AC540" s="323"/>
      <c r="AD540" s="323"/>
      <c r="AE540" s="323"/>
      <c r="AF540" s="323"/>
      <c r="AG540" s="323"/>
      <c r="AH540" s="323"/>
      <c r="AI540" s="323"/>
      <c r="AJ540" s="323"/>
      <c r="AK540" s="394"/>
      <c r="AL540" s="323"/>
      <c r="AM540" s="323"/>
      <c r="AN540" s="323"/>
      <c r="AO540" s="323"/>
      <c r="AP540" s="323"/>
      <c r="AQ540" s="323"/>
      <c r="AR540" s="323"/>
      <c r="AS540" s="323"/>
      <c r="AT540" s="323"/>
      <c r="AU540" s="323"/>
      <c r="AV540" s="323"/>
      <c r="AW540" s="323"/>
      <c r="AX540" s="323"/>
      <c r="AY540" s="323"/>
      <c r="AZ540" s="323"/>
      <c r="BA540" s="323"/>
      <c r="BB540" s="323"/>
      <c r="BC540" s="323"/>
      <c r="BD540" s="323"/>
      <c r="BE540" s="323"/>
      <c r="BF540" s="323"/>
      <c r="BG540" s="323"/>
      <c r="BH540" s="323"/>
      <c r="BI540" s="323"/>
      <c r="BJ540" s="323"/>
      <c r="BK540" s="323"/>
      <c r="BL540" s="323"/>
      <c r="BM540" s="323"/>
    </row>
    <row r="541" spans="1:65" s="275" customFormat="1" ht="26.45" hidden="1" customHeight="1" x14ac:dyDescent="0.25">
      <c r="A541" s="270" t="s">
        <v>263</v>
      </c>
      <c r="B541" s="324" t="s">
        <v>281</v>
      </c>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c r="AJ541" s="272"/>
      <c r="AK541" s="272"/>
      <c r="AL541" s="272"/>
      <c r="AM541" s="272"/>
      <c r="AN541" s="272"/>
      <c r="AO541" s="272"/>
      <c r="AP541" s="272"/>
      <c r="AQ541" s="272"/>
      <c r="AR541" s="272"/>
      <c r="AS541" s="272"/>
      <c r="AT541" s="272"/>
      <c r="AU541" s="272"/>
      <c r="AV541" s="272"/>
      <c r="AW541" s="272"/>
      <c r="AX541" s="272"/>
      <c r="AY541" s="272"/>
      <c r="AZ541" s="272"/>
      <c r="BA541" s="272"/>
      <c r="BB541" s="272"/>
      <c r="BC541" s="273"/>
      <c r="BD541" s="274"/>
      <c r="BE541" s="274"/>
    </row>
    <row r="542" spans="1:65" ht="28.5" hidden="1" customHeight="1" x14ac:dyDescent="0.25">
      <c r="A542" s="344"/>
      <c r="B542" s="277" t="s">
        <v>265</v>
      </c>
      <c r="C542" s="278"/>
      <c r="D542" s="279"/>
      <c r="E542" s="279"/>
      <c r="F542" s="279"/>
      <c r="G542" s="279"/>
      <c r="H542" s="279"/>
      <c r="I542" s="279">
        <v>1</v>
      </c>
      <c r="J542" s="279"/>
      <c r="K542" s="397"/>
      <c r="L542" s="277"/>
      <c r="M542" s="461"/>
      <c r="N542" s="281"/>
      <c r="O542" s="277"/>
      <c r="P542" s="282"/>
      <c r="Q542" s="277"/>
      <c r="R542" s="280">
        <f>$R$565</f>
        <v>174</v>
      </c>
      <c r="S542" s="280">
        <f>T542/(R542/3)</f>
        <v>0</v>
      </c>
      <c r="T542" s="425">
        <f>ROUND(M542*N542*O542*P542,0)</f>
        <v>0</v>
      </c>
      <c r="U542" s="284">
        <f>T542*C542</f>
        <v>0</v>
      </c>
      <c r="V542" s="277">
        <v>0</v>
      </c>
      <c r="W542" s="285"/>
      <c r="X542" s="285">
        <f>U542*V542%</f>
        <v>0</v>
      </c>
      <c r="Y542" s="277"/>
      <c r="Z542" s="277"/>
      <c r="AA542" s="277"/>
      <c r="AB542" s="277"/>
      <c r="AC542" s="277"/>
      <c r="AD542" s="277"/>
      <c r="AE542" s="277"/>
      <c r="AF542" s="277"/>
      <c r="AG542" s="277"/>
      <c r="AH542" s="277"/>
      <c r="AI542" s="277"/>
      <c r="AJ542" s="277"/>
      <c r="AK542" s="277"/>
      <c r="AL542" s="277"/>
      <c r="AM542" s="277"/>
      <c r="AN542" s="277"/>
      <c r="AO542" s="277"/>
      <c r="AP542" s="277"/>
      <c r="AQ542" s="284">
        <f>X542+AA542+AD542+AG542+AJ542+AM542+AP542</f>
        <v>0</v>
      </c>
      <c r="AR542" s="277">
        <v>0</v>
      </c>
      <c r="AS542" s="285" t="e">
        <f>AT542/C542</f>
        <v>#DIV/0!</v>
      </c>
      <c r="AT542" s="280">
        <f>(U542)*AR542%</f>
        <v>0</v>
      </c>
      <c r="AU542" s="277"/>
      <c r="AV542" s="277">
        <v>100</v>
      </c>
      <c r="AW542" s="277">
        <f>AU542*T542</f>
        <v>0</v>
      </c>
      <c r="AX542" s="277"/>
      <c r="AY542" s="285"/>
      <c r="AZ542" s="280"/>
      <c r="BA542" s="284">
        <f>AT542+AW542+AZ542</f>
        <v>0</v>
      </c>
      <c r="BB542" s="284" t="e">
        <f>BC542/C542</f>
        <v>#DIV/0!</v>
      </c>
      <c r="BC542" s="284">
        <f>BA542+AQ542+U542</f>
        <v>0</v>
      </c>
      <c r="BD542" s="286" t="e">
        <f>BC542/C542</f>
        <v>#DIV/0!</v>
      </c>
      <c r="BE542" s="286"/>
      <c r="BF542" s="241">
        <f>IF(D542=1,BC542,0)</f>
        <v>0</v>
      </c>
      <c r="BG542" s="241">
        <f>IF(E542=1,BC542,0)</f>
        <v>0</v>
      </c>
      <c r="BH542" s="241">
        <f>IF(F542=1,BC542,0)</f>
        <v>0</v>
      </c>
      <c r="BI542" s="241">
        <f>IF(G542=1,BC542,0)</f>
        <v>0</v>
      </c>
      <c r="BJ542" s="251">
        <f>IF(H542=1,BC542,0)</f>
        <v>0</v>
      </c>
      <c r="BK542" s="251">
        <f>IF(I542=1,BC542,0)</f>
        <v>0</v>
      </c>
      <c r="BL542" s="251">
        <f>IF(J542=1,BC542,0)</f>
        <v>0</v>
      </c>
      <c r="BM542" s="241">
        <f>IF(K542=1,BC542,0)</f>
        <v>0</v>
      </c>
    </row>
    <row r="543" spans="1:65" s="287" customFormat="1" hidden="1" x14ac:dyDescent="0.25">
      <c r="A543" s="276"/>
      <c r="B543" s="288" t="s">
        <v>240</v>
      </c>
      <c r="C543" s="278"/>
      <c r="D543" s="279"/>
      <c r="E543" s="279"/>
      <c r="F543" s="328"/>
      <c r="G543" s="328"/>
      <c r="H543" s="279">
        <v>1</v>
      </c>
      <c r="I543" s="328"/>
      <c r="J543" s="328"/>
      <c r="K543" s="279"/>
      <c r="L543" s="277"/>
      <c r="M543" s="461"/>
      <c r="N543" s="281"/>
      <c r="O543" s="277"/>
      <c r="P543" s="282"/>
      <c r="Q543" s="277"/>
      <c r="R543" s="280">
        <f>$R$565</f>
        <v>174</v>
      </c>
      <c r="S543" s="280">
        <f>T543/(R543/3)</f>
        <v>0</v>
      </c>
      <c r="T543" s="425">
        <f>ROUND(M543*N543*O543*P543,0)</f>
        <v>0</v>
      </c>
      <c r="U543" s="284">
        <f>T543*C543</f>
        <v>0</v>
      </c>
      <c r="V543" s="277">
        <v>16</v>
      </c>
      <c r="W543" s="285"/>
      <c r="X543" s="285">
        <f>U543*V543%</f>
        <v>0</v>
      </c>
      <c r="Y543" s="277">
        <v>4</v>
      </c>
      <c r="Z543" s="285"/>
      <c r="AA543" s="285">
        <f>U543*Y543%</f>
        <v>0</v>
      </c>
      <c r="AB543" s="277"/>
      <c r="AC543" s="277"/>
      <c r="AD543" s="277"/>
      <c r="AE543" s="277"/>
      <c r="AF543" s="277"/>
      <c r="AG543" s="277"/>
      <c r="AH543" s="277"/>
      <c r="AI543" s="277"/>
      <c r="AJ543" s="277"/>
      <c r="AK543" s="277"/>
      <c r="AL543" s="277"/>
      <c r="AM543" s="285"/>
      <c r="AN543" s="277"/>
      <c r="AO543" s="277"/>
      <c r="AP543" s="285">
        <f>U543*AN543%</f>
        <v>0</v>
      </c>
      <c r="AQ543" s="284">
        <f>X543+AA543+AD543+AG543+AJ543+AM543+AP543</f>
        <v>0</v>
      </c>
      <c r="AR543" s="277"/>
      <c r="AS543" s="277" t="e">
        <f>AT543/C543</f>
        <v>#DIV/0!</v>
      </c>
      <c r="AT543" s="280">
        <f>(U543)*AR543%</f>
        <v>0</v>
      </c>
      <c r="AU543" s="277"/>
      <c r="AV543" s="277">
        <v>100</v>
      </c>
      <c r="AW543" s="277">
        <f>AU543*T543</f>
        <v>0</v>
      </c>
      <c r="AX543" s="277"/>
      <c r="AY543" s="277"/>
      <c r="AZ543" s="283"/>
      <c r="BA543" s="284">
        <f>AT543+AW543+AZ543</f>
        <v>0</v>
      </c>
      <c r="BB543" s="284" t="e">
        <f>BC543/C543</f>
        <v>#DIV/0!</v>
      </c>
      <c r="BC543" s="284">
        <f>BA543+AQ543+U543</f>
        <v>0</v>
      </c>
      <c r="BD543" s="286" t="e">
        <f>BC543/C543</f>
        <v>#DIV/0!</v>
      </c>
      <c r="BE543" s="286"/>
      <c r="BF543" s="241">
        <f>IF(D543=1,BC543,0)</f>
        <v>0</v>
      </c>
      <c r="BG543" s="241">
        <f>IF(E543=1,BC543,0)</f>
        <v>0</v>
      </c>
      <c r="BH543" s="241">
        <f>IF(F543=1,BC543,0)</f>
        <v>0</v>
      </c>
      <c r="BI543" s="241">
        <f>IF(G543=1,BC543,0)</f>
        <v>0</v>
      </c>
      <c r="BJ543" s="251">
        <f>IF(H543=1,BC543,0)</f>
        <v>0</v>
      </c>
      <c r="BK543" s="241">
        <f>IF(I543=1,BC543,0)</f>
        <v>0</v>
      </c>
      <c r="BL543" s="241">
        <f>IF(J543=1,BC543,0)</f>
        <v>0</v>
      </c>
      <c r="BM543" s="241">
        <f>IF(K543=1,BC543,0)</f>
        <v>0</v>
      </c>
    </row>
    <row r="544" spans="1:65" s="287" customFormat="1" hidden="1" x14ac:dyDescent="0.25">
      <c r="A544" s="276"/>
      <c r="B544" s="288" t="s">
        <v>217</v>
      </c>
      <c r="C544" s="393"/>
      <c r="D544" s="279"/>
      <c r="E544" s="279"/>
      <c r="F544" s="279"/>
      <c r="G544" s="279"/>
      <c r="H544" s="279"/>
      <c r="I544" s="279"/>
      <c r="J544" s="279">
        <v>1</v>
      </c>
      <c r="K544" s="279"/>
      <c r="L544" s="277"/>
      <c r="M544" s="461"/>
      <c r="N544" s="281"/>
      <c r="O544" s="282"/>
      <c r="P544" s="282"/>
      <c r="Q544" s="282"/>
      <c r="R544" s="280">
        <f>$R$565</f>
        <v>174</v>
      </c>
      <c r="S544" s="280">
        <f>T544/(R544/1)</f>
        <v>0</v>
      </c>
      <c r="T544" s="425">
        <f>ROUND(M544*N544*O544*P544,0)</f>
        <v>0</v>
      </c>
      <c r="U544" s="284">
        <f>T544*C544</f>
        <v>0</v>
      </c>
      <c r="V544" s="277"/>
      <c r="W544" s="285"/>
      <c r="X544" s="285">
        <f>U544*V544%</f>
        <v>0</v>
      </c>
      <c r="Y544" s="277"/>
      <c r="Z544" s="277"/>
      <c r="AA544" s="277"/>
      <c r="AB544" s="277"/>
      <c r="AC544" s="277"/>
      <c r="AD544" s="277"/>
      <c r="AE544" s="277"/>
      <c r="AF544" s="277"/>
      <c r="AG544" s="277"/>
      <c r="AH544" s="277"/>
      <c r="AI544" s="277"/>
      <c r="AJ544" s="277"/>
      <c r="AK544" s="277"/>
      <c r="AL544" s="277"/>
      <c r="AM544" s="277"/>
      <c r="AN544" s="277"/>
      <c r="AO544" s="277"/>
      <c r="AP544" s="277"/>
      <c r="AQ544" s="284">
        <f>X544+AA544+AD544+AG544+AJ544+AM544+AP544</f>
        <v>0</v>
      </c>
      <c r="AR544" s="277"/>
      <c r="AS544" s="277" t="e">
        <f>AT544/C544</f>
        <v>#DIV/0!</v>
      </c>
      <c r="AT544" s="280">
        <f>(U544)*AR544%</f>
        <v>0</v>
      </c>
      <c r="AU544" s="282"/>
      <c r="AV544" s="277">
        <v>100</v>
      </c>
      <c r="AW544" s="277">
        <f>AU544*T544</f>
        <v>0</v>
      </c>
      <c r="AX544" s="277"/>
      <c r="AY544" s="277"/>
      <c r="AZ544" s="280"/>
      <c r="BA544" s="284">
        <f>AT544+AW544+AZ544</f>
        <v>0</v>
      </c>
      <c r="BB544" s="284" t="e">
        <f>BC544/C544</f>
        <v>#DIV/0!</v>
      </c>
      <c r="BC544" s="284">
        <f>BA544+AQ544+U544</f>
        <v>0</v>
      </c>
      <c r="BD544" s="286" t="e">
        <f>BC544/C544</f>
        <v>#DIV/0!</v>
      </c>
      <c r="BE544" s="286"/>
      <c r="BF544" s="251">
        <f>IF(D544=1,BC544,0)</f>
        <v>0</v>
      </c>
      <c r="BG544" s="251">
        <f>IF(E544=1,BC544,0)</f>
        <v>0</v>
      </c>
      <c r="BH544" s="251">
        <f>IF(F544=1,BC544,0)</f>
        <v>0</v>
      </c>
      <c r="BI544" s="251">
        <f>IF(G544=1,BC544,0)</f>
        <v>0</v>
      </c>
      <c r="BJ544" s="251">
        <f>IF(H544=1,BC544,0)</f>
        <v>0</v>
      </c>
      <c r="BK544" s="251">
        <f>IF(I544=1,BC544,0)</f>
        <v>0</v>
      </c>
      <c r="BL544" s="251">
        <f>IF(J544=1,BC544,0)</f>
        <v>0</v>
      </c>
      <c r="BM544" s="251">
        <f>IF(K544=1,BC544,0)</f>
        <v>0</v>
      </c>
    </row>
    <row r="545" spans="1:65" ht="21" hidden="1" customHeight="1" x14ac:dyDescent="0.25">
      <c r="A545" s="344"/>
      <c r="B545" s="288" t="s">
        <v>243</v>
      </c>
      <c r="C545" s="393"/>
      <c r="D545" s="279"/>
      <c r="E545" s="279"/>
      <c r="F545" s="328"/>
      <c r="G545" s="328"/>
      <c r="H545" s="279">
        <v>1</v>
      </c>
      <c r="I545" s="328"/>
      <c r="J545" s="328"/>
      <c r="K545" s="279"/>
      <c r="L545" s="277"/>
      <c r="M545" s="461"/>
      <c r="N545" s="281"/>
      <c r="O545" s="277"/>
      <c r="P545" s="282"/>
      <c r="Q545" s="277"/>
      <c r="R545" s="280">
        <f>$R$565</f>
        <v>174</v>
      </c>
      <c r="S545" s="280">
        <f>T545/(R545/3)</f>
        <v>0</v>
      </c>
      <c r="T545" s="425">
        <f>ROUND(M545*N545*O545*P545,0)</f>
        <v>0</v>
      </c>
      <c r="U545" s="284">
        <f>T545*C545</f>
        <v>0</v>
      </c>
      <c r="V545" s="277"/>
      <c r="W545" s="285"/>
      <c r="X545" s="285">
        <f>U545*V545%</f>
        <v>0</v>
      </c>
      <c r="Y545" s="277"/>
      <c r="Z545" s="277"/>
      <c r="AA545" s="277"/>
      <c r="AB545" s="345"/>
      <c r="AC545" s="345"/>
      <c r="AD545" s="345"/>
      <c r="AE545" s="345"/>
      <c r="AF545" s="345"/>
      <c r="AG545" s="345"/>
      <c r="AH545" s="345"/>
      <c r="AI545" s="345"/>
      <c r="AJ545" s="345"/>
      <c r="AK545" s="277"/>
      <c r="AL545" s="285"/>
      <c r="AM545" s="285"/>
      <c r="AN545" s="277">
        <f>12+25</f>
        <v>37</v>
      </c>
      <c r="AO545" s="285"/>
      <c r="AP545" s="285">
        <f>U545*AN545%</f>
        <v>0</v>
      </c>
      <c r="AQ545" s="284">
        <f>X545+AA545+AD545+AG545+AJ545+AM545+AP545</f>
        <v>0</v>
      </c>
      <c r="AR545" s="277"/>
      <c r="AS545" s="277" t="e">
        <f>AT545/C545</f>
        <v>#DIV/0!</v>
      </c>
      <c r="AT545" s="280">
        <f>(U545)*AR545%</f>
        <v>0</v>
      </c>
      <c r="AU545" s="282"/>
      <c r="AV545" s="277">
        <v>100</v>
      </c>
      <c r="AW545" s="277">
        <f>AU545*T545</f>
        <v>0</v>
      </c>
      <c r="AX545" s="277"/>
      <c r="AY545" s="277"/>
      <c r="AZ545" s="304"/>
      <c r="BA545" s="284">
        <f>AT545+AW545+AZ545</f>
        <v>0</v>
      </c>
      <c r="BB545" s="284" t="e">
        <f>BC545/C545</f>
        <v>#DIV/0!</v>
      </c>
      <c r="BC545" s="284">
        <f>BA545+AQ545+U545</f>
        <v>0</v>
      </c>
      <c r="BD545" s="286" t="e">
        <f>BC545/C545</f>
        <v>#DIV/0!</v>
      </c>
      <c r="BE545" s="286"/>
      <c r="BF545" s="251">
        <f>IF(D545=1,BC545,0)</f>
        <v>0</v>
      </c>
      <c r="BG545" s="251">
        <f>IF(E545=1,BC545,0)</f>
        <v>0</v>
      </c>
      <c r="BH545" s="251">
        <f>IF(F545=1,BC545,0)</f>
        <v>0</v>
      </c>
      <c r="BI545" s="251">
        <f>IF(G545=1,BC545,0)</f>
        <v>0</v>
      </c>
      <c r="BJ545" s="251">
        <f>IF(H545=1,BC545,0)</f>
        <v>0</v>
      </c>
      <c r="BK545" s="251">
        <f>IF(I545=1,BC545,0)</f>
        <v>0</v>
      </c>
      <c r="BL545" s="251">
        <f>IF(J545=1,BC545,0)</f>
        <v>0</v>
      </c>
      <c r="BM545" s="251">
        <f>IF(K545=1,BC545,0)</f>
        <v>0</v>
      </c>
    </row>
    <row r="546" spans="1:65" s="316" customFormat="1" ht="18.75" hidden="1" customHeight="1" x14ac:dyDescent="0.25">
      <c r="A546" s="306"/>
      <c r="B546" s="307" t="s">
        <v>229</v>
      </c>
      <c r="C546" s="329">
        <f>SUM(C542:C545)</f>
        <v>0</v>
      </c>
      <c r="D546" s="309"/>
      <c r="E546" s="309"/>
      <c r="F546" s="309"/>
      <c r="G546" s="309"/>
      <c r="H546" s="309"/>
      <c r="I546" s="309"/>
      <c r="J546" s="309"/>
      <c r="K546" s="309"/>
      <c r="L546" s="309"/>
      <c r="M546" s="310"/>
      <c r="N546" s="309"/>
      <c r="O546" s="309"/>
      <c r="P546" s="309"/>
      <c r="Q546" s="309"/>
      <c r="R546" s="310"/>
      <c r="S546" s="310"/>
      <c r="T546" s="349">
        <f>U546</f>
        <v>0</v>
      </c>
      <c r="U546" s="329">
        <f>SUM(U542:U545)</f>
        <v>0</v>
      </c>
      <c r="V546" s="309"/>
      <c r="W546" s="309"/>
      <c r="X546" s="329">
        <f>SUM(X542:X545)</f>
        <v>0</v>
      </c>
      <c r="Y546" s="329"/>
      <c r="Z546" s="329"/>
      <c r="AA546" s="329">
        <f>SUM(AA542:AA545)</f>
        <v>0</v>
      </c>
      <c r="AB546" s="329"/>
      <c r="AC546" s="329"/>
      <c r="AD546" s="329">
        <f>SUM(AD542:AD545)</f>
        <v>0</v>
      </c>
      <c r="AE546" s="329"/>
      <c r="AF546" s="329"/>
      <c r="AG546" s="329">
        <f>SUM(AG542:AG545)</f>
        <v>0</v>
      </c>
      <c r="AH546" s="329"/>
      <c r="AI546" s="329"/>
      <c r="AJ546" s="329">
        <f>SUM(AJ542:AJ545)</f>
        <v>0</v>
      </c>
      <c r="AK546" s="329"/>
      <c r="AL546" s="329"/>
      <c r="AM546" s="329">
        <f>SUM(AM542:AM545)</f>
        <v>0</v>
      </c>
      <c r="AN546" s="329"/>
      <c r="AO546" s="329"/>
      <c r="AP546" s="329">
        <f>SUM(AP542:AP545)</f>
        <v>0</v>
      </c>
      <c r="AQ546" s="329">
        <f>SUM(AQ542:AQ545)</f>
        <v>0</v>
      </c>
      <c r="AR546" s="329"/>
      <c r="AS546" s="329" t="e">
        <f>SUM(AS542:AS545)</f>
        <v>#DIV/0!</v>
      </c>
      <c r="AT546" s="329">
        <f>SUM(AT542:AT545)</f>
        <v>0</v>
      </c>
      <c r="AU546" s="329">
        <f>SUM(AU542:AU545)</f>
        <v>0</v>
      </c>
      <c r="AV546" s="329"/>
      <c r="AW546" s="329">
        <f>SUM(AW542:AW545)</f>
        <v>0</v>
      </c>
      <c r="AX546" s="329"/>
      <c r="AY546" s="329">
        <f>SUM(AY542:AY545)</f>
        <v>0</v>
      </c>
      <c r="AZ546" s="329">
        <f>SUM(AZ542:AZ545)</f>
        <v>0</v>
      </c>
      <c r="BA546" s="329">
        <f>SUM(BA542:BA545)</f>
        <v>0</v>
      </c>
      <c r="BB546" s="329" t="e">
        <f>BC546/C546</f>
        <v>#DIV/0!</v>
      </c>
      <c r="BC546" s="329">
        <f>SUM(BC542:BC545)</f>
        <v>0</v>
      </c>
      <c r="BD546" s="286" t="e">
        <f>BC546/C546</f>
        <v>#DIV/0!</v>
      </c>
      <c r="BE546" s="323"/>
    </row>
    <row r="547" spans="1:65" s="316" customFormat="1" ht="18.75" hidden="1" customHeight="1" x14ac:dyDescent="0.25">
      <c r="A547" s="306"/>
      <c r="B547" s="307"/>
      <c r="C547" s="329"/>
      <c r="D547" s="309"/>
      <c r="E547" s="309"/>
      <c r="F547" s="309"/>
      <c r="G547" s="309"/>
      <c r="H547" s="309"/>
      <c r="I547" s="309"/>
      <c r="J547" s="309"/>
      <c r="K547" s="309"/>
      <c r="L547" s="309"/>
      <c r="M547" s="310"/>
      <c r="N547" s="309"/>
      <c r="O547" s="309"/>
      <c r="P547" s="309"/>
      <c r="Q547" s="309"/>
      <c r="R547" s="310"/>
      <c r="S547" s="310"/>
      <c r="T547" s="311"/>
      <c r="U547" s="329"/>
      <c r="V547" s="309"/>
      <c r="W547" s="309"/>
      <c r="X547" s="329"/>
      <c r="Y547" s="329"/>
      <c r="Z547" s="329"/>
      <c r="AA547" s="329"/>
      <c r="AB547" s="329"/>
      <c r="AC547" s="329"/>
      <c r="AD547" s="329"/>
      <c r="AE547" s="329"/>
      <c r="AF547" s="329"/>
      <c r="AG547" s="329"/>
      <c r="AH547" s="329"/>
      <c r="AI547" s="329"/>
      <c r="AJ547" s="329"/>
      <c r="AK547" s="329"/>
      <c r="AL547" s="329"/>
      <c r="AM547" s="329"/>
      <c r="AN547" s="329"/>
      <c r="AO547" s="329"/>
      <c r="AP547" s="329"/>
      <c r="AQ547" s="329"/>
      <c r="AR547" s="329"/>
      <c r="AS547" s="329"/>
      <c r="AT547" s="329"/>
      <c r="AU547" s="329"/>
      <c r="AV547" s="329"/>
      <c r="AW547" s="329"/>
      <c r="AX547" s="329"/>
      <c r="AY547" s="329"/>
      <c r="AZ547" s="329"/>
      <c r="BA547" s="329"/>
      <c r="BB547" s="329"/>
      <c r="BC547" s="329"/>
      <c r="BD547" s="323"/>
      <c r="BE547" s="323"/>
    </row>
    <row r="548" spans="1:65" s="316" customFormat="1" ht="18.75" hidden="1" customHeight="1" x14ac:dyDescent="0.25">
      <c r="A548" s="306"/>
      <c r="B548" s="307"/>
      <c r="C548" s="329"/>
      <c r="D548" s="309"/>
      <c r="E548" s="309"/>
      <c r="F548" s="309"/>
      <c r="G548" s="309"/>
      <c r="H548" s="309"/>
      <c r="I548" s="309"/>
      <c r="J548" s="309"/>
      <c r="K548" s="309"/>
      <c r="L548" s="309"/>
      <c r="M548" s="310"/>
      <c r="N548" s="309"/>
      <c r="O548" s="309"/>
      <c r="P548" s="309"/>
      <c r="Q548" s="309"/>
      <c r="R548" s="310"/>
      <c r="S548" s="310"/>
      <c r="T548" s="311"/>
      <c r="U548" s="329"/>
      <c r="V548" s="309"/>
      <c r="W548" s="309"/>
      <c r="X548" s="329"/>
      <c r="Y548" s="329"/>
      <c r="Z548" s="329"/>
      <c r="AA548" s="329"/>
      <c r="AB548" s="329"/>
      <c r="AC548" s="329"/>
      <c r="AD548" s="329"/>
      <c r="AE548" s="329"/>
      <c r="AF548" s="329"/>
      <c r="AG548" s="329"/>
      <c r="AH548" s="329"/>
      <c r="AI548" s="329"/>
      <c r="AJ548" s="329"/>
      <c r="AK548" s="329"/>
      <c r="AL548" s="329"/>
      <c r="AM548" s="329"/>
      <c r="AN548" s="329"/>
      <c r="AO548" s="329"/>
      <c r="AP548" s="329"/>
      <c r="AQ548" s="329"/>
      <c r="AR548" s="329"/>
      <c r="AS548" s="329"/>
      <c r="AT548" s="329"/>
      <c r="AU548" s="329"/>
      <c r="AV548" s="329"/>
      <c r="AW548" s="329"/>
      <c r="AX548" s="329"/>
      <c r="AY548" s="329"/>
      <c r="AZ548" s="329"/>
      <c r="BA548" s="329"/>
      <c r="BB548" s="329"/>
      <c r="BC548" s="329"/>
      <c r="BD548" s="323"/>
      <c r="BE548" s="323"/>
    </row>
    <row r="549" spans="1:65" s="316" customFormat="1" ht="35.25" customHeight="1" thickBot="1" x14ac:dyDescent="0.3">
      <c r="A549" s="398"/>
      <c r="B549" s="399" t="s">
        <v>268</v>
      </c>
      <c r="C549" s="400">
        <f>C477+C518+C539+C546</f>
        <v>88.5</v>
      </c>
      <c r="D549" s="401"/>
      <c r="E549" s="401"/>
      <c r="F549" s="401"/>
      <c r="G549" s="401"/>
      <c r="H549" s="401"/>
      <c r="I549" s="401"/>
      <c r="J549" s="401"/>
      <c r="K549" s="401"/>
      <c r="L549" s="401"/>
      <c r="M549" s="402"/>
      <c r="N549" s="401"/>
      <c r="O549" s="401"/>
      <c r="P549" s="401"/>
      <c r="Q549" s="401"/>
      <c r="R549" s="402"/>
      <c r="S549" s="402"/>
      <c r="T549" s="349">
        <f>U549</f>
        <v>1395685.5</v>
      </c>
      <c r="U549" s="403">
        <f>U477+U518+U539+U546</f>
        <v>1395685.5</v>
      </c>
      <c r="V549" s="403"/>
      <c r="W549" s="403">
        <f>W477+W518+W539+W546</f>
        <v>0</v>
      </c>
      <c r="X549" s="403">
        <f>X477+X518+X539+X546</f>
        <v>240700.79999999999</v>
      </c>
      <c r="Y549" s="403"/>
      <c r="Z549" s="403">
        <f>Z477+Z518+Z539+Z546</f>
        <v>0</v>
      </c>
      <c r="AA549" s="403">
        <f>AA477+AA518+AA539+AA546</f>
        <v>19067.150000000001</v>
      </c>
      <c r="AB549" s="403"/>
      <c r="AC549" s="403"/>
      <c r="AD549" s="403">
        <f>AD477+AD518+AD539+AD546</f>
        <v>11884.2</v>
      </c>
      <c r="AE549" s="403"/>
      <c r="AF549" s="403">
        <f>AF477+AF518+AF539+AF546</f>
        <v>0</v>
      </c>
      <c r="AG549" s="403">
        <f>AG477+AG518+AG539+AG546</f>
        <v>41594.699999999997</v>
      </c>
      <c r="AH549" s="403"/>
      <c r="AI549" s="403">
        <f>AI477+AI518+AI539+AI546</f>
        <v>0</v>
      </c>
      <c r="AJ549" s="403">
        <f>AJ477+AJ518+AJ539+AJ546</f>
        <v>49517.5</v>
      </c>
      <c r="AK549" s="403"/>
      <c r="AL549" s="403">
        <f>AL477+AL518+AL539+AL546</f>
        <v>0</v>
      </c>
      <c r="AM549" s="403">
        <f>AM477+AM518+AM539+AM546</f>
        <v>105564.28</v>
      </c>
      <c r="AN549" s="403"/>
      <c r="AO549" s="403">
        <f>AO477+AO518+AO539+AO546</f>
        <v>0</v>
      </c>
      <c r="AP549" s="403">
        <f>AP477+AP518+AP539+AP546</f>
        <v>8493.5</v>
      </c>
      <c r="AQ549" s="403">
        <f>AQ477+AQ518+AQ539+AQ546</f>
        <v>476822.13</v>
      </c>
      <c r="AR549" s="403"/>
      <c r="AS549" s="403" t="e">
        <f>AS477+AS518+AS539+AS546</f>
        <v>#DIV/0!</v>
      </c>
      <c r="AT549" s="403">
        <f>AT477+AT518+AT539+AT546</f>
        <v>270525.5</v>
      </c>
      <c r="AU549" s="403">
        <f>AU477+AU518+AU539+AU546</f>
        <v>3</v>
      </c>
      <c r="AV549" s="403"/>
      <c r="AW549" s="403">
        <f>AW477+AW518+AW539+AW546</f>
        <v>43824</v>
      </c>
      <c r="AX549" s="403"/>
      <c r="AY549" s="403">
        <f>AY477+AY518+AY539+AY546</f>
        <v>1642.2879999999996</v>
      </c>
      <c r="AZ549" s="403">
        <f>AZ477+AZ518+AZ539+AZ546</f>
        <v>0</v>
      </c>
      <c r="BA549" s="403">
        <f>BA477+BA518+BA539+BA546</f>
        <v>314349.5</v>
      </c>
      <c r="BB549" s="403" t="e">
        <f>BB477+BB518+BB539+BB546</f>
        <v>#DIV/0!</v>
      </c>
      <c r="BC549" s="403">
        <f>BC477+BC518+BC539+BC546</f>
        <v>2186857.13</v>
      </c>
      <c r="BD549" s="286">
        <f>BC549/C549</f>
        <v>24710.250056497174</v>
      </c>
      <c r="BE549" s="323"/>
    </row>
    <row r="550" spans="1:65" s="239" customFormat="1" x14ac:dyDescent="0.25">
      <c r="A550" s="467"/>
      <c r="M550" s="240"/>
      <c r="R550" s="240"/>
      <c r="S550" s="240"/>
      <c r="AT550" s="242"/>
      <c r="AU550" s="241"/>
      <c r="AV550" s="241"/>
      <c r="AW550" s="241"/>
      <c r="AX550" s="241"/>
      <c r="AY550" s="241"/>
      <c r="AZ550" s="242"/>
      <c r="BA550" s="251">
        <f>AT549+AW549+AZ549</f>
        <v>314349.5</v>
      </c>
      <c r="BB550" s="241"/>
      <c r="BC550" s="241"/>
    </row>
    <row r="551" spans="1:65" s="239" customFormat="1" ht="6" customHeight="1" x14ac:dyDescent="0.25">
      <c r="A551" s="467"/>
      <c r="M551" s="240"/>
      <c r="R551" s="240"/>
      <c r="S551" s="240"/>
      <c r="AT551" s="242"/>
      <c r="AU551" s="241"/>
      <c r="AV551" s="241"/>
      <c r="AW551" s="241"/>
      <c r="AX551" s="241"/>
      <c r="AY551" s="241"/>
      <c r="AZ551" s="242"/>
      <c r="BA551" s="241"/>
      <c r="BB551" s="241"/>
      <c r="BC551" s="241"/>
    </row>
    <row r="552" spans="1:65" ht="16.5" x14ac:dyDescent="0.25">
      <c r="D552" s="241"/>
      <c r="E552" s="241"/>
      <c r="F552" s="241"/>
      <c r="G552" s="241"/>
      <c r="H552" s="241"/>
      <c r="I552" s="241"/>
      <c r="J552" s="241"/>
      <c r="K552" s="241"/>
      <c r="S552" s="120"/>
      <c r="T552" s="404"/>
      <c r="U552" s="120" t="s">
        <v>294</v>
      </c>
      <c r="V552" s="405"/>
      <c r="W552" s="405"/>
      <c r="AT552" s="462">
        <f>C549</f>
        <v>88.5</v>
      </c>
      <c r="AZ552" s="407"/>
      <c r="BA552" s="251">
        <f>BC552/AT552/1</f>
        <v>24710.250056497174</v>
      </c>
      <c r="BC552" s="251">
        <f>BC549</f>
        <v>2186857.13</v>
      </c>
      <c r="BD552" s="251"/>
      <c r="BE552" s="251"/>
      <c r="BF552" s="241">
        <f>BC552/12</f>
        <v>182238.09416666665</v>
      </c>
      <c r="BH552" s="252">
        <f>BA549/2</f>
        <v>157174.75</v>
      </c>
    </row>
    <row r="553" spans="1:65" ht="17.25" x14ac:dyDescent="0.3">
      <c r="D553" s="241"/>
      <c r="E553" s="241"/>
      <c r="F553" s="241"/>
      <c r="G553" s="241"/>
      <c r="H553" s="241"/>
      <c r="I553" s="241"/>
      <c r="J553" s="241"/>
      <c r="K553" s="241"/>
      <c r="S553" s="148"/>
      <c r="T553" s="408"/>
      <c r="U553" s="148"/>
      <c r="V553" s="409" t="s">
        <v>270</v>
      </c>
      <c r="W553" s="410"/>
      <c r="AT553" s="462"/>
    </row>
    <row r="554" spans="1:65" ht="17.25" x14ac:dyDescent="0.3">
      <c r="D554" s="241"/>
      <c r="E554" s="241"/>
      <c r="F554" s="241"/>
      <c r="G554" s="241"/>
      <c r="H554" s="241"/>
      <c r="I554" s="241"/>
      <c r="J554" s="241"/>
      <c r="K554" s="241"/>
      <c r="S554" s="411"/>
      <c r="T554" s="412"/>
      <c r="U554" s="411" t="s">
        <v>271</v>
      </c>
      <c r="V554" s="413"/>
      <c r="W554" s="414"/>
      <c r="X554" s="415"/>
      <c r="Y554" s="415"/>
      <c r="Z554" s="415"/>
      <c r="AA554" s="415"/>
      <c r="AB554" s="415"/>
      <c r="AC554" s="415"/>
      <c r="AE554" s="415"/>
      <c r="AT554" s="462">
        <f>C477-C475+C488+C522+C523+C532+C542+C544</f>
        <v>28</v>
      </c>
      <c r="AZ554" s="407"/>
      <c r="BA554" s="251">
        <f>BC554/AT554/1</f>
        <v>32719.825714285718</v>
      </c>
      <c r="BC554" s="251">
        <f>BC477-BC475-BC476+BC488+BC522+BC523+BC532+BC542+BC544</f>
        <v>916155.12000000011</v>
      </c>
      <c r="BD554" s="251"/>
      <c r="BE554" s="251"/>
      <c r="BF554" s="241">
        <f>BC554/12</f>
        <v>76346.260000000009</v>
      </c>
    </row>
    <row r="555" spans="1:65" ht="16.5" x14ac:dyDescent="0.25">
      <c r="D555" s="241"/>
      <c r="E555" s="241"/>
      <c r="F555" s="241"/>
      <c r="G555" s="241"/>
      <c r="H555" s="241"/>
      <c r="I555" s="241"/>
      <c r="J555" s="241"/>
      <c r="K555" s="241"/>
      <c r="S555" s="148"/>
      <c r="T555" s="408"/>
      <c r="U555" s="148"/>
      <c r="V555" s="410"/>
      <c r="W555" s="410"/>
      <c r="AT555" s="462"/>
    </row>
    <row r="556" spans="1:65" ht="17.25" x14ac:dyDescent="0.3">
      <c r="D556" s="241"/>
      <c r="E556" s="241"/>
      <c r="F556" s="241"/>
      <c r="G556" s="241"/>
      <c r="H556" s="241"/>
      <c r="I556" s="241"/>
      <c r="J556" s="241"/>
      <c r="K556" s="241"/>
      <c r="S556" s="416"/>
      <c r="T556" s="412"/>
      <c r="U556" s="416" t="s">
        <v>272</v>
      </c>
      <c r="V556" s="409"/>
      <c r="W556" s="409"/>
      <c r="AT556" s="462">
        <f>C475+C499+C510+C517+C524+C525+C526+C527+C533+C534+C535+C543+C545</f>
        <v>60.5</v>
      </c>
      <c r="AZ556" s="407"/>
      <c r="BA556" s="251">
        <f>BC556/AT556/1</f>
        <v>21003.339008264462</v>
      </c>
      <c r="BC556" s="251">
        <f>BC475+BC499+BC510+BC517+BC524+BC525+BC526+BC527+BC533+BC534+BC535+BC543+BC545</f>
        <v>1270702.01</v>
      </c>
      <c r="BD556" s="251"/>
      <c r="BE556" s="251"/>
      <c r="BF556" s="241">
        <f>BC556/12</f>
        <v>105891.83416666667</v>
      </c>
    </row>
    <row r="557" spans="1:65" x14ac:dyDescent="0.25">
      <c r="D557" s="241"/>
      <c r="E557" s="241"/>
      <c r="F557" s="241"/>
      <c r="G557" s="241"/>
      <c r="H557" s="241"/>
      <c r="I557" s="241"/>
      <c r="J557" s="241"/>
      <c r="K557" s="241"/>
      <c r="AT557" s="462">
        <f>SUM(AT554:AT556)</f>
        <v>88.5</v>
      </c>
      <c r="BC557" s="417">
        <f>SUM(BC554:BC556)</f>
        <v>2186857.13</v>
      </c>
    </row>
    <row r="558" spans="1:65" ht="5.25" customHeight="1" x14ac:dyDescent="0.25">
      <c r="D558" s="241"/>
      <c r="E558" s="241"/>
      <c r="F558" s="241"/>
      <c r="G558" s="241"/>
      <c r="H558" s="241"/>
      <c r="I558" s="241"/>
      <c r="J558" s="241"/>
      <c r="K558" s="241"/>
      <c r="AT558" s="418">
        <f>SUM(AT554:AT556)</f>
        <v>88.5</v>
      </c>
      <c r="AU558" s="418"/>
      <c r="AV558" s="418"/>
      <c r="AW558" s="418"/>
      <c r="AX558" s="419"/>
      <c r="AY558" s="419"/>
      <c r="AZ558" s="418"/>
      <c r="BA558" s="418"/>
      <c r="BB558" s="418">
        <f>SUM(BB554:BB556)</f>
        <v>0</v>
      </c>
      <c r="BC558" s="418">
        <f>SUM(BC554:BC556)</f>
        <v>2186857.13</v>
      </c>
    </row>
    <row r="559" spans="1:65" ht="12" customHeight="1" thickBot="1" x14ac:dyDescent="0.3">
      <c r="B559" s="257" t="s">
        <v>295</v>
      </c>
      <c r="C559" s="257"/>
      <c r="D559" s="257"/>
      <c r="E559" s="257"/>
      <c r="F559" s="257"/>
      <c r="G559" s="257"/>
      <c r="H559" s="257"/>
      <c r="I559" s="257"/>
      <c r="J559" s="257"/>
      <c r="K559" s="257"/>
      <c r="L559" s="257"/>
      <c r="M559" s="257">
        <f>[3]тар!B45</f>
        <v>3028</v>
      </c>
      <c r="N559" s="257" t="s">
        <v>173</v>
      </c>
      <c r="O559" s="257"/>
    </row>
    <row r="560" spans="1:65" ht="80.25" customHeight="1" x14ac:dyDescent="0.25">
      <c r="A560" s="2019" t="s">
        <v>291</v>
      </c>
      <c r="B560" s="2021" t="s">
        <v>175</v>
      </c>
      <c r="C560" s="2024"/>
      <c r="D560" s="2027" t="s">
        <v>177</v>
      </c>
      <c r="E560" s="2028"/>
      <c r="F560" s="2028"/>
      <c r="G560" s="2028"/>
      <c r="H560" s="2028"/>
      <c r="I560" s="2028"/>
      <c r="J560" s="2028"/>
      <c r="K560" s="2029"/>
      <c r="L560" s="2030" t="s">
        <v>178</v>
      </c>
      <c r="M560" s="2033" t="s">
        <v>179</v>
      </c>
      <c r="N560" s="2013" t="s">
        <v>180</v>
      </c>
      <c r="O560" s="2013" t="s">
        <v>181</v>
      </c>
      <c r="P560" s="2013" t="s">
        <v>182</v>
      </c>
      <c r="Q560" s="2013" t="s">
        <v>183</v>
      </c>
      <c r="R560" s="2013" t="s">
        <v>184</v>
      </c>
      <c r="S560" s="2015" t="s">
        <v>274</v>
      </c>
      <c r="T560" s="2016"/>
      <c r="U560" s="2010" t="s">
        <v>186</v>
      </c>
      <c r="V560" s="1991" t="s">
        <v>275</v>
      </c>
      <c r="W560" s="1992"/>
      <c r="X560" s="1993"/>
      <c r="Y560" s="1994" t="s">
        <v>188</v>
      </c>
      <c r="Z560" s="1992"/>
      <c r="AA560" s="1993"/>
      <c r="AB560" s="2036" t="s">
        <v>189</v>
      </c>
      <c r="AC560" s="2037"/>
      <c r="AD560" s="2038"/>
      <c r="AE560" s="1994" t="s">
        <v>190</v>
      </c>
      <c r="AF560" s="1992"/>
      <c r="AG560" s="1993"/>
      <c r="AH560" s="1994" t="s">
        <v>191</v>
      </c>
      <c r="AI560" s="1992"/>
      <c r="AJ560" s="1993"/>
      <c r="AK560" s="2036" t="s">
        <v>192</v>
      </c>
      <c r="AL560" s="2037"/>
      <c r="AM560" s="2038"/>
      <c r="AN560" s="1994" t="s">
        <v>193</v>
      </c>
      <c r="AO560" s="1992"/>
      <c r="AP560" s="1993"/>
      <c r="AQ560" s="2010" t="s">
        <v>194</v>
      </c>
      <c r="AR560" s="1991" t="s">
        <v>195</v>
      </c>
      <c r="AS560" s="1992"/>
      <c r="AT560" s="1993"/>
      <c r="AU560" s="1994" t="s">
        <v>196</v>
      </c>
      <c r="AV560" s="1992"/>
      <c r="AW560" s="1992"/>
      <c r="AX560" s="1992"/>
      <c r="AY560" s="1992"/>
      <c r="AZ560" s="1993"/>
      <c r="BA560" s="1995" t="s">
        <v>197</v>
      </c>
      <c r="BB560" s="1998" t="s">
        <v>198</v>
      </c>
      <c r="BC560" s="1999"/>
      <c r="BD560" s="258"/>
      <c r="BE560" s="258"/>
      <c r="BF560" s="251">
        <f>BC582-BA565</f>
        <v>644428.13</v>
      </c>
    </row>
    <row r="561" spans="1:65" ht="10.9" customHeight="1" x14ac:dyDescent="0.25">
      <c r="A561" s="2020"/>
      <c r="B561" s="2022"/>
      <c r="C561" s="2025"/>
      <c r="D561" s="2004" t="s">
        <v>199</v>
      </c>
      <c r="E561" s="2005"/>
      <c r="F561" s="2005"/>
      <c r="G561" s="2005"/>
      <c r="H561" s="2005"/>
      <c r="I561" s="2005"/>
      <c r="J561" s="2005"/>
      <c r="K561" s="2006"/>
      <c r="L561" s="2031"/>
      <c r="M561" s="2034"/>
      <c r="N561" s="2014"/>
      <c r="O561" s="2014"/>
      <c r="P561" s="2014"/>
      <c r="Q561" s="2014"/>
      <c r="R561" s="2014"/>
      <c r="S561" s="2017"/>
      <c r="T561" s="2018"/>
      <c r="U561" s="2011"/>
      <c r="V561" s="1989" t="s">
        <v>200</v>
      </c>
      <c r="W561" s="1979" t="s">
        <v>201</v>
      </c>
      <c r="X561" s="1980"/>
      <c r="Y561" s="1983" t="s">
        <v>200</v>
      </c>
      <c r="Z561" s="1979" t="s">
        <v>201</v>
      </c>
      <c r="AA561" s="1980"/>
      <c r="AB561" s="1983" t="s">
        <v>200</v>
      </c>
      <c r="AC561" s="259"/>
      <c r="AD561" s="1985" t="s">
        <v>201</v>
      </c>
      <c r="AE561" s="1983" t="s">
        <v>200</v>
      </c>
      <c r="AF561" s="1979" t="s">
        <v>201</v>
      </c>
      <c r="AG561" s="1980"/>
      <c r="AH561" s="1983" t="s">
        <v>200</v>
      </c>
      <c r="AI561" s="1979" t="s">
        <v>201</v>
      </c>
      <c r="AJ561" s="1980"/>
      <c r="AK561" s="1983" t="s">
        <v>200</v>
      </c>
      <c r="AL561" s="1979" t="s">
        <v>201</v>
      </c>
      <c r="AM561" s="1980"/>
      <c r="AN561" s="1983" t="s">
        <v>200</v>
      </c>
      <c r="AO561" s="1979" t="s">
        <v>201</v>
      </c>
      <c r="AP561" s="1980"/>
      <c r="AQ561" s="2011"/>
      <c r="AR561" s="1989" t="s">
        <v>200</v>
      </c>
      <c r="AS561" s="1979" t="s">
        <v>201</v>
      </c>
      <c r="AT561" s="1980"/>
      <c r="AU561" s="1983" t="s">
        <v>277</v>
      </c>
      <c r="AV561" s="1985" t="s">
        <v>200</v>
      </c>
      <c r="AW561" s="1987" t="s">
        <v>201</v>
      </c>
      <c r="AX561" s="1989" t="s">
        <v>200</v>
      </c>
      <c r="AY561" s="1979" t="s">
        <v>201</v>
      </c>
      <c r="AZ561" s="1980"/>
      <c r="BA561" s="1996"/>
      <c r="BB561" s="2000"/>
      <c r="BC561" s="2001"/>
      <c r="BD561" s="258"/>
      <c r="BE561" s="258"/>
    </row>
    <row r="562" spans="1:65" ht="50.25" customHeight="1" x14ac:dyDescent="0.25">
      <c r="A562" s="1990"/>
      <c r="B562" s="2023"/>
      <c r="C562" s="2026"/>
      <c r="D562" s="260" t="s">
        <v>203</v>
      </c>
      <c r="E562" s="261" t="s">
        <v>204</v>
      </c>
      <c r="F562" s="261" t="s">
        <v>205</v>
      </c>
      <c r="G562" s="261" t="s">
        <v>206</v>
      </c>
      <c r="H562" s="261" t="s">
        <v>207</v>
      </c>
      <c r="I562" s="261" t="s">
        <v>208</v>
      </c>
      <c r="J562" s="261" t="s">
        <v>209</v>
      </c>
      <c r="K562" s="262" t="s">
        <v>210</v>
      </c>
      <c r="L562" s="2032"/>
      <c r="M562" s="2035"/>
      <c r="N562" s="1986"/>
      <c r="O562" s="1986"/>
      <c r="P562" s="1986"/>
      <c r="Q562" s="1986"/>
      <c r="R562" s="1986"/>
      <c r="S562" s="263" t="s">
        <v>211</v>
      </c>
      <c r="T562" s="424" t="s">
        <v>212</v>
      </c>
      <c r="U562" s="2012"/>
      <c r="V562" s="1990"/>
      <c r="W562" s="1981"/>
      <c r="X562" s="1982"/>
      <c r="Y562" s="1984"/>
      <c r="Z562" s="1981"/>
      <c r="AA562" s="1982"/>
      <c r="AB562" s="1984"/>
      <c r="AC562" s="264"/>
      <c r="AD562" s="1986"/>
      <c r="AE562" s="1984"/>
      <c r="AF562" s="1981"/>
      <c r="AG562" s="1982"/>
      <c r="AH562" s="1984"/>
      <c r="AI562" s="1981"/>
      <c r="AJ562" s="1982"/>
      <c r="AK562" s="1984"/>
      <c r="AL562" s="1981"/>
      <c r="AM562" s="1982"/>
      <c r="AN562" s="1984"/>
      <c r="AO562" s="1981"/>
      <c r="AP562" s="1982"/>
      <c r="AQ562" s="2012"/>
      <c r="AR562" s="1990"/>
      <c r="AS562" s="1981"/>
      <c r="AT562" s="1982"/>
      <c r="AU562" s="1984"/>
      <c r="AV562" s="1986"/>
      <c r="AW562" s="1988"/>
      <c r="AX562" s="1990" t="s">
        <v>200</v>
      </c>
      <c r="AY562" s="1981"/>
      <c r="AZ562" s="1982"/>
      <c r="BA562" s="1997"/>
      <c r="BB562" s="2002"/>
      <c r="BC562" s="2003"/>
      <c r="BD562" s="265"/>
      <c r="BE562" s="265"/>
      <c r="BF562" s="260" t="s">
        <v>203</v>
      </c>
      <c r="BG562" s="261" t="s">
        <v>204</v>
      </c>
      <c r="BH562" s="261" t="s">
        <v>205</v>
      </c>
      <c r="BI562" s="261" t="s">
        <v>206</v>
      </c>
      <c r="BJ562" s="261" t="s">
        <v>207</v>
      </c>
      <c r="BK562" s="261" t="s">
        <v>208</v>
      </c>
      <c r="BL562" s="261" t="s">
        <v>209</v>
      </c>
      <c r="BM562" s="262" t="s">
        <v>210</v>
      </c>
    </row>
    <row r="563" spans="1:65" s="251" customFormat="1" x14ac:dyDescent="0.25">
      <c r="A563" s="427">
        <v>1</v>
      </c>
      <c r="B563" s="428">
        <v>2</v>
      </c>
      <c r="C563" s="345">
        <v>3</v>
      </c>
      <c r="D563" s="428">
        <v>5</v>
      </c>
      <c r="E563" s="345">
        <v>6</v>
      </c>
      <c r="F563" s="345">
        <v>7</v>
      </c>
      <c r="G563" s="428">
        <v>8</v>
      </c>
      <c r="H563" s="345">
        <v>9</v>
      </c>
      <c r="I563" s="345">
        <v>10</v>
      </c>
      <c r="J563" s="428">
        <v>11</v>
      </c>
      <c r="K563" s="345">
        <v>12</v>
      </c>
      <c r="L563" s="345">
        <v>4</v>
      </c>
      <c r="M563" s="428">
        <v>5</v>
      </c>
      <c r="N563" s="345">
        <v>6</v>
      </c>
      <c r="O563" s="345">
        <v>7</v>
      </c>
      <c r="P563" s="428">
        <v>8</v>
      </c>
      <c r="Q563" s="345">
        <v>9</v>
      </c>
      <c r="R563" s="345">
        <v>10</v>
      </c>
      <c r="S563" s="428">
        <v>11</v>
      </c>
      <c r="T563" s="345">
        <v>12</v>
      </c>
      <c r="U563" s="345">
        <v>13</v>
      </c>
      <c r="V563" s="428">
        <v>14</v>
      </c>
      <c r="W563" s="345">
        <v>24</v>
      </c>
      <c r="X563" s="345">
        <v>15</v>
      </c>
      <c r="Y563" s="428">
        <v>16</v>
      </c>
      <c r="Z563" s="345">
        <v>30</v>
      </c>
      <c r="AA563" s="345">
        <v>17</v>
      </c>
      <c r="AB563" s="428">
        <v>18</v>
      </c>
      <c r="AC563" s="428"/>
      <c r="AD563" s="345">
        <v>19</v>
      </c>
      <c r="AE563" s="428">
        <v>18</v>
      </c>
      <c r="AF563" s="345">
        <v>33</v>
      </c>
      <c r="AG563" s="345">
        <v>19</v>
      </c>
      <c r="AH563" s="428">
        <v>20</v>
      </c>
      <c r="AI563" s="345">
        <v>36</v>
      </c>
      <c r="AJ563" s="345">
        <v>21</v>
      </c>
      <c r="AK563" s="428">
        <v>22</v>
      </c>
      <c r="AL563" s="345">
        <v>39</v>
      </c>
      <c r="AM563" s="345">
        <v>23</v>
      </c>
      <c r="AN563" s="428">
        <v>22</v>
      </c>
      <c r="AO563" s="345">
        <v>39</v>
      </c>
      <c r="AP563" s="345">
        <v>23</v>
      </c>
      <c r="AQ563" s="428">
        <v>24</v>
      </c>
      <c r="AR563" s="345">
        <v>25</v>
      </c>
      <c r="AS563" s="345">
        <v>43</v>
      </c>
      <c r="AT563" s="428">
        <v>26</v>
      </c>
      <c r="AU563" s="345">
        <v>27</v>
      </c>
      <c r="AV563" s="345">
        <v>28</v>
      </c>
      <c r="AW563" s="428">
        <v>29</v>
      </c>
      <c r="AX563" s="345">
        <v>30</v>
      </c>
      <c r="AY563" s="345">
        <v>43</v>
      </c>
      <c r="AZ563" s="428">
        <v>31</v>
      </c>
      <c r="BA563" s="345">
        <v>32</v>
      </c>
      <c r="BB563" s="345">
        <v>49</v>
      </c>
      <c r="BC563" s="428">
        <v>33</v>
      </c>
    </row>
    <row r="564" spans="1:65" s="275" customFormat="1" ht="21" customHeight="1" x14ac:dyDescent="0.25">
      <c r="A564" s="270" t="s">
        <v>213</v>
      </c>
      <c r="B564" s="271" t="s">
        <v>97</v>
      </c>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c r="AA564" s="272"/>
      <c r="AB564" s="272"/>
      <c r="AC564" s="272"/>
      <c r="AD564" s="272"/>
      <c r="AE564" s="272"/>
      <c r="AF564" s="272"/>
      <c r="AG564" s="272"/>
      <c r="AH564" s="272"/>
      <c r="AI564" s="272"/>
      <c r="AJ564" s="272"/>
      <c r="AK564" s="272"/>
      <c r="AL564" s="272"/>
      <c r="AM564" s="272"/>
      <c r="AN564" s="272"/>
      <c r="AO564" s="272"/>
      <c r="AP564" s="272"/>
      <c r="AQ564" s="272"/>
      <c r="AR564" s="272"/>
      <c r="AS564" s="272"/>
      <c r="AT564" s="272"/>
      <c r="AU564" s="272"/>
      <c r="AV564" s="272"/>
      <c r="AW564" s="272"/>
      <c r="AX564" s="272"/>
      <c r="AY564" s="272"/>
      <c r="AZ564" s="272"/>
      <c r="BA564" s="272"/>
      <c r="BB564" s="272"/>
      <c r="BC564" s="273"/>
      <c r="BD564" s="274"/>
      <c r="BE564" s="274"/>
    </row>
    <row r="565" spans="1:65" s="287" customFormat="1" ht="18.75" customHeight="1" x14ac:dyDescent="0.25">
      <c r="A565" s="276"/>
      <c r="B565" s="277" t="s">
        <v>146</v>
      </c>
      <c r="C565" s="278">
        <v>1</v>
      </c>
      <c r="D565" s="279"/>
      <c r="E565" s="279"/>
      <c r="F565" s="279"/>
      <c r="G565" s="279"/>
      <c r="H565" s="279"/>
      <c r="I565" s="279"/>
      <c r="J565" s="279">
        <v>1</v>
      </c>
      <c r="K565" s="279"/>
      <c r="L565" s="277"/>
      <c r="M565" s="280">
        <f>M244</f>
        <v>3028</v>
      </c>
      <c r="N565" s="281">
        <f t="shared" ref="N565:N579" si="432">N$244</f>
        <v>2</v>
      </c>
      <c r="O565" s="282">
        <v>4.5</v>
      </c>
      <c r="P565" s="282">
        <f t="shared" ref="P565:P579" si="433">P$244</f>
        <v>1.58</v>
      </c>
      <c r="Q565" s="282"/>
      <c r="R565" s="280">
        <f>[3]тар!K16</f>
        <v>174</v>
      </c>
      <c r="S565" s="280">
        <f>T565/(R565/1)</f>
        <v>247.45977011494253</v>
      </c>
      <c r="T565" s="425">
        <f t="shared" ref="T565:T580" si="434">ROUND(M565*N565*O565*P565,0)</f>
        <v>43058</v>
      </c>
      <c r="U565" s="284">
        <f t="shared" ref="U565:U579" si="435">T565*C565</f>
        <v>43058</v>
      </c>
      <c r="V565" s="277"/>
      <c r="W565" s="285"/>
      <c r="X565" s="285">
        <f>U565*V565%</f>
        <v>0</v>
      </c>
      <c r="Y565" s="277"/>
      <c r="Z565" s="277"/>
      <c r="AA565" s="277"/>
      <c r="AB565" s="277"/>
      <c r="AC565" s="277"/>
      <c r="AD565" s="277"/>
      <c r="AE565" s="277"/>
      <c r="AF565" s="277"/>
      <c r="AG565" s="277"/>
      <c r="AH565" s="277"/>
      <c r="AI565" s="277"/>
      <c r="AJ565" s="277"/>
      <c r="AK565" s="277"/>
      <c r="AL565" s="277"/>
      <c r="AM565" s="285">
        <f t="shared" ref="AM565:AM581" si="436">T565*AK565%</f>
        <v>0</v>
      </c>
      <c r="AN565" s="277"/>
      <c r="AO565" s="277"/>
      <c r="AP565" s="285"/>
      <c r="AQ565" s="284">
        <f t="shared" ref="AQ565:AQ581" si="437">X565+AA565+AD565+AG565+AJ565+AM565+AP565</f>
        <v>0</v>
      </c>
      <c r="AR565" s="285"/>
      <c r="AS565" s="285">
        <f t="shared" ref="AS565:AS579" si="438">AT565/C565</f>
        <v>0</v>
      </c>
      <c r="AT565" s="280"/>
      <c r="AU565" s="277"/>
      <c r="AV565" s="277">
        <v>100</v>
      </c>
      <c r="AW565" s="277">
        <f t="shared" ref="AW565:AW579" si="439">AU565*T565</f>
        <v>0</v>
      </c>
      <c r="AX565" s="285"/>
      <c r="AY565" s="285"/>
      <c r="AZ565" s="280"/>
      <c r="BA565" s="284">
        <f t="shared" ref="BA565:BA580" si="440">AT565+AW565+AZ565</f>
        <v>0</v>
      </c>
      <c r="BB565" s="284">
        <f t="shared" ref="BB565:BB579" si="441">BC565/C565</f>
        <v>43058</v>
      </c>
      <c r="BC565" s="284">
        <f t="shared" ref="BC565:BC579" si="442">BA565+AQ565+U565</f>
        <v>43058</v>
      </c>
      <c r="BD565" s="286">
        <f t="shared" ref="BD565:BD579" si="443">BC565/C565</f>
        <v>43058</v>
      </c>
      <c r="BE565" s="286"/>
      <c r="BF565" s="251">
        <f>IF(D565=1,BC565,0)</f>
        <v>0</v>
      </c>
      <c r="BG565" s="251">
        <f>IF(E565=1,BC565,0)</f>
        <v>0</v>
      </c>
      <c r="BH565" s="251">
        <f>IF(F565=1,BC565,0)</f>
        <v>0</v>
      </c>
      <c r="BI565" s="251">
        <f>IF(G565=1,BC565,0)</f>
        <v>0</v>
      </c>
      <c r="BJ565" s="251">
        <f>IF(H565=1,BC565,0)</f>
        <v>0</v>
      </c>
      <c r="BK565" s="251">
        <f>IF(I565=1,BC565,0)</f>
        <v>0</v>
      </c>
      <c r="BL565" s="251">
        <f>IF(J565=1,BC565,0)</f>
        <v>43058</v>
      </c>
      <c r="BM565" s="251">
        <f>IF(K565=1,BC565,0)</f>
        <v>0</v>
      </c>
    </row>
    <row r="566" spans="1:65" s="287" customFormat="1" x14ac:dyDescent="0.25">
      <c r="A566" s="276"/>
      <c r="B566" s="288" t="s">
        <v>214</v>
      </c>
      <c r="C566" s="278">
        <v>1</v>
      </c>
      <c r="D566" s="279"/>
      <c r="E566" s="279"/>
      <c r="F566" s="279"/>
      <c r="G566" s="279"/>
      <c r="H566" s="279"/>
      <c r="I566" s="279"/>
      <c r="J566" s="279">
        <v>1</v>
      </c>
      <c r="K566" s="279"/>
      <c r="L566" s="277"/>
      <c r="M566" s="280">
        <f>M$572</f>
        <v>3028</v>
      </c>
      <c r="N566" s="281">
        <f t="shared" si="432"/>
        <v>2</v>
      </c>
      <c r="O566" s="282">
        <f>O565*80%</f>
        <v>3.6</v>
      </c>
      <c r="P566" s="282">
        <f t="shared" si="433"/>
        <v>1.58</v>
      </c>
      <c r="Q566" s="282"/>
      <c r="R566" s="280">
        <f>$R$565</f>
        <v>174</v>
      </c>
      <c r="S566" s="280">
        <f t="shared" ref="S566:S580" si="444">T566/(R566/1)</f>
        <v>197.9712643678161</v>
      </c>
      <c r="T566" s="425">
        <f t="shared" si="434"/>
        <v>34447</v>
      </c>
      <c r="U566" s="284">
        <f t="shared" si="435"/>
        <v>34447</v>
      </c>
      <c r="V566" s="277">
        <v>30</v>
      </c>
      <c r="W566" s="285"/>
      <c r="X566" s="285">
        <f>U566*V566%</f>
        <v>10334.1</v>
      </c>
      <c r="Y566" s="277"/>
      <c r="Z566" s="277"/>
      <c r="AA566" s="277"/>
      <c r="AB566" s="277"/>
      <c r="AC566" s="277"/>
      <c r="AD566" s="277"/>
      <c r="AE566" s="277"/>
      <c r="AF566" s="277"/>
      <c r="AG566" s="277"/>
      <c r="AH566" s="277"/>
      <c r="AI566" s="277"/>
      <c r="AJ566" s="277"/>
      <c r="AK566" s="277">
        <v>7</v>
      </c>
      <c r="AL566" s="277"/>
      <c r="AM566" s="285">
        <f t="shared" si="436"/>
        <v>2411.2900000000004</v>
      </c>
      <c r="AN566" s="277"/>
      <c r="AO566" s="277"/>
      <c r="AP566" s="277"/>
      <c r="AQ566" s="284">
        <f t="shared" si="437"/>
        <v>12745.390000000001</v>
      </c>
      <c r="AR566" s="277">
        <f t="shared" ref="AR566:AR580" si="445">AR$29</f>
        <v>20</v>
      </c>
      <c r="AS566" s="277">
        <f t="shared" si="438"/>
        <v>6889.4000000000005</v>
      </c>
      <c r="AT566" s="280">
        <f t="shared" ref="AT566:AT579" si="446">(U566)*AR566%</f>
        <v>6889.4000000000005</v>
      </c>
      <c r="AU566" s="277"/>
      <c r="AV566" s="277">
        <v>100</v>
      </c>
      <c r="AW566" s="277">
        <f t="shared" si="439"/>
        <v>0</v>
      </c>
      <c r="AX566" s="277"/>
      <c r="AY566" s="277"/>
      <c r="AZ566" s="280"/>
      <c r="BA566" s="284">
        <f t="shared" si="440"/>
        <v>6889.4000000000005</v>
      </c>
      <c r="BB566" s="284">
        <f t="shared" si="441"/>
        <v>54081.79</v>
      </c>
      <c r="BC566" s="284">
        <f t="shared" si="442"/>
        <v>54081.79</v>
      </c>
      <c r="BD566" s="286">
        <f t="shared" si="443"/>
        <v>54081.79</v>
      </c>
      <c r="BE566" s="286"/>
      <c r="BF566" s="251">
        <f>IF(D566=1,BC566,0)</f>
        <v>0</v>
      </c>
      <c r="BG566" s="251">
        <f>IF(E566=1,BC566,0)</f>
        <v>0</v>
      </c>
      <c r="BH566" s="251">
        <f>IF(F566=1,BC566,0)</f>
        <v>0</v>
      </c>
      <c r="BI566" s="251">
        <f>IF(G566=1,BC566,0)</f>
        <v>0</v>
      </c>
      <c r="BJ566" s="251">
        <f>IF(H566=1,BC566,0)</f>
        <v>0</v>
      </c>
      <c r="BK566" s="251">
        <f>IF(I566=1,BC566,0)</f>
        <v>0</v>
      </c>
      <c r="BL566" s="251">
        <f>IF(J566=1,BC566,0)</f>
        <v>54081.79</v>
      </c>
      <c r="BM566" s="251">
        <f>IF(K566=1,BC566,0)</f>
        <v>0</v>
      </c>
    </row>
    <row r="567" spans="1:65" s="301" customFormat="1" x14ac:dyDescent="0.25">
      <c r="A567" s="289"/>
      <c r="B567" s="290" t="s">
        <v>215</v>
      </c>
      <c r="C567" s="376">
        <v>1</v>
      </c>
      <c r="D567" s="292"/>
      <c r="E567" s="292"/>
      <c r="F567" s="292"/>
      <c r="G567" s="292"/>
      <c r="H567" s="292"/>
      <c r="I567" s="292"/>
      <c r="J567" s="292">
        <v>1</v>
      </c>
      <c r="K567" s="292"/>
      <c r="L567" s="293"/>
      <c r="M567" s="280">
        <f>M$572</f>
        <v>3028</v>
      </c>
      <c r="N567" s="429">
        <f t="shared" si="432"/>
        <v>2</v>
      </c>
      <c r="O567" s="295">
        <v>3.38</v>
      </c>
      <c r="P567" s="295">
        <f t="shared" si="433"/>
        <v>1.58</v>
      </c>
      <c r="Q567" s="295"/>
      <c r="R567" s="294">
        <f>$R$565</f>
        <v>174</v>
      </c>
      <c r="S567" s="294">
        <f>T567/(R567/1)</f>
        <v>185.86781609195401</v>
      </c>
      <c r="T567" s="291">
        <f t="shared" si="434"/>
        <v>32341</v>
      </c>
      <c r="U567" s="297">
        <f>T567*C567</f>
        <v>32341</v>
      </c>
      <c r="V567" s="293">
        <v>30</v>
      </c>
      <c r="W567" s="298"/>
      <c r="X567" s="298">
        <f>U567*V567%</f>
        <v>9702.2999999999993</v>
      </c>
      <c r="Y567" s="293"/>
      <c r="Z567" s="293"/>
      <c r="AA567" s="293"/>
      <c r="AB567" s="293"/>
      <c r="AC567" s="293"/>
      <c r="AD567" s="293"/>
      <c r="AE567" s="293"/>
      <c r="AF567" s="293"/>
      <c r="AG567" s="293"/>
      <c r="AH567" s="293"/>
      <c r="AI567" s="293"/>
      <c r="AJ567" s="293"/>
      <c r="AK567" s="293">
        <v>7</v>
      </c>
      <c r="AL567" s="293"/>
      <c r="AM567" s="298">
        <f t="shared" si="436"/>
        <v>2263.8700000000003</v>
      </c>
      <c r="AN567" s="293"/>
      <c r="AO567" s="293"/>
      <c r="AP567" s="293"/>
      <c r="AQ567" s="297">
        <f>X567+AA567+AD567+AG567+AJ567+AM567+AP567</f>
        <v>11966.17</v>
      </c>
      <c r="AR567" s="293">
        <f t="shared" si="445"/>
        <v>20</v>
      </c>
      <c r="AS567" s="293">
        <f>AT567/C567</f>
        <v>6468.2000000000007</v>
      </c>
      <c r="AT567" s="294">
        <f>(U567)*AR567%</f>
        <v>6468.2000000000007</v>
      </c>
      <c r="AU567" s="293"/>
      <c r="AV567" s="293">
        <v>100</v>
      </c>
      <c r="AW567" s="293">
        <f>AU567*T567</f>
        <v>0</v>
      </c>
      <c r="AX567" s="293"/>
      <c r="AY567" s="293"/>
      <c r="AZ567" s="294"/>
      <c r="BA567" s="297">
        <f>AT567+AW567+AZ567</f>
        <v>6468.2000000000007</v>
      </c>
      <c r="BB567" s="297">
        <f>BC567/C567</f>
        <v>50775.37</v>
      </c>
      <c r="BC567" s="297">
        <f>BA567+AQ567+U567</f>
        <v>50775.37</v>
      </c>
      <c r="BD567" s="299">
        <f>BC567/C567</f>
        <v>50775.37</v>
      </c>
      <c r="BE567" s="299"/>
      <c r="BF567" s="300">
        <f>IF(D567=1,BC567,0)</f>
        <v>0</v>
      </c>
      <c r="BG567" s="300">
        <f>IF(E567=1,BC567,0)</f>
        <v>0</v>
      </c>
      <c r="BH567" s="300">
        <f>IF(F567=1,BC567,0)</f>
        <v>0</v>
      </c>
      <c r="BI567" s="300">
        <f>IF(G567=1,BC567,0)</f>
        <v>0</v>
      </c>
      <c r="BJ567" s="300">
        <f>IF(H567=1,BC567,0)</f>
        <v>0</v>
      </c>
      <c r="BK567" s="300">
        <f>IF(I567=1,BC567,0)</f>
        <v>0</v>
      </c>
      <c r="BL567" s="300">
        <f>IF(J567=1,BC567,0)</f>
        <v>50775.37</v>
      </c>
      <c r="BM567" s="300">
        <f>IF(K567=1,BC567,0)</f>
        <v>0</v>
      </c>
    </row>
    <row r="568" spans="1:65" s="287" customFormat="1" x14ac:dyDescent="0.25">
      <c r="A568" s="276"/>
      <c r="B568" s="288" t="s">
        <v>216</v>
      </c>
      <c r="C568" s="278">
        <v>1</v>
      </c>
      <c r="D568" s="279"/>
      <c r="E568" s="279"/>
      <c r="F568" s="279"/>
      <c r="G568" s="279"/>
      <c r="H568" s="279"/>
      <c r="I568" s="279"/>
      <c r="J568" s="279">
        <v>1</v>
      </c>
      <c r="K568" s="279"/>
      <c r="L568" s="277"/>
      <c r="M568" s="280">
        <f>M$572</f>
        <v>3028</v>
      </c>
      <c r="N568" s="281">
        <f t="shared" si="432"/>
        <v>2</v>
      </c>
      <c r="O568" s="282">
        <v>3.38</v>
      </c>
      <c r="P568" s="282">
        <f t="shared" si="433"/>
        <v>1.58</v>
      </c>
      <c r="Q568" s="282"/>
      <c r="R568" s="280">
        <f t="shared" ref="R568:R579" si="447">$R$565</f>
        <v>174</v>
      </c>
      <c r="S568" s="280">
        <f t="shared" si="444"/>
        <v>185.86781609195401</v>
      </c>
      <c r="T568" s="425">
        <f t="shared" si="434"/>
        <v>32341</v>
      </c>
      <c r="U568" s="284">
        <f t="shared" si="435"/>
        <v>32341</v>
      </c>
      <c r="V568" s="277">
        <v>30</v>
      </c>
      <c r="W568" s="285"/>
      <c r="X568" s="285">
        <f t="shared" ref="X568:X580" si="448">U568*V568%</f>
        <v>9702.2999999999993</v>
      </c>
      <c r="Y568" s="277"/>
      <c r="Z568" s="277"/>
      <c r="AA568" s="277"/>
      <c r="AB568" s="277"/>
      <c r="AC568" s="277"/>
      <c r="AD568" s="277"/>
      <c r="AE568" s="277"/>
      <c r="AF568" s="277"/>
      <c r="AG568" s="277"/>
      <c r="AH568" s="277"/>
      <c r="AI568" s="277"/>
      <c r="AJ568" s="277"/>
      <c r="AK568" s="277">
        <v>15</v>
      </c>
      <c r="AL568" s="277"/>
      <c r="AM568" s="285">
        <f t="shared" si="436"/>
        <v>4851.1499999999996</v>
      </c>
      <c r="AN568" s="277"/>
      <c r="AO568" s="277"/>
      <c r="AP568" s="277"/>
      <c r="AQ568" s="284">
        <f t="shared" si="437"/>
        <v>14553.449999999999</v>
      </c>
      <c r="AR568" s="277">
        <f t="shared" si="445"/>
        <v>20</v>
      </c>
      <c r="AS568" s="277">
        <f t="shared" si="438"/>
        <v>6468.2000000000007</v>
      </c>
      <c r="AT568" s="280">
        <f t="shared" si="446"/>
        <v>6468.2000000000007</v>
      </c>
      <c r="AU568" s="277"/>
      <c r="AV568" s="277">
        <v>100</v>
      </c>
      <c r="AW568" s="277">
        <f t="shared" si="439"/>
        <v>0</v>
      </c>
      <c r="AX568" s="277"/>
      <c r="AY568" s="277"/>
      <c r="AZ568" s="280"/>
      <c r="BA568" s="284">
        <f t="shared" si="440"/>
        <v>6468.2000000000007</v>
      </c>
      <c r="BB568" s="284">
        <f t="shared" si="441"/>
        <v>53362.65</v>
      </c>
      <c r="BC568" s="284">
        <f t="shared" si="442"/>
        <v>53362.65</v>
      </c>
      <c r="BD568" s="286">
        <f t="shared" si="443"/>
        <v>53362.65</v>
      </c>
      <c r="BE568" s="286"/>
      <c r="BF568" s="251">
        <f t="shared" ref="BF568:BF579" si="449">IF(D568=1,BC568,0)</f>
        <v>0</v>
      </c>
      <c r="BG568" s="251">
        <f t="shared" ref="BG568:BG579" si="450">IF(E568=1,BC568,0)</f>
        <v>0</v>
      </c>
      <c r="BH568" s="251">
        <f t="shared" ref="BH568:BH579" si="451">IF(F568=1,BC568,0)</f>
        <v>0</v>
      </c>
      <c r="BI568" s="251">
        <f t="shared" ref="BI568:BI579" si="452">IF(G568=1,BC568,0)</f>
        <v>0</v>
      </c>
      <c r="BJ568" s="251">
        <f t="shared" ref="BJ568:BJ579" si="453">IF(H568=1,BC568,0)</f>
        <v>0</v>
      </c>
      <c r="BK568" s="251">
        <f t="shared" ref="BK568:BK579" si="454">IF(I568=1,BC568,0)</f>
        <v>0</v>
      </c>
      <c r="BL568" s="251">
        <f t="shared" ref="BL568:BL579" si="455">IF(J568=1,BC568,0)</f>
        <v>53362.65</v>
      </c>
      <c r="BM568" s="251">
        <f t="shared" ref="BM568:BM579" si="456">IF(K568=1,BC568,0)</f>
        <v>0</v>
      </c>
    </row>
    <row r="569" spans="1:65" s="287" customFormat="1" x14ac:dyDescent="0.25">
      <c r="A569" s="276"/>
      <c r="B569" s="288" t="s">
        <v>217</v>
      </c>
      <c r="C569" s="278">
        <v>4</v>
      </c>
      <c r="D569" s="279"/>
      <c r="E569" s="279"/>
      <c r="F569" s="279"/>
      <c r="G569" s="279"/>
      <c r="H569" s="279"/>
      <c r="I569" s="279"/>
      <c r="J569" s="279">
        <v>1</v>
      </c>
      <c r="K569" s="279"/>
      <c r="L569" s="277"/>
      <c r="M569" s="280">
        <f>M559</f>
        <v>3028</v>
      </c>
      <c r="N569" s="281">
        <f t="shared" si="432"/>
        <v>2</v>
      </c>
      <c r="O569" s="282">
        <v>2</v>
      </c>
      <c r="P569" s="282">
        <f t="shared" si="433"/>
        <v>1.58</v>
      </c>
      <c r="Q569" s="282"/>
      <c r="R569" s="280">
        <f t="shared" si="447"/>
        <v>174</v>
      </c>
      <c r="S569" s="280">
        <f>T569/(R569/1)</f>
        <v>109.98275862068965</v>
      </c>
      <c r="T569" s="425">
        <f t="shared" si="434"/>
        <v>19137</v>
      </c>
      <c r="U569" s="284">
        <f>T569*C569</f>
        <v>76548</v>
      </c>
      <c r="V569" s="277">
        <v>20</v>
      </c>
      <c r="W569" s="285"/>
      <c r="X569" s="285">
        <f>U569*V569%</f>
        <v>15309.6</v>
      </c>
      <c r="Y569" s="277"/>
      <c r="Z569" s="277"/>
      <c r="AA569" s="277"/>
      <c r="AB569" s="277"/>
      <c r="AC569" s="277"/>
      <c r="AD569" s="277"/>
      <c r="AE569" s="277"/>
      <c r="AF569" s="277"/>
      <c r="AG569" s="277"/>
      <c r="AH569" s="277"/>
      <c r="AI569" s="277"/>
      <c r="AJ569" s="277"/>
      <c r="AK569" s="277">
        <f>(7)/1</f>
        <v>7</v>
      </c>
      <c r="AL569" s="277"/>
      <c r="AM569" s="342">
        <f>1*T569*AK569%*1</f>
        <v>1339.5900000000001</v>
      </c>
      <c r="AN569" s="277"/>
      <c r="AO569" s="277"/>
      <c r="AP569" s="277"/>
      <c r="AQ569" s="284">
        <f>X569+AA569+AD569+AG569+AJ569+AM569+AP569</f>
        <v>16649.190000000002</v>
      </c>
      <c r="AR569" s="277">
        <f t="shared" si="445"/>
        <v>20</v>
      </c>
      <c r="AS569" s="277">
        <f>AT569/C569</f>
        <v>3827.4</v>
      </c>
      <c r="AT569" s="280">
        <f>(U569)*AR569%</f>
        <v>15309.6</v>
      </c>
      <c r="AU569" s="277"/>
      <c r="AV569" s="277">
        <v>100</v>
      </c>
      <c r="AW569" s="277">
        <f>AU569*T569</f>
        <v>0</v>
      </c>
      <c r="AX569" s="277"/>
      <c r="AY569" s="277"/>
      <c r="AZ569" s="280"/>
      <c r="BA569" s="284">
        <f>AT569+AW569+AZ569</f>
        <v>15309.6</v>
      </c>
      <c r="BB569" s="284">
        <f>BC569/C569</f>
        <v>27126.697500000002</v>
      </c>
      <c r="BC569" s="284">
        <f>BA569+AQ569+U569</f>
        <v>108506.79000000001</v>
      </c>
      <c r="BD569" s="286">
        <f>BC569/C569</f>
        <v>27126.697500000002</v>
      </c>
      <c r="BE569" s="286"/>
      <c r="BF569" s="251">
        <f>IF(D569=1,BC569,0)</f>
        <v>0</v>
      </c>
      <c r="BG569" s="251">
        <f>IF(E569=1,BC569,0)</f>
        <v>0</v>
      </c>
      <c r="BH569" s="251">
        <f>IF(F569=1,BC569,0)</f>
        <v>0</v>
      </c>
      <c r="BI569" s="251">
        <f>IF(G569=1,BC569,0)</f>
        <v>0</v>
      </c>
      <c r="BJ569" s="251">
        <f>IF(H569=1,BC569,0)</f>
        <v>0</v>
      </c>
      <c r="BK569" s="251">
        <f>IF(I569=1,BC569,0)</f>
        <v>0</v>
      </c>
      <c r="BL569" s="251">
        <f>IF(J569=1,BC569,0)</f>
        <v>108506.79000000001</v>
      </c>
      <c r="BM569" s="251">
        <f>IF(K569=1,BC569,0)</f>
        <v>0</v>
      </c>
    </row>
    <row r="570" spans="1:65" s="287" customFormat="1" x14ac:dyDescent="0.25">
      <c r="A570" s="276"/>
      <c r="B570" s="288" t="s">
        <v>218</v>
      </c>
      <c r="C570" s="278">
        <v>1</v>
      </c>
      <c r="D570" s="279"/>
      <c r="E570" s="279"/>
      <c r="F570" s="279"/>
      <c r="G570" s="279"/>
      <c r="H570" s="279"/>
      <c r="I570" s="279"/>
      <c r="J570" s="279">
        <v>1</v>
      </c>
      <c r="K570" s="279"/>
      <c r="L570" s="277"/>
      <c r="M570" s="280">
        <f>M$572</f>
        <v>3028</v>
      </c>
      <c r="N570" s="281">
        <f t="shared" si="432"/>
        <v>2</v>
      </c>
      <c r="O570" s="282">
        <v>3.15</v>
      </c>
      <c r="P570" s="282">
        <f t="shared" si="433"/>
        <v>1.58</v>
      </c>
      <c r="Q570" s="282"/>
      <c r="R570" s="280">
        <f t="shared" si="447"/>
        <v>174</v>
      </c>
      <c r="S570" s="280">
        <f t="shared" si="444"/>
        <v>173.22413793103448</v>
      </c>
      <c r="T570" s="425">
        <f t="shared" si="434"/>
        <v>30141</v>
      </c>
      <c r="U570" s="284">
        <f t="shared" si="435"/>
        <v>30141</v>
      </c>
      <c r="V570" s="277">
        <v>30</v>
      </c>
      <c r="W570" s="285"/>
      <c r="X570" s="285">
        <f t="shared" si="448"/>
        <v>9042.2999999999993</v>
      </c>
      <c r="Y570" s="277"/>
      <c r="Z570" s="277"/>
      <c r="AA570" s="277"/>
      <c r="AB570" s="277"/>
      <c r="AC570" s="277"/>
      <c r="AD570" s="277"/>
      <c r="AE570" s="277"/>
      <c r="AF570" s="277"/>
      <c r="AG570" s="277"/>
      <c r="AH570" s="277"/>
      <c r="AI570" s="277"/>
      <c r="AJ570" s="277"/>
      <c r="AK570" s="277">
        <v>20</v>
      </c>
      <c r="AL570" s="277"/>
      <c r="AM570" s="285">
        <f t="shared" si="436"/>
        <v>6028.2000000000007</v>
      </c>
      <c r="AN570" s="277"/>
      <c r="AO570" s="277"/>
      <c r="AP570" s="277"/>
      <c r="AQ570" s="284">
        <f t="shared" si="437"/>
        <v>15070.5</v>
      </c>
      <c r="AR570" s="277">
        <f t="shared" si="445"/>
        <v>20</v>
      </c>
      <c r="AS570" s="277">
        <f t="shared" si="438"/>
        <v>6028.2000000000007</v>
      </c>
      <c r="AT570" s="280">
        <f t="shared" si="446"/>
        <v>6028.2000000000007</v>
      </c>
      <c r="AU570" s="277"/>
      <c r="AV570" s="277">
        <v>100</v>
      </c>
      <c r="AW570" s="277">
        <f t="shared" si="439"/>
        <v>0</v>
      </c>
      <c r="AX570" s="277"/>
      <c r="AY570" s="277"/>
      <c r="AZ570" s="280"/>
      <c r="BA570" s="284">
        <f t="shared" si="440"/>
        <v>6028.2000000000007</v>
      </c>
      <c r="BB570" s="284">
        <f t="shared" si="441"/>
        <v>51239.7</v>
      </c>
      <c r="BC570" s="284">
        <f t="shared" si="442"/>
        <v>51239.7</v>
      </c>
      <c r="BD570" s="286">
        <f t="shared" si="443"/>
        <v>51239.7</v>
      </c>
      <c r="BE570" s="286"/>
      <c r="BF570" s="251">
        <f t="shared" si="449"/>
        <v>0</v>
      </c>
      <c r="BG570" s="251">
        <f t="shared" si="450"/>
        <v>0</v>
      </c>
      <c r="BH570" s="251">
        <f t="shared" si="451"/>
        <v>0</v>
      </c>
      <c r="BI570" s="251">
        <f t="shared" si="452"/>
        <v>0</v>
      </c>
      <c r="BJ570" s="251">
        <f t="shared" si="453"/>
        <v>0</v>
      </c>
      <c r="BK570" s="251">
        <f t="shared" si="454"/>
        <v>0</v>
      </c>
      <c r="BL570" s="251">
        <f t="shared" si="455"/>
        <v>51239.7</v>
      </c>
      <c r="BM570" s="251">
        <f t="shared" si="456"/>
        <v>0</v>
      </c>
    </row>
    <row r="571" spans="1:65" s="301" customFormat="1" ht="15.75" customHeight="1" x14ac:dyDescent="0.25">
      <c r="A571" s="289"/>
      <c r="B571" s="290" t="s">
        <v>219</v>
      </c>
      <c r="C571" s="291">
        <v>1</v>
      </c>
      <c r="D571" s="292"/>
      <c r="E571" s="292"/>
      <c r="F571" s="292"/>
      <c r="G571" s="292"/>
      <c r="H571" s="292"/>
      <c r="I571" s="292"/>
      <c r="J571" s="292">
        <v>1</v>
      </c>
      <c r="K571" s="292"/>
      <c r="L571" s="293"/>
      <c r="M571" s="294">
        <f>$M$569</f>
        <v>3028</v>
      </c>
      <c r="N571" s="429">
        <f t="shared" si="432"/>
        <v>2</v>
      </c>
      <c r="O571" s="295">
        <v>2.2000000000000002</v>
      </c>
      <c r="P571" s="295">
        <f t="shared" si="433"/>
        <v>1.58</v>
      </c>
      <c r="Q571" s="295"/>
      <c r="R571" s="294">
        <f t="shared" si="447"/>
        <v>174</v>
      </c>
      <c r="S571" s="294">
        <f t="shared" si="444"/>
        <v>120.98275862068965</v>
      </c>
      <c r="T571" s="291">
        <f t="shared" si="434"/>
        <v>21051</v>
      </c>
      <c r="U571" s="297">
        <f t="shared" si="435"/>
        <v>21051</v>
      </c>
      <c r="V571" s="293">
        <v>20</v>
      </c>
      <c r="W571" s="298"/>
      <c r="X571" s="298">
        <f t="shared" si="448"/>
        <v>4210.2</v>
      </c>
      <c r="Y571" s="293"/>
      <c r="Z571" s="293"/>
      <c r="AA571" s="293"/>
      <c r="AB571" s="293"/>
      <c r="AC571" s="293"/>
      <c r="AD571" s="293"/>
      <c r="AE571" s="293"/>
      <c r="AF571" s="293"/>
      <c r="AG571" s="293"/>
      <c r="AH571" s="293"/>
      <c r="AI571" s="293"/>
      <c r="AJ571" s="293"/>
      <c r="AK571" s="277">
        <v>7</v>
      </c>
      <c r="AL571" s="293"/>
      <c r="AM571" s="298">
        <f>T571*AK571%*1</f>
        <v>1473.5700000000002</v>
      </c>
      <c r="AN571" s="293"/>
      <c r="AO571" s="293"/>
      <c r="AP571" s="293"/>
      <c r="AQ571" s="297">
        <f t="shared" si="437"/>
        <v>5683.77</v>
      </c>
      <c r="AR571" s="293">
        <f t="shared" si="445"/>
        <v>20</v>
      </c>
      <c r="AS571" s="298">
        <f t="shared" si="438"/>
        <v>4210.2</v>
      </c>
      <c r="AT571" s="294">
        <f t="shared" si="446"/>
        <v>4210.2</v>
      </c>
      <c r="AU571" s="293"/>
      <c r="AV571" s="293">
        <v>100</v>
      </c>
      <c r="AW571" s="293">
        <f t="shared" si="439"/>
        <v>0</v>
      </c>
      <c r="AX571" s="293"/>
      <c r="AY571" s="298"/>
      <c r="AZ571" s="294"/>
      <c r="BA571" s="297">
        <f t="shared" si="440"/>
        <v>4210.2</v>
      </c>
      <c r="BB571" s="297">
        <f t="shared" si="441"/>
        <v>30944.97</v>
      </c>
      <c r="BC571" s="297">
        <f t="shared" si="442"/>
        <v>30944.97</v>
      </c>
      <c r="BD571" s="299">
        <f t="shared" si="443"/>
        <v>30944.97</v>
      </c>
      <c r="BE571" s="299"/>
      <c r="BF571" s="300">
        <f t="shared" si="449"/>
        <v>0</v>
      </c>
      <c r="BG571" s="300">
        <f t="shared" si="450"/>
        <v>0</v>
      </c>
      <c r="BH571" s="300">
        <f t="shared" si="451"/>
        <v>0</v>
      </c>
      <c r="BI571" s="300">
        <f t="shared" si="452"/>
        <v>0</v>
      </c>
      <c r="BJ571" s="300">
        <f t="shared" si="453"/>
        <v>0</v>
      </c>
      <c r="BK571" s="300">
        <f t="shared" si="454"/>
        <v>0</v>
      </c>
      <c r="BL571" s="300">
        <f t="shared" si="455"/>
        <v>30944.97</v>
      </c>
      <c r="BM571" s="300">
        <f t="shared" si="456"/>
        <v>0</v>
      </c>
    </row>
    <row r="572" spans="1:65" s="287" customFormat="1" x14ac:dyDescent="0.25">
      <c r="A572" s="276"/>
      <c r="B572" s="288" t="s">
        <v>220</v>
      </c>
      <c r="C572" s="278">
        <v>1</v>
      </c>
      <c r="D572" s="279"/>
      <c r="E572" s="279"/>
      <c r="F572" s="279"/>
      <c r="G572" s="279"/>
      <c r="H572" s="279"/>
      <c r="I572" s="279"/>
      <c r="J572" s="279">
        <v>1</v>
      </c>
      <c r="K572" s="279"/>
      <c r="L572" s="277"/>
      <c r="M572" s="304">
        <f>M559</f>
        <v>3028</v>
      </c>
      <c r="N572" s="281">
        <f t="shared" si="432"/>
        <v>2</v>
      </c>
      <c r="O572" s="282">
        <v>2.8</v>
      </c>
      <c r="P572" s="282">
        <f t="shared" si="433"/>
        <v>1.58</v>
      </c>
      <c r="Q572" s="282"/>
      <c r="R572" s="280">
        <f t="shared" si="447"/>
        <v>174</v>
      </c>
      <c r="S572" s="280">
        <f t="shared" si="444"/>
        <v>153.97701149425288</v>
      </c>
      <c r="T572" s="425">
        <f t="shared" si="434"/>
        <v>26792</v>
      </c>
      <c r="U572" s="284">
        <f t="shared" si="435"/>
        <v>26792</v>
      </c>
      <c r="V572" s="277">
        <v>20</v>
      </c>
      <c r="W572" s="285"/>
      <c r="X572" s="285">
        <f t="shared" si="448"/>
        <v>5358.4000000000005</v>
      </c>
      <c r="Y572" s="277"/>
      <c r="Z572" s="277"/>
      <c r="AA572" s="277"/>
      <c r="AB572" s="277"/>
      <c r="AC572" s="277"/>
      <c r="AD572" s="277"/>
      <c r="AE572" s="277"/>
      <c r="AF572" s="277"/>
      <c r="AG572" s="277"/>
      <c r="AH572" s="277"/>
      <c r="AI572" s="277"/>
      <c r="AJ572" s="277"/>
      <c r="AK572" s="277"/>
      <c r="AL572" s="277"/>
      <c r="AM572" s="285">
        <f t="shared" si="436"/>
        <v>0</v>
      </c>
      <c r="AN572" s="277"/>
      <c r="AO572" s="277"/>
      <c r="AP572" s="277"/>
      <c r="AQ572" s="284">
        <f t="shared" si="437"/>
        <v>5358.4000000000005</v>
      </c>
      <c r="AR572" s="277">
        <f t="shared" si="445"/>
        <v>20</v>
      </c>
      <c r="AS572" s="277">
        <f t="shared" si="438"/>
        <v>5358.4000000000005</v>
      </c>
      <c r="AT572" s="280">
        <f t="shared" si="446"/>
        <v>5358.4000000000005</v>
      </c>
      <c r="AU572" s="277"/>
      <c r="AV572" s="277">
        <v>100</v>
      </c>
      <c r="AW572" s="277">
        <f t="shared" si="439"/>
        <v>0</v>
      </c>
      <c r="AX572" s="277"/>
      <c r="AY572" s="277"/>
      <c r="AZ572" s="280"/>
      <c r="BA572" s="284">
        <f t="shared" si="440"/>
        <v>5358.4000000000005</v>
      </c>
      <c r="BB572" s="284">
        <f t="shared" si="441"/>
        <v>37508.800000000003</v>
      </c>
      <c r="BC572" s="284">
        <f t="shared" si="442"/>
        <v>37508.800000000003</v>
      </c>
      <c r="BD572" s="286">
        <f t="shared" si="443"/>
        <v>37508.800000000003</v>
      </c>
      <c r="BE572" s="286"/>
      <c r="BF572" s="251">
        <f t="shared" si="449"/>
        <v>0</v>
      </c>
      <c r="BG572" s="251">
        <f t="shared" si="450"/>
        <v>0</v>
      </c>
      <c r="BH572" s="251">
        <f t="shared" si="451"/>
        <v>0</v>
      </c>
      <c r="BI572" s="251">
        <f t="shared" si="452"/>
        <v>0</v>
      </c>
      <c r="BJ572" s="251">
        <f t="shared" si="453"/>
        <v>0</v>
      </c>
      <c r="BK572" s="251">
        <f t="shared" si="454"/>
        <v>0</v>
      </c>
      <c r="BL572" s="251">
        <f t="shared" si="455"/>
        <v>37508.800000000003</v>
      </c>
      <c r="BM572" s="251">
        <f t="shared" si="456"/>
        <v>0</v>
      </c>
    </row>
    <row r="573" spans="1:65" s="287" customFormat="1" x14ac:dyDescent="0.25">
      <c r="A573" s="276"/>
      <c r="B573" s="288" t="s">
        <v>221</v>
      </c>
      <c r="C573" s="425">
        <f>1</f>
        <v>1</v>
      </c>
      <c r="D573" s="279"/>
      <c r="E573" s="279"/>
      <c r="F573" s="279"/>
      <c r="G573" s="279"/>
      <c r="H573" s="279"/>
      <c r="I573" s="279"/>
      <c r="J573" s="279">
        <v>1</v>
      </c>
      <c r="K573" s="279"/>
      <c r="L573" s="277"/>
      <c r="M573" s="280">
        <f t="shared" ref="M573:M580" si="457">$M$569</f>
        <v>3028</v>
      </c>
      <c r="N573" s="281">
        <f t="shared" si="432"/>
        <v>2</v>
      </c>
      <c r="O573" s="282">
        <v>2.2000000000000002</v>
      </c>
      <c r="P573" s="282">
        <f t="shared" si="433"/>
        <v>1.58</v>
      </c>
      <c r="Q573" s="282"/>
      <c r="R573" s="280">
        <f t="shared" si="447"/>
        <v>174</v>
      </c>
      <c r="S573" s="280">
        <f t="shared" si="444"/>
        <v>120.98275862068965</v>
      </c>
      <c r="T573" s="425">
        <f t="shared" si="434"/>
        <v>21051</v>
      </c>
      <c r="U573" s="284">
        <f t="shared" si="435"/>
        <v>21051</v>
      </c>
      <c r="V573" s="277">
        <v>20</v>
      </c>
      <c r="W573" s="285"/>
      <c r="X573" s="285">
        <f t="shared" si="448"/>
        <v>4210.2</v>
      </c>
      <c r="Y573" s="277"/>
      <c r="Z573" s="277"/>
      <c r="AA573" s="277"/>
      <c r="AB573" s="277"/>
      <c r="AC573" s="277"/>
      <c r="AD573" s="277"/>
      <c r="AE573" s="277"/>
      <c r="AF573" s="277"/>
      <c r="AG573" s="277"/>
      <c r="AH573" s="277"/>
      <c r="AI573" s="277"/>
      <c r="AJ573" s="277"/>
      <c r="AK573" s="277"/>
      <c r="AL573" s="277"/>
      <c r="AM573" s="285">
        <f t="shared" si="436"/>
        <v>0</v>
      </c>
      <c r="AN573" s="277"/>
      <c r="AO573" s="277"/>
      <c r="AP573" s="277"/>
      <c r="AQ573" s="284">
        <f t="shared" si="437"/>
        <v>4210.2</v>
      </c>
      <c r="AR573" s="277">
        <f t="shared" si="445"/>
        <v>20</v>
      </c>
      <c r="AS573" s="285">
        <f t="shared" si="438"/>
        <v>4210.2</v>
      </c>
      <c r="AT573" s="280">
        <f t="shared" si="446"/>
        <v>4210.2</v>
      </c>
      <c r="AU573" s="339"/>
      <c r="AV573" s="277">
        <v>100</v>
      </c>
      <c r="AW573" s="277">
        <f t="shared" si="439"/>
        <v>0</v>
      </c>
      <c r="AX573" s="277"/>
      <c r="AY573" s="285"/>
      <c r="AZ573" s="280"/>
      <c r="BA573" s="284">
        <f t="shared" si="440"/>
        <v>4210.2</v>
      </c>
      <c r="BB573" s="284">
        <f t="shared" si="441"/>
        <v>29471.4</v>
      </c>
      <c r="BC573" s="284">
        <f t="shared" si="442"/>
        <v>29471.4</v>
      </c>
      <c r="BD573" s="286">
        <f t="shared" si="443"/>
        <v>29471.4</v>
      </c>
      <c r="BE573" s="286"/>
      <c r="BF573" s="251">
        <f t="shared" si="449"/>
        <v>0</v>
      </c>
      <c r="BG573" s="251">
        <f t="shared" si="450"/>
        <v>0</v>
      </c>
      <c r="BH573" s="251">
        <f t="shared" si="451"/>
        <v>0</v>
      </c>
      <c r="BI573" s="251">
        <f t="shared" si="452"/>
        <v>0</v>
      </c>
      <c r="BJ573" s="251">
        <f t="shared" si="453"/>
        <v>0</v>
      </c>
      <c r="BK573" s="251">
        <f t="shared" si="454"/>
        <v>0</v>
      </c>
      <c r="BL573" s="251">
        <f t="shared" si="455"/>
        <v>29471.4</v>
      </c>
      <c r="BM573" s="251">
        <f t="shared" si="456"/>
        <v>0</v>
      </c>
    </row>
    <row r="574" spans="1:65" s="287" customFormat="1" x14ac:dyDescent="0.25">
      <c r="A574" s="276"/>
      <c r="B574" s="288" t="s">
        <v>222</v>
      </c>
      <c r="C574" s="425">
        <f>1</f>
        <v>1</v>
      </c>
      <c r="D574" s="279"/>
      <c r="E574" s="279"/>
      <c r="F574" s="279"/>
      <c r="G574" s="279"/>
      <c r="H574" s="279"/>
      <c r="I574" s="279"/>
      <c r="J574" s="279">
        <v>1</v>
      </c>
      <c r="K574" s="279"/>
      <c r="L574" s="277"/>
      <c r="M574" s="280">
        <f t="shared" si="457"/>
        <v>3028</v>
      </c>
      <c r="N574" s="281">
        <f t="shared" si="432"/>
        <v>2</v>
      </c>
      <c r="O574" s="282">
        <v>2.2000000000000002</v>
      </c>
      <c r="P574" s="282">
        <f t="shared" si="433"/>
        <v>1.58</v>
      </c>
      <c r="Q574" s="282"/>
      <c r="R574" s="280">
        <f t="shared" si="447"/>
        <v>174</v>
      </c>
      <c r="S574" s="280">
        <f>T574/(R574/1)</f>
        <v>120.98275862068965</v>
      </c>
      <c r="T574" s="425">
        <f>ROUND(M574*N574*O574*P574,0)</f>
        <v>21051</v>
      </c>
      <c r="U574" s="284">
        <f>T574*C574</f>
        <v>21051</v>
      </c>
      <c r="V574" s="277">
        <v>20</v>
      </c>
      <c r="W574" s="285"/>
      <c r="X574" s="285">
        <f>U574*V574%</f>
        <v>4210.2</v>
      </c>
      <c r="Y574" s="277"/>
      <c r="Z574" s="277"/>
      <c r="AA574" s="277"/>
      <c r="AB574" s="277"/>
      <c r="AC574" s="277"/>
      <c r="AD574" s="277"/>
      <c r="AE574" s="277"/>
      <c r="AF574" s="277"/>
      <c r="AG574" s="277"/>
      <c r="AH574" s="277"/>
      <c r="AI574" s="277"/>
      <c r="AJ574" s="277"/>
      <c r="AK574" s="277">
        <v>10</v>
      </c>
      <c r="AL574" s="277"/>
      <c r="AM574" s="285">
        <f>T574*AK574%</f>
        <v>2105.1</v>
      </c>
      <c r="AN574" s="277"/>
      <c r="AO574" s="277"/>
      <c r="AP574" s="277"/>
      <c r="AQ574" s="284">
        <f>X574+AA574+AD574+AG574+AJ574+AM574+AP574</f>
        <v>6315.2999999999993</v>
      </c>
      <c r="AR574" s="277">
        <f t="shared" si="445"/>
        <v>20</v>
      </c>
      <c r="AS574" s="285">
        <f>AT574/C574</f>
        <v>4210.2</v>
      </c>
      <c r="AT574" s="280">
        <f>(U574)*AR574%</f>
        <v>4210.2</v>
      </c>
      <c r="AU574" s="468">
        <v>1</v>
      </c>
      <c r="AV574" s="277">
        <v>100</v>
      </c>
      <c r="AW574" s="277">
        <f>AU574*T574</f>
        <v>21051</v>
      </c>
      <c r="AX574" s="277"/>
      <c r="AY574" s="285"/>
      <c r="AZ574" s="280"/>
      <c r="BA574" s="284">
        <f>AT574+AW574+AZ574</f>
        <v>25261.200000000001</v>
      </c>
      <c r="BB574" s="284">
        <f>BC574/C574</f>
        <v>52627.5</v>
      </c>
      <c r="BC574" s="284">
        <f>BA574+AQ574+U574</f>
        <v>52627.5</v>
      </c>
      <c r="BD574" s="286">
        <f>BC574/C574</f>
        <v>52627.5</v>
      </c>
      <c r="BE574" s="286"/>
      <c r="BF574" s="251">
        <f>IF(D574=1,BC574,0)</f>
        <v>0</v>
      </c>
      <c r="BG574" s="251">
        <f>IF(E574=1,BC574,0)</f>
        <v>0</v>
      </c>
      <c r="BH574" s="251">
        <f>IF(F574=1,BC574,0)</f>
        <v>0</v>
      </c>
      <c r="BI574" s="251">
        <f>IF(G574=1,BC574,0)</f>
        <v>0</v>
      </c>
      <c r="BJ574" s="251">
        <f>IF(H574=1,BC574,0)</f>
        <v>0</v>
      </c>
      <c r="BK574" s="251">
        <f>IF(I574=1,BC574,0)</f>
        <v>0</v>
      </c>
      <c r="BL574" s="251">
        <f>IF(J574=1,BC574,0)</f>
        <v>52627.5</v>
      </c>
      <c r="BM574" s="251">
        <f>IF(K574=1,BC574,0)</f>
        <v>0</v>
      </c>
    </row>
    <row r="575" spans="1:65" s="287" customFormat="1" x14ac:dyDescent="0.25">
      <c r="A575" s="276"/>
      <c r="B575" s="288" t="s">
        <v>223</v>
      </c>
      <c r="C575" s="278">
        <v>1</v>
      </c>
      <c r="D575" s="279"/>
      <c r="E575" s="279"/>
      <c r="F575" s="279"/>
      <c r="G575" s="279"/>
      <c r="H575" s="279"/>
      <c r="I575" s="279"/>
      <c r="J575" s="279">
        <v>1</v>
      </c>
      <c r="K575" s="279"/>
      <c r="L575" s="277"/>
      <c r="M575" s="280">
        <f t="shared" si="457"/>
        <v>3028</v>
      </c>
      <c r="N575" s="281">
        <f t="shared" si="432"/>
        <v>2</v>
      </c>
      <c r="O575" s="282">
        <v>2.2000000000000002</v>
      </c>
      <c r="P575" s="282">
        <f t="shared" si="433"/>
        <v>1.58</v>
      </c>
      <c r="Q575" s="282"/>
      <c r="R575" s="280">
        <f t="shared" si="447"/>
        <v>174</v>
      </c>
      <c r="S575" s="280">
        <f t="shared" si="444"/>
        <v>120.98275862068965</v>
      </c>
      <c r="T575" s="425">
        <f t="shared" si="434"/>
        <v>21051</v>
      </c>
      <c r="U575" s="284">
        <f t="shared" si="435"/>
        <v>21051</v>
      </c>
      <c r="V575" s="277">
        <v>20</v>
      </c>
      <c r="W575" s="285"/>
      <c r="X575" s="285">
        <f t="shared" si="448"/>
        <v>4210.2</v>
      </c>
      <c r="Y575" s="277"/>
      <c r="Z575" s="277"/>
      <c r="AA575" s="277"/>
      <c r="AB575" s="277"/>
      <c r="AC575" s="277"/>
      <c r="AD575" s="277"/>
      <c r="AE575" s="277"/>
      <c r="AF575" s="277"/>
      <c r="AG575" s="277"/>
      <c r="AH575" s="277"/>
      <c r="AI575" s="277"/>
      <c r="AJ575" s="277"/>
      <c r="AK575" s="277">
        <v>7</v>
      </c>
      <c r="AL575" s="277"/>
      <c r="AM575" s="285">
        <f t="shared" si="436"/>
        <v>1473.5700000000002</v>
      </c>
      <c r="AN575" s="277"/>
      <c r="AO575" s="277"/>
      <c r="AP575" s="277"/>
      <c r="AQ575" s="284">
        <f t="shared" si="437"/>
        <v>5683.77</v>
      </c>
      <c r="AR575" s="277">
        <f t="shared" si="445"/>
        <v>20</v>
      </c>
      <c r="AS575" s="277">
        <f t="shared" si="438"/>
        <v>4210.2</v>
      </c>
      <c r="AT575" s="280">
        <f t="shared" si="446"/>
        <v>4210.2</v>
      </c>
      <c r="AU575" s="277"/>
      <c r="AV575" s="277">
        <v>100</v>
      </c>
      <c r="AW575" s="277">
        <f t="shared" si="439"/>
        <v>0</v>
      </c>
      <c r="AX575" s="277"/>
      <c r="AY575" s="277"/>
      <c r="AZ575" s="280"/>
      <c r="BA575" s="284">
        <f t="shared" si="440"/>
        <v>4210.2</v>
      </c>
      <c r="BB575" s="284">
        <f t="shared" si="441"/>
        <v>30944.97</v>
      </c>
      <c r="BC575" s="284">
        <f t="shared" si="442"/>
        <v>30944.97</v>
      </c>
      <c r="BD575" s="286">
        <f t="shared" si="443"/>
        <v>30944.97</v>
      </c>
      <c r="BE575" s="286"/>
      <c r="BF575" s="251">
        <f t="shared" si="449"/>
        <v>0</v>
      </c>
      <c r="BG575" s="251">
        <f t="shared" si="450"/>
        <v>0</v>
      </c>
      <c r="BH575" s="251">
        <f t="shared" si="451"/>
        <v>0</v>
      </c>
      <c r="BI575" s="251">
        <f t="shared" si="452"/>
        <v>0</v>
      </c>
      <c r="BJ575" s="251">
        <f t="shared" si="453"/>
        <v>0</v>
      </c>
      <c r="BK575" s="251">
        <f t="shared" si="454"/>
        <v>0</v>
      </c>
      <c r="BL575" s="251">
        <f t="shared" si="455"/>
        <v>30944.97</v>
      </c>
      <c r="BM575" s="251">
        <f t="shared" si="456"/>
        <v>0</v>
      </c>
    </row>
    <row r="576" spans="1:65" s="287" customFormat="1" x14ac:dyDescent="0.25">
      <c r="A576" s="276"/>
      <c r="B576" s="288" t="s">
        <v>224</v>
      </c>
      <c r="C576" s="278">
        <v>1</v>
      </c>
      <c r="D576" s="279"/>
      <c r="E576" s="279"/>
      <c r="F576" s="279"/>
      <c r="G576" s="279"/>
      <c r="H576" s="279"/>
      <c r="I576" s="279"/>
      <c r="J576" s="279">
        <v>1</v>
      </c>
      <c r="K576" s="279"/>
      <c r="L576" s="277"/>
      <c r="M576" s="280">
        <f t="shared" si="457"/>
        <v>3028</v>
      </c>
      <c r="N576" s="281">
        <f t="shared" si="432"/>
        <v>2</v>
      </c>
      <c r="O576" s="282">
        <v>2</v>
      </c>
      <c r="P576" s="282">
        <f t="shared" si="433"/>
        <v>1.58</v>
      </c>
      <c r="Q576" s="282"/>
      <c r="R576" s="280">
        <f t="shared" si="447"/>
        <v>174</v>
      </c>
      <c r="S576" s="280">
        <f t="shared" si="444"/>
        <v>109.98275862068965</v>
      </c>
      <c r="T576" s="425">
        <f t="shared" si="434"/>
        <v>19137</v>
      </c>
      <c r="U576" s="284">
        <f t="shared" si="435"/>
        <v>19137</v>
      </c>
      <c r="V576" s="277">
        <v>20</v>
      </c>
      <c r="W576" s="285"/>
      <c r="X576" s="285">
        <f t="shared" si="448"/>
        <v>3827.4</v>
      </c>
      <c r="Y576" s="277"/>
      <c r="Z576" s="277"/>
      <c r="AA576" s="277"/>
      <c r="AB576" s="277"/>
      <c r="AC576" s="277"/>
      <c r="AD576" s="277"/>
      <c r="AE576" s="277"/>
      <c r="AF576" s="277"/>
      <c r="AG576" s="277"/>
      <c r="AH576" s="277"/>
      <c r="AI576" s="277"/>
      <c r="AJ576" s="277"/>
      <c r="AK576" s="277">
        <v>15</v>
      </c>
      <c r="AL576" s="277"/>
      <c r="AM576" s="285">
        <f t="shared" si="436"/>
        <v>2870.5499999999997</v>
      </c>
      <c r="AN576" s="277"/>
      <c r="AO576" s="277"/>
      <c r="AP576" s="277"/>
      <c r="AQ576" s="284">
        <f t="shared" si="437"/>
        <v>6697.95</v>
      </c>
      <c r="AR576" s="277">
        <f t="shared" si="445"/>
        <v>20</v>
      </c>
      <c r="AS576" s="277">
        <f t="shared" si="438"/>
        <v>3827.4</v>
      </c>
      <c r="AT576" s="280">
        <f t="shared" si="446"/>
        <v>3827.4</v>
      </c>
      <c r="AU576" s="277"/>
      <c r="AV576" s="277">
        <v>100</v>
      </c>
      <c r="AW576" s="277">
        <f t="shared" si="439"/>
        <v>0</v>
      </c>
      <c r="AX576" s="277"/>
      <c r="AY576" s="277"/>
      <c r="AZ576" s="280"/>
      <c r="BA576" s="284">
        <f t="shared" si="440"/>
        <v>3827.4</v>
      </c>
      <c r="BB576" s="284">
        <f t="shared" si="441"/>
        <v>29662.35</v>
      </c>
      <c r="BC576" s="284">
        <f t="shared" si="442"/>
        <v>29662.35</v>
      </c>
      <c r="BD576" s="286">
        <f t="shared" si="443"/>
        <v>29662.35</v>
      </c>
      <c r="BE576" s="286"/>
      <c r="BF576" s="251">
        <f t="shared" si="449"/>
        <v>0</v>
      </c>
      <c r="BG576" s="251">
        <f t="shared" si="450"/>
        <v>0</v>
      </c>
      <c r="BH576" s="251">
        <f t="shared" si="451"/>
        <v>0</v>
      </c>
      <c r="BI576" s="251">
        <f t="shared" si="452"/>
        <v>0</v>
      </c>
      <c r="BJ576" s="251">
        <f t="shared" si="453"/>
        <v>0</v>
      </c>
      <c r="BK576" s="251">
        <f t="shared" si="454"/>
        <v>0</v>
      </c>
      <c r="BL576" s="251">
        <f t="shared" si="455"/>
        <v>29662.35</v>
      </c>
      <c r="BM576" s="251">
        <f t="shared" si="456"/>
        <v>0</v>
      </c>
    </row>
    <row r="577" spans="1:65" s="287" customFormat="1" x14ac:dyDescent="0.25">
      <c r="A577" s="276"/>
      <c r="B577" s="288" t="s">
        <v>225</v>
      </c>
      <c r="C577" s="278">
        <v>1</v>
      </c>
      <c r="D577" s="279"/>
      <c r="E577" s="279"/>
      <c r="F577" s="279"/>
      <c r="G577" s="279"/>
      <c r="H577" s="279"/>
      <c r="I577" s="279"/>
      <c r="J577" s="279">
        <v>1</v>
      </c>
      <c r="K577" s="279"/>
      <c r="L577" s="277"/>
      <c r="M577" s="280">
        <f t="shared" si="457"/>
        <v>3028</v>
      </c>
      <c r="N577" s="281">
        <f t="shared" si="432"/>
        <v>2</v>
      </c>
      <c r="O577" s="303">
        <v>1.26</v>
      </c>
      <c r="P577" s="282">
        <f t="shared" si="433"/>
        <v>1.58</v>
      </c>
      <c r="Q577" s="282"/>
      <c r="R577" s="280">
        <f t="shared" si="447"/>
        <v>174</v>
      </c>
      <c r="S577" s="280">
        <f t="shared" si="444"/>
        <v>69.287356321839084</v>
      </c>
      <c r="T577" s="425">
        <f t="shared" si="434"/>
        <v>12056</v>
      </c>
      <c r="U577" s="284">
        <f t="shared" si="435"/>
        <v>12056</v>
      </c>
      <c r="V577" s="277">
        <v>20</v>
      </c>
      <c r="W577" s="285"/>
      <c r="X577" s="285">
        <f t="shared" si="448"/>
        <v>2411.2000000000003</v>
      </c>
      <c r="Y577" s="277"/>
      <c r="Z577" s="277"/>
      <c r="AA577" s="277"/>
      <c r="AB577" s="277"/>
      <c r="AC577" s="277"/>
      <c r="AD577" s="277"/>
      <c r="AE577" s="277"/>
      <c r="AF577" s="277"/>
      <c r="AG577" s="277"/>
      <c r="AH577" s="277"/>
      <c r="AI577" s="277"/>
      <c r="AJ577" s="277"/>
      <c r="AK577" s="277"/>
      <c r="AL577" s="277"/>
      <c r="AM577" s="285">
        <f t="shared" si="436"/>
        <v>0</v>
      </c>
      <c r="AN577" s="277"/>
      <c r="AO577" s="277"/>
      <c r="AP577" s="277"/>
      <c r="AQ577" s="284">
        <f t="shared" si="437"/>
        <v>2411.2000000000003</v>
      </c>
      <c r="AR577" s="277">
        <f t="shared" si="445"/>
        <v>20</v>
      </c>
      <c r="AS577" s="277">
        <f t="shared" si="438"/>
        <v>2411.2000000000003</v>
      </c>
      <c r="AT577" s="280">
        <f t="shared" si="446"/>
        <v>2411.2000000000003</v>
      </c>
      <c r="AU577" s="339"/>
      <c r="AV577" s="277">
        <v>100</v>
      </c>
      <c r="AW577" s="277">
        <f t="shared" si="439"/>
        <v>0</v>
      </c>
      <c r="AX577" s="277"/>
      <c r="AY577" s="277"/>
      <c r="AZ577" s="280"/>
      <c r="BA577" s="284">
        <f t="shared" si="440"/>
        <v>2411.2000000000003</v>
      </c>
      <c r="BB577" s="284">
        <f t="shared" si="441"/>
        <v>16878.400000000001</v>
      </c>
      <c r="BC577" s="284">
        <f t="shared" si="442"/>
        <v>16878.400000000001</v>
      </c>
      <c r="BD577" s="286">
        <f t="shared" si="443"/>
        <v>16878.400000000001</v>
      </c>
      <c r="BE577" s="286"/>
      <c r="BF577" s="251">
        <f t="shared" si="449"/>
        <v>0</v>
      </c>
      <c r="BG577" s="251">
        <f t="shared" si="450"/>
        <v>0</v>
      </c>
      <c r="BH577" s="251">
        <f t="shared" si="451"/>
        <v>0</v>
      </c>
      <c r="BI577" s="251">
        <f t="shared" si="452"/>
        <v>0</v>
      </c>
      <c r="BJ577" s="251">
        <f t="shared" si="453"/>
        <v>0</v>
      </c>
      <c r="BK577" s="251">
        <f t="shared" si="454"/>
        <v>0</v>
      </c>
      <c r="BL577" s="251">
        <f t="shared" si="455"/>
        <v>16878.400000000001</v>
      </c>
      <c r="BM577" s="251">
        <f t="shared" si="456"/>
        <v>0</v>
      </c>
    </row>
    <row r="578" spans="1:65" s="287" customFormat="1" x14ac:dyDescent="0.25">
      <c r="A578" s="276"/>
      <c r="B578" s="288" t="s">
        <v>226</v>
      </c>
      <c r="C578" s="278">
        <v>1</v>
      </c>
      <c r="D578" s="279"/>
      <c r="E578" s="279"/>
      <c r="F578" s="279"/>
      <c r="G578" s="279"/>
      <c r="H578" s="279"/>
      <c r="I578" s="279"/>
      <c r="J578" s="279">
        <v>1</v>
      </c>
      <c r="K578" s="279"/>
      <c r="L578" s="277"/>
      <c r="M578" s="280">
        <f t="shared" si="457"/>
        <v>3028</v>
      </c>
      <c r="N578" s="281">
        <f t="shared" si="432"/>
        <v>2</v>
      </c>
      <c r="O578" s="282">
        <v>1.7</v>
      </c>
      <c r="P578" s="282">
        <f t="shared" si="433"/>
        <v>1.58</v>
      </c>
      <c r="Q578" s="282"/>
      <c r="R578" s="280">
        <f t="shared" si="447"/>
        <v>174</v>
      </c>
      <c r="S578" s="280">
        <f t="shared" si="444"/>
        <v>93.482758620689651</v>
      </c>
      <c r="T578" s="425">
        <f t="shared" si="434"/>
        <v>16266</v>
      </c>
      <c r="U578" s="284">
        <f t="shared" si="435"/>
        <v>16266</v>
      </c>
      <c r="V578" s="277">
        <v>20</v>
      </c>
      <c r="W578" s="285"/>
      <c r="X578" s="285">
        <f t="shared" si="448"/>
        <v>3253.2000000000003</v>
      </c>
      <c r="Y578" s="277"/>
      <c r="Z578" s="277"/>
      <c r="AA578" s="277"/>
      <c r="AB578" s="277"/>
      <c r="AC578" s="277"/>
      <c r="AD578" s="277"/>
      <c r="AE578" s="277"/>
      <c r="AF578" s="277"/>
      <c r="AG578" s="277"/>
      <c r="AH578" s="277"/>
      <c r="AI578" s="277"/>
      <c r="AJ578" s="277"/>
      <c r="AK578" s="277">
        <v>10</v>
      </c>
      <c r="AL578" s="277"/>
      <c r="AM578" s="285">
        <f>T578*AK578%*1</f>
        <v>1626.6000000000001</v>
      </c>
      <c r="AN578" s="277"/>
      <c r="AO578" s="277"/>
      <c r="AP578" s="277"/>
      <c r="AQ578" s="284">
        <f t="shared" si="437"/>
        <v>4879.8</v>
      </c>
      <c r="AR578" s="277">
        <f t="shared" si="445"/>
        <v>20</v>
      </c>
      <c r="AS578" s="277">
        <f t="shared" si="438"/>
        <v>3253.2000000000003</v>
      </c>
      <c r="AT578" s="280">
        <f t="shared" si="446"/>
        <v>3253.2000000000003</v>
      </c>
      <c r="AU578" s="277"/>
      <c r="AV578" s="277">
        <v>100</v>
      </c>
      <c r="AW578" s="277">
        <f t="shared" si="439"/>
        <v>0</v>
      </c>
      <c r="AX578" s="277"/>
      <c r="AY578" s="277"/>
      <c r="AZ578" s="280"/>
      <c r="BA578" s="284">
        <f t="shared" si="440"/>
        <v>3253.2000000000003</v>
      </c>
      <c r="BB578" s="284">
        <f t="shared" si="441"/>
        <v>24399</v>
      </c>
      <c r="BC578" s="284">
        <f t="shared" si="442"/>
        <v>24399</v>
      </c>
      <c r="BD578" s="286">
        <f t="shared" si="443"/>
        <v>24399</v>
      </c>
      <c r="BE578" s="286"/>
      <c r="BF578" s="251">
        <f t="shared" si="449"/>
        <v>0</v>
      </c>
      <c r="BG578" s="251">
        <f t="shared" si="450"/>
        <v>0</v>
      </c>
      <c r="BH578" s="251">
        <f t="shared" si="451"/>
        <v>0</v>
      </c>
      <c r="BI578" s="251">
        <f t="shared" si="452"/>
        <v>0</v>
      </c>
      <c r="BJ578" s="251">
        <f t="shared" si="453"/>
        <v>0</v>
      </c>
      <c r="BK578" s="251">
        <f t="shared" si="454"/>
        <v>0</v>
      </c>
      <c r="BL578" s="251">
        <f t="shared" si="455"/>
        <v>24399</v>
      </c>
      <c r="BM578" s="251">
        <f t="shared" si="456"/>
        <v>0</v>
      </c>
    </row>
    <row r="579" spans="1:65" s="301" customFormat="1" x14ac:dyDescent="0.25">
      <c r="A579" s="289"/>
      <c r="B579" s="290" t="s">
        <v>227</v>
      </c>
      <c r="C579" s="376">
        <v>1</v>
      </c>
      <c r="D579" s="292"/>
      <c r="E579" s="292"/>
      <c r="F579" s="292"/>
      <c r="G579" s="292"/>
      <c r="H579" s="292"/>
      <c r="I579" s="292"/>
      <c r="J579" s="292">
        <v>1</v>
      </c>
      <c r="K579" s="292"/>
      <c r="L579" s="293"/>
      <c r="M579" s="294">
        <f t="shared" si="457"/>
        <v>3028</v>
      </c>
      <c r="N579" s="429">
        <f t="shared" si="432"/>
        <v>2</v>
      </c>
      <c r="O579" s="295">
        <v>1.6</v>
      </c>
      <c r="P579" s="295">
        <f t="shared" si="433"/>
        <v>1.58</v>
      </c>
      <c r="Q579" s="295"/>
      <c r="R579" s="294">
        <f t="shared" si="447"/>
        <v>174</v>
      </c>
      <c r="S579" s="294">
        <f t="shared" si="444"/>
        <v>87.988505747126439</v>
      </c>
      <c r="T579" s="291">
        <f t="shared" si="434"/>
        <v>15310</v>
      </c>
      <c r="U579" s="297">
        <f t="shared" si="435"/>
        <v>15310</v>
      </c>
      <c r="V579" s="293">
        <v>20</v>
      </c>
      <c r="W579" s="298"/>
      <c r="X579" s="298">
        <f t="shared" si="448"/>
        <v>3062</v>
      </c>
      <c r="Y579" s="293"/>
      <c r="Z579" s="293"/>
      <c r="AA579" s="293"/>
      <c r="AB579" s="293"/>
      <c r="AC579" s="293"/>
      <c r="AD579" s="293"/>
      <c r="AE579" s="293"/>
      <c r="AF579" s="293"/>
      <c r="AG579" s="293"/>
      <c r="AH579" s="293"/>
      <c r="AI579" s="293"/>
      <c r="AJ579" s="293"/>
      <c r="AK579" s="277">
        <v>7</v>
      </c>
      <c r="AL579" s="293"/>
      <c r="AM579" s="298">
        <f t="shared" si="436"/>
        <v>1071.7</v>
      </c>
      <c r="AN579" s="293"/>
      <c r="AO579" s="293"/>
      <c r="AP579" s="293"/>
      <c r="AQ579" s="297">
        <f t="shared" si="437"/>
        <v>4133.7</v>
      </c>
      <c r="AR579" s="293">
        <f t="shared" si="445"/>
        <v>20</v>
      </c>
      <c r="AS579" s="293">
        <f t="shared" si="438"/>
        <v>3062</v>
      </c>
      <c r="AT579" s="294">
        <f t="shared" si="446"/>
        <v>3062</v>
      </c>
      <c r="AU579" s="293"/>
      <c r="AV579" s="293">
        <v>100</v>
      </c>
      <c r="AW579" s="293">
        <f t="shared" si="439"/>
        <v>0</v>
      </c>
      <c r="AX579" s="293"/>
      <c r="AY579" s="293"/>
      <c r="AZ579" s="294"/>
      <c r="BA579" s="297">
        <f t="shared" si="440"/>
        <v>3062</v>
      </c>
      <c r="BB579" s="297">
        <f t="shared" si="441"/>
        <v>22505.7</v>
      </c>
      <c r="BC579" s="297">
        <f t="shared" si="442"/>
        <v>22505.7</v>
      </c>
      <c r="BD579" s="299">
        <f t="shared" si="443"/>
        <v>22505.7</v>
      </c>
      <c r="BE579" s="299"/>
      <c r="BF579" s="300">
        <f t="shared" si="449"/>
        <v>0</v>
      </c>
      <c r="BG579" s="300">
        <f t="shared" si="450"/>
        <v>0</v>
      </c>
      <c r="BH579" s="300">
        <f t="shared" si="451"/>
        <v>0</v>
      </c>
      <c r="BI579" s="300">
        <f t="shared" si="452"/>
        <v>0</v>
      </c>
      <c r="BJ579" s="300">
        <f t="shared" si="453"/>
        <v>0</v>
      </c>
      <c r="BK579" s="300">
        <f t="shared" si="454"/>
        <v>0</v>
      </c>
      <c r="BL579" s="300">
        <f t="shared" si="455"/>
        <v>22505.7</v>
      </c>
      <c r="BM579" s="300">
        <f t="shared" si="456"/>
        <v>0</v>
      </c>
    </row>
    <row r="580" spans="1:65" s="301" customFormat="1" x14ac:dyDescent="0.25">
      <c r="A580" s="289"/>
      <c r="B580" s="290" t="s">
        <v>228</v>
      </c>
      <c r="C580" s="291">
        <v>1</v>
      </c>
      <c r="D580" s="292"/>
      <c r="E580" s="292"/>
      <c r="F580" s="292"/>
      <c r="G580" s="292"/>
      <c r="H580" s="292"/>
      <c r="I580" s="292"/>
      <c r="J580" s="292">
        <v>1</v>
      </c>
      <c r="K580" s="292"/>
      <c r="L580" s="293"/>
      <c r="M580" s="294">
        <f t="shared" si="457"/>
        <v>3028</v>
      </c>
      <c r="N580" s="429">
        <f>N$244</f>
        <v>2</v>
      </c>
      <c r="O580" s="430">
        <v>1.1000000000000001</v>
      </c>
      <c r="P580" s="430">
        <v>1</v>
      </c>
      <c r="Q580" s="295"/>
      <c r="R580" s="294">
        <f>$R$565</f>
        <v>174</v>
      </c>
      <c r="S580" s="294">
        <f t="shared" si="444"/>
        <v>38.287356321839077</v>
      </c>
      <c r="T580" s="291">
        <f t="shared" si="434"/>
        <v>6662</v>
      </c>
      <c r="U580" s="297">
        <f>T580*C580</f>
        <v>6662</v>
      </c>
      <c r="V580" s="293">
        <v>0</v>
      </c>
      <c r="W580" s="298"/>
      <c r="X580" s="298">
        <f t="shared" si="448"/>
        <v>0</v>
      </c>
      <c r="Y580" s="293"/>
      <c r="Z580" s="293"/>
      <c r="AA580" s="293"/>
      <c r="AB580" s="293"/>
      <c r="AC580" s="293"/>
      <c r="AD580" s="293"/>
      <c r="AE580" s="293"/>
      <c r="AF580" s="293"/>
      <c r="AG580" s="293"/>
      <c r="AH580" s="293"/>
      <c r="AI580" s="293"/>
      <c r="AJ580" s="293"/>
      <c r="AK580" s="277">
        <v>7</v>
      </c>
      <c r="AL580" s="293"/>
      <c r="AM580" s="298">
        <f>T580*AK580%</f>
        <v>466.34000000000003</v>
      </c>
      <c r="AN580" s="293"/>
      <c r="AO580" s="293"/>
      <c r="AP580" s="293"/>
      <c r="AQ580" s="297">
        <f t="shared" si="437"/>
        <v>466.34000000000003</v>
      </c>
      <c r="AR580" s="293">
        <f t="shared" si="445"/>
        <v>20</v>
      </c>
      <c r="AS580" s="298">
        <f>AT580/C580</f>
        <v>1332.4</v>
      </c>
      <c r="AT580" s="294">
        <f>(U580)*AR580%</f>
        <v>1332.4</v>
      </c>
      <c r="AU580" s="293"/>
      <c r="AV580" s="293">
        <v>100</v>
      </c>
      <c r="AW580" s="293">
        <f>AU580*T580</f>
        <v>0</v>
      </c>
      <c r="AX580" s="431"/>
      <c r="AY580" s="431">
        <f>3723-(BB580-AV580)/5</f>
        <v>2050.8519999999999</v>
      </c>
      <c r="AZ580" s="431"/>
      <c r="BA580" s="297">
        <f t="shared" si="440"/>
        <v>1332.4</v>
      </c>
      <c r="BB580" s="297">
        <f>BC580/C580</f>
        <v>8460.74</v>
      </c>
      <c r="BC580" s="297">
        <f>BA580+AQ580+U580</f>
        <v>8460.74</v>
      </c>
      <c r="BD580" s="463">
        <f>BC580/C580</f>
        <v>8460.74</v>
      </c>
      <c r="BE580" s="299"/>
      <c r="BF580" s="300">
        <f>IF(D580=1,BC580,0)</f>
        <v>0</v>
      </c>
      <c r="BG580" s="300">
        <f>IF(E580=1,BC580,0)</f>
        <v>0</v>
      </c>
      <c r="BH580" s="300">
        <f>IF(F580=1,BC580,0)</f>
        <v>0</v>
      </c>
      <c r="BI580" s="300">
        <f>IF(G580=1,BC580,0)</f>
        <v>0</v>
      </c>
      <c r="BJ580" s="300">
        <f>IF(H580=1,BC580,0)</f>
        <v>0</v>
      </c>
      <c r="BK580" s="300">
        <f>IF(I580=1,BC580,0)</f>
        <v>0</v>
      </c>
      <c r="BL580" s="300">
        <f>IF(J580=1,BC580,0)</f>
        <v>8460.74</v>
      </c>
      <c r="BM580" s="300">
        <f>IF(K580=1,BC580,0)</f>
        <v>0</v>
      </c>
    </row>
    <row r="581" spans="1:65" s="287" customFormat="1" ht="6.75" customHeight="1" x14ac:dyDescent="0.25">
      <c r="A581" s="276"/>
      <c r="B581" s="288"/>
      <c r="C581" s="305"/>
      <c r="D581" s="279"/>
      <c r="E581" s="279"/>
      <c r="F581" s="279"/>
      <c r="G581" s="279"/>
      <c r="H581" s="279"/>
      <c r="I581" s="279"/>
      <c r="J581" s="279"/>
      <c r="K581" s="279"/>
      <c r="L581" s="277"/>
      <c r="M581" s="280"/>
      <c r="N581" s="281"/>
      <c r="O581" s="277"/>
      <c r="P581" s="282"/>
      <c r="Q581" s="277"/>
      <c r="R581" s="283"/>
      <c r="S581" s="280"/>
      <c r="T581" s="425"/>
      <c r="U581" s="284"/>
      <c r="V581" s="277"/>
      <c r="W581" s="285"/>
      <c r="X581" s="285"/>
      <c r="Y581" s="277"/>
      <c r="Z581" s="277"/>
      <c r="AA581" s="277"/>
      <c r="AB581" s="277"/>
      <c r="AC581" s="277"/>
      <c r="AD581" s="277"/>
      <c r="AE581" s="277"/>
      <c r="AF581" s="277"/>
      <c r="AG581" s="277"/>
      <c r="AH581" s="277"/>
      <c r="AI581" s="277"/>
      <c r="AJ581" s="277"/>
      <c r="AK581" s="277"/>
      <c r="AL581" s="277"/>
      <c r="AM581" s="285">
        <f t="shared" si="436"/>
        <v>0</v>
      </c>
      <c r="AN581" s="277"/>
      <c r="AO581" s="277"/>
      <c r="AP581" s="277"/>
      <c r="AQ581" s="284">
        <f t="shared" si="437"/>
        <v>0</v>
      </c>
      <c r="AR581" s="277"/>
      <c r="AS581" s="277"/>
      <c r="AT581" s="283"/>
      <c r="AU581" s="277"/>
      <c r="AV581" s="277"/>
      <c r="AW581" s="277"/>
      <c r="AX581" s="277"/>
      <c r="AY581" s="277"/>
      <c r="AZ581" s="283"/>
      <c r="BA581" s="284"/>
      <c r="BB581" s="284"/>
      <c r="BC581" s="284"/>
      <c r="BD581" s="286"/>
      <c r="BE581" s="286"/>
      <c r="BF581" s="251"/>
      <c r="BG581" s="251"/>
      <c r="BH581" s="251"/>
      <c r="BI581" s="251"/>
      <c r="BJ581" s="251"/>
      <c r="BK581" s="251"/>
      <c r="BL581" s="251"/>
      <c r="BM581" s="251"/>
    </row>
    <row r="582" spans="1:65" s="316" customFormat="1" ht="14.25" x14ac:dyDescent="0.25">
      <c r="A582" s="306"/>
      <c r="B582" s="307" t="s">
        <v>229</v>
      </c>
      <c r="C582" s="308">
        <f>SUM(C565:C581)</f>
        <v>19</v>
      </c>
      <c r="D582" s="309"/>
      <c r="E582" s="309"/>
      <c r="F582" s="309"/>
      <c r="G582" s="309"/>
      <c r="H582" s="309"/>
      <c r="I582" s="309"/>
      <c r="J582" s="309"/>
      <c r="K582" s="309"/>
      <c r="L582" s="309"/>
      <c r="M582" s="310"/>
      <c r="N582" s="309"/>
      <c r="O582" s="309"/>
      <c r="P582" s="309"/>
      <c r="Q582" s="309"/>
      <c r="R582" s="310"/>
      <c r="S582" s="310"/>
      <c r="T582" s="349">
        <f>U582</f>
        <v>429303</v>
      </c>
      <c r="U582" s="312">
        <f>SUM(U565:U581)</f>
        <v>429303</v>
      </c>
      <c r="V582" s="309"/>
      <c r="W582" s="309"/>
      <c r="X582" s="312">
        <f>SUM(X565:X581)</f>
        <v>88843.599999999991</v>
      </c>
      <c r="Y582" s="312"/>
      <c r="Z582" s="312">
        <f>SUM(Z565:Z581)</f>
        <v>0</v>
      </c>
      <c r="AA582" s="312">
        <f>SUM(AA565:AA581)</f>
        <v>0</v>
      </c>
      <c r="AB582" s="312"/>
      <c r="AC582" s="312"/>
      <c r="AD582" s="312">
        <f>SUM(AD565:AD581)</f>
        <v>0</v>
      </c>
      <c r="AE582" s="312"/>
      <c r="AF582" s="312">
        <f>SUM(AF565:AF581)</f>
        <v>0</v>
      </c>
      <c r="AG582" s="312">
        <f>SUM(AG565:AG581)</f>
        <v>0</v>
      </c>
      <c r="AH582" s="312"/>
      <c r="AI582" s="312">
        <f>SUM(AI565:AI581)</f>
        <v>0</v>
      </c>
      <c r="AJ582" s="312">
        <f>SUM(AJ565:AJ581)</f>
        <v>0</v>
      </c>
      <c r="AK582" s="312"/>
      <c r="AL582" s="312">
        <f>SUM(AL565:AL581)</f>
        <v>0</v>
      </c>
      <c r="AM582" s="312">
        <f>SUM(AM565:AM581)</f>
        <v>27981.53</v>
      </c>
      <c r="AN582" s="312"/>
      <c r="AO582" s="312">
        <f>SUM(AO565:AO581)</f>
        <v>0</v>
      </c>
      <c r="AP582" s="312">
        <f>SUM(AP565:AP581)</f>
        <v>0</v>
      </c>
      <c r="AQ582" s="312">
        <f>SUM(AQ565:AQ581)</f>
        <v>116825.13</v>
      </c>
      <c r="AR582" s="312"/>
      <c r="AS582" s="312">
        <f>SUM(AS565:AS581)</f>
        <v>65766.799999999988</v>
      </c>
      <c r="AT582" s="312">
        <f>SUM(AT565:AT581)</f>
        <v>77248.999999999985</v>
      </c>
      <c r="AU582" s="312">
        <f>SUM(AU565:AU581)</f>
        <v>1</v>
      </c>
      <c r="AV582" s="312"/>
      <c r="AW582" s="312">
        <f>SUM(AW565:AW581)</f>
        <v>21051</v>
      </c>
      <c r="AX582" s="312"/>
      <c r="AY582" s="312">
        <f>SUM(AY565:AY581)</f>
        <v>2050.8519999999999</v>
      </c>
      <c r="AZ582" s="312">
        <f>SUM(AZ565:AZ581)</f>
        <v>0</v>
      </c>
      <c r="BA582" s="312">
        <f>SUM(BA565:BA581)</f>
        <v>98299.999999999985</v>
      </c>
      <c r="BB582" s="312">
        <f>BC582/C582</f>
        <v>33917.269999999997</v>
      </c>
      <c r="BC582" s="312">
        <f>SUM(BC565:BC581)</f>
        <v>644428.13</v>
      </c>
      <c r="BD582" s="286"/>
      <c r="BE582" s="286"/>
      <c r="BF582" s="315">
        <f t="shared" ref="BF582:BM582" si="458">SUM(BF565:BF581)</f>
        <v>0</v>
      </c>
      <c r="BG582" s="315">
        <f t="shared" si="458"/>
        <v>0</v>
      </c>
      <c r="BH582" s="315">
        <f t="shared" si="458"/>
        <v>0</v>
      </c>
      <c r="BI582" s="315">
        <f t="shared" si="458"/>
        <v>0</v>
      </c>
      <c r="BJ582" s="315">
        <f t="shared" si="458"/>
        <v>0</v>
      </c>
      <c r="BK582" s="315">
        <f t="shared" si="458"/>
        <v>0</v>
      </c>
      <c r="BL582" s="315">
        <f t="shared" si="458"/>
        <v>644428.13</v>
      </c>
      <c r="BM582" s="315">
        <f t="shared" si="458"/>
        <v>0</v>
      </c>
    </row>
    <row r="583" spans="1:65" s="287" customFormat="1" ht="35.25" hidden="1" customHeight="1" x14ac:dyDescent="0.25">
      <c r="A583" s="276"/>
      <c r="B583" s="317"/>
      <c r="C583" s="318"/>
      <c r="D583" s="319"/>
      <c r="E583" s="319"/>
      <c r="F583" s="319"/>
      <c r="G583" s="319"/>
      <c r="H583" s="319"/>
      <c r="I583" s="319"/>
      <c r="J583" s="319"/>
      <c r="K583" s="319"/>
      <c r="L583" s="319"/>
      <c r="M583" s="320"/>
      <c r="N583" s="319"/>
      <c r="O583" s="319"/>
      <c r="P583" s="319"/>
      <c r="Q583" s="319"/>
      <c r="R583" s="320"/>
      <c r="S583" s="320"/>
      <c r="T583" s="319"/>
      <c r="U583" s="321"/>
      <c r="V583" s="319"/>
      <c r="W583" s="319"/>
      <c r="X583" s="321"/>
      <c r="Y583" s="321"/>
      <c r="Z583" s="321"/>
      <c r="AA583" s="321"/>
      <c r="AB583" s="321"/>
      <c r="AC583" s="321"/>
      <c r="AD583" s="321"/>
      <c r="AE583" s="321"/>
      <c r="AF583" s="321"/>
      <c r="AG583" s="321"/>
      <c r="AH583" s="321"/>
      <c r="AI583" s="321"/>
      <c r="AJ583" s="321"/>
      <c r="AK583" s="321"/>
      <c r="AL583" s="321"/>
      <c r="AM583" s="321"/>
      <c r="AN583" s="321"/>
      <c r="AO583" s="321"/>
      <c r="AP583" s="321"/>
      <c r="AQ583" s="321"/>
      <c r="AR583" s="319"/>
      <c r="AS583" s="319"/>
      <c r="AT583" s="320"/>
      <c r="AU583" s="319"/>
      <c r="AV583" s="319"/>
      <c r="AW583" s="319"/>
      <c r="AX583" s="319"/>
      <c r="AY583" s="319"/>
      <c r="AZ583" s="320"/>
      <c r="BA583" s="321"/>
      <c r="BB583" s="321"/>
      <c r="BC583" s="322"/>
      <c r="BD583" s="286"/>
      <c r="BE583" s="286"/>
      <c r="BF583" s="323"/>
      <c r="BG583" s="323"/>
      <c r="BH583" s="323"/>
      <c r="BI583" s="323"/>
      <c r="BJ583" s="323"/>
      <c r="BK583" s="323"/>
      <c r="BL583" s="323"/>
      <c r="BM583" s="323"/>
    </row>
    <row r="584" spans="1:65" s="275" customFormat="1" ht="21" customHeight="1" x14ac:dyDescent="0.25">
      <c r="A584" s="270" t="s">
        <v>230</v>
      </c>
      <c r="B584" s="324" t="s">
        <v>231</v>
      </c>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c r="AJ584" s="272"/>
      <c r="AK584" s="272"/>
      <c r="AL584" s="272"/>
      <c r="AM584" s="272"/>
      <c r="AN584" s="272"/>
      <c r="AO584" s="272"/>
      <c r="AP584" s="272"/>
      <c r="AQ584" s="272"/>
      <c r="AR584" s="272"/>
      <c r="AS584" s="272"/>
      <c r="AT584" s="272"/>
      <c r="AU584" s="272"/>
      <c r="AV584" s="272"/>
      <c r="AW584" s="272"/>
      <c r="AX584" s="272"/>
      <c r="AY584" s="272"/>
      <c r="AZ584" s="272"/>
      <c r="BA584" s="272"/>
      <c r="BB584" s="272"/>
      <c r="BC584" s="273"/>
      <c r="BD584" s="286"/>
      <c r="BE584" s="286"/>
    </row>
    <row r="585" spans="1:65" s="275" customFormat="1" ht="14.25" x14ac:dyDescent="0.25">
      <c r="A585" s="270"/>
      <c r="B585" s="324" t="s">
        <v>232</v>
      </c>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c r="AA585" s="272"/>
      <c r="AB585" s="272"/>
      <c r="AC585" s="272"/>
      <c r="AD585" s="272"/>
      <c r="AE585" s="272"/>
      <c r="AF585" s="272"/>
      <c r="AG585" s="272"/>
      <c r="AH585" s="272"/>
      <c r="AI585" s="272"/>
      <c r="AJ585" s="272"/>
      <c r="AK585" s="272"/>
      <c r="AL585" s="272"/>
      <c r="AM585" s="272"/>
      <c r="AN585" s="272"/>
      <c r="AO585" s="272"/>
      <c r="AP585" s="272"/>
      <c r="AQ585" s="272"/>
      <c r="AR585" s="272"/>
      <c r="AS585" s="272"/>
      <c r="AT585" s="272"/>
      <c r="AU585" s="272"/>
      <c r="AV585" s="272"/>
      <c r="AW585" s="272"/>
      <c r="AX585" s="272"/>
      <c r="AY585" s="272"/>
      <c r="AZ585" s="272"/>
      <c r="BA585" s="272"/>
      <c r="BB585" s="272"/>
      <c r="BC585" s="273"/>
      <c r="BD585" s="286"/>
      <c r="BE585" s="286"/>
    </row>
    <row r="586" spans="1:65" s="275" customFormat="1" ht="19.5" customHeight="1" x14ac:dyDescent="0.25">
      <c r="A586" s="270"/>
      <c r="B586" s="464" t="s">
        <v>233</v>
      </c>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c r="AI586" s="326"/>
      <c r="AJ586" s="326"/>
      <c r="AK586" s="326"/>
      <c r="AL586" s="326"/>
      <c r="AM586" s="326"/>
      <c r="AN586" s="326"/>
      <c r="AO586" s="326"/>
      <c r="AP586" s="326"/>
      <c r="AQ586" s="326"/>
      <c r="AR586" s="326"/>
      <c r="AS586" s="326"/>
      <c r="AT586" s="326"/>
      <c r="AU586" s="326"/>
      <c r="AV586" s="326"/>
      <c r="AW586" s="326"/>
      <c r="AX586" s="326"/>
      <c r="AY586" s="326"/>
      <c r="AZ586" s="326"/>
      <c r="BA586" s="326"/>
      <c r="BB586" s="326"/>
      <c r="BC586" s="327"/>
      <c r="BD586" s="286"/>
      <c r="BE586" s="286"/>
    </row>
    <row r="587" spans="1:65" s="287" customFormat="1" x14ac:dyDescent="0.25">
      <c r="A587" s="276"/>
      <c r="B587" s="288" t="s">
        <v>234</v>
      </c>
      <c r="C587" s="278">
        <v>1</v>
      </c>
      <c r="D587" s="279"/>
      <c r="E587" s="279"/>
      <c r="F587" s="328"/>
      <c r="G587" s="328"/>
      <c r="H587" s="279">
        <v>1</v>
      </c>
      <c r="I587" s="328"/>
      <c r="J587" s="279"/>
      <c r="K587" s="279"/>
      <c r="L587" s="277"/>
      <c r="M587" s="280">
        <f>$M$569</f>
        <v>3028</v>
      </c>
      <c r="N587" s="281">
        <f>N$244</f>
        <v>2</v>
      </c>
      <c r="O587" s="277">
        <v>2.2999999999999998</v>
      </c>
      <c r="P587" s="282">
        <f>P$244</f>
        <v>1.58</v>
      </c>
      <c r="Q587" s="277"/>
      <c r="R587" s="280">
        <f>$R$565</f>
        <v>174</v>
      </c>
      <c r="S587" s="280">
        <f t="shared" ref="S587:S592" si="459">T587/(R587/1)</f>
        <v>126.48275862068965</v>
      </c>
      <c r="T587" s="425">
        <f t="shared" ref="T587:T592" si="460">ROUND(M587*N587*O587*P587,0)</f>
        <v>22008</v>
      </c>
      <c r="U587" s="284">
        <f t="shared" ref="U587:U592" si="461">T587*C587</f>
        <v>22008</v>
      </c>
      <c r="V587" s="277">
        <v>30</v>
      </c>
      <c r="W587" s="285"/>
      <c r="X587" s="285">
        <f t="shared" ref="X587:X592" si="462">U587*V587%</f>
        <v>6602.4</v>
      </c>
      <c r="Y587" s="277"/>
      <c r="Z587" s="277"/>
      <c r="AA587" s="277"/>
      <c r="AB587" s="277"/>
      <c r="AC587" s="277"/>
      <c r="AD587" s="277"/>
      <c r="AE587" s="277"/>
      <c r="AF587" s="277"/>
      <c r="AG587" s="277"/>
      <c r="AH587" s="277"/>
      <c r="AI587" s="277"/>
      <c r="AJ587" s="277"/>
      <c r="AK587" s="277">
        <v>7</v>
      </c>
      <c r="AL587" s="277"/>
      <c r="AM587" s="277">
        <f>T587*AK587%</f>
        <v>1540.5600000000002</v>
      </c>
      <c r="AN587" s="277"/>
      <c r="AO587" s="277"/>
      <c r="AP587" s="285"/>
      <c r="AQ587" s="284">
        <f t="shared" ref="AQ587:AQ592" si="463">X587+AA587+AD587+AG587+AJ587+AM587+AP587</f>
        <v>8142.96</v>
      </c>
      <c r="AR587" s="277">
        <f>AR$29</f>
        <v>20</v>
      </c>
      <c r="AS587" s="277">
        <f t="shared" ref="AS587:AS592" si="464">AT587/C587</f>
        <v>4401.6000000000004</v>
      </c>
      <c r="AT587" s="280">
        <f t="shared" ref="AT587:AT592" si="465">(U587)*AR587%</f>
        <v>4401.6000000000004</v>
      </c>
      <c r="AU587" s="339"/>
      <c r="AV587" s="277">
        <v>100</v>
      </c>
      <c r="AW587" s="277">
        <f t="shared" ref="AW587:AW592" si="466">AU587*T587</f>
        <v>0</v>
      </c>
      <c r="AX587" s="277"/>
      <c r="AY587" s="277"/>
      <c r="AZ587" s="280"/>
      <c r="BA587" s="284">
        <f t="shared" ref="BA587:BA592" si="467">AT587+AW587+AZ587</f>
        <v>4401.6000000000004</v>
      </c>
      <c r="BB587" s="284">
        <f t="shared" ref="BB587:BB592" si="468">BC587/C587</f>
        <v>34552.559999999998</v>
      </c>
      <c r="BC587" s="284">
        <f t="shared" ref="BC587:BC592" si="469">BA587+AQ587+U587</f>
        <v>34552.559999999998</v>
      </c>
      <c r="BD587" s="286">
        <f t="shared" ref="BD587:BD593" si="470">BC587/C587</f>
        <v>34552.559999999998</v>
      </c>
      <c r="BE587" s="286"/>
      <c r="BF587" s="241">
        <f>IF(D587=1,BC587,0)</f>
        <v>0</v>
      </c>
      <c r="BG587" s="241">
        <f>IF(E587=1,BC587,0)</f>
        <v>0</v>
      </c>
      <c r="BH587" s="241">
        <f>IF(F587=1,BC587,0)</f>
        <v>0</v>
      </c>
      <c r="BI587" s="241">
        <f>IF(G587=1,BC587,0)</f>
        <v>0</v>
      </c>
      <c r="BJ587" s="251">
        <f>IF(H587=1,BC587,0)</f>
        <v>34552.559999999998</v>
      </c>
      <c r="BK587" s="251">
        <f>IF(I587=1,BC587,0)</f>
        <v>0</v>
      </c>
      <c r="BL587" s="251">
        <f>IF(J587=1,BC587,0)</f>
        <v>0</v>
      </c>
      <c r="BM587" s="241">
        <f>IF(K587=1,BC587,0)</f>
        <v>0</v>
      </c>
    </row>
    <row r="588" spans="1:65" s="287" customFormat="1" x14ac:dyDescent="0.25">
      <c r="A588" s="276"/>
      <c r="B588" s="290" t="s">
        <v>235</v>
      </c>
      <c r="C588" s="278">
        <v>1</v>
      </c>
      <c r="D588" s="279"/>
      <c r="E588" s="279"/>
      <c r="F588" s="328"/>
      <c r="G588" s="328"/>
      <c r="H588" s="279">
        <v>1</v>
      </c>
      <c r="I588" s="328"/>
      <c r="J588" s="279"/>
      <c r="K588" s="279"/>
      <c r="L588" s="277"/>
      <c r="M588" s="280">
        <f>M$35</f>
        <v>3028</v>
      </c>
      <c r="N588" s="281">
        <f>N$29</f>
        <v>2</v>
      </c>
      <c r="O588" s="293">
        <v>2</v>
      </c>
      <c r="P588" s="282">
        <f>P$244</f>
        <v>1.58</v>
      </c>
      <c r="Q588" s="277"/>
      <c r="R588" s="280">
        <f>$R$565</f>
        <v>174</v>
      </c>
      <c r="S588" s="280">
        <f t="shared" si="459"/>
        <v>109.98275862068965</v>
      </c>
      <c r="T588" s="425">
        <f t="shared" si="460"/>
        <v>19137</v>
      </c>
      <c r="U588" s="284">
        <f t="shared" si="461"/>
        <v>19137</v>
      </c>
      <c r="V588" s="277">
        <v>20</v>
      </c>
      <c r="W588" s="285"/>
      <c r="X588" s="285">
        <f t="shared" si="462"/>
        <v>3827.4</v>
      </c>
      <c r="Y588" s="277"/>
      <c r="Z588" s="277"/>
      <c r="AA588" s="277"/>
      <c r="AB588" s="277"/>
      <c r="AC588" s="277"/>
      <c r="AD588" s="277"/>
      <c r="AE588" s="277"/>
      <c r="AF588" s="277"/>
      <c r="AG588" s="277"/>
      <c r="AH588" s="277"/>
      <c r="AI588" s="277"/>
      <c r="AJ588" s="277"/>
      <c r="AK588" s="277">
        <v>15</v>
      </c>
      <c r="AL588" s="277"/>
      <c r="AM588" s="277">
        <f>T588*AK588%</f>
        <v>2870.5499999999997</v>
      </c>
      <c r="AN588" s="277"/>
      <c r="AO588" s="277"/>
      <c r="AP588" s="285"/>
      <c r="AQ588" s="284">
        <f t="shared" si="463"/>
        <v>6697.95</v>
      </c>
      <c r="AR588" s="277">
        <f>AR$29</f>
        <v>20</v>
      </c>
      <c r="AS588" s="277">
        <f t="shared" si="464"/>
        <v>3827.4</v>
      </c>
      <c r="AT588" s="280">
        <f t="shared" si="465"/>
        <v>3827.4</v>
      </c>
      <c r="AU588" s="277"/>
      <c r="AV588" s="277">
        <v>100</v>
      </c>
      <c r="AW588" s="277">
        <f t="shared" si="466"/>
        <v>0</v>
      </c>
      <c r="AX588" s="277"/>
      <c r="AY588" s="277"/>
      <c r="AZ588" s="280"/>
      <c r="BA588" s="284">
        <f t="shared" si="467"/>
        <v>3827.4</v>
      </c>
      <c r="BB588" s="284">
        <f t="shared" si="468"/>
        <v>29662.35</v>
      </c>
      <c r="BC588" s="284">
        <f t="shared" si="469"/>
        <v>29662.35</v>
      </c>
      <c r="BD588" s="286">
        <f t="shared" si="470"/>
        <v>29662.35</v>
      </c>
      <c r="BE588" s="286"/>
      <c r="BF588" s="241"/>
      <c r="BG588" s="241"/>
      <c r="BH588" s="241"/>
      <c r="BI588" s="241"/>
      <c r="BJ588" s="251"/>
      <c r="BK588" s="251"/>
      <c r="BL588" s="251"/>
      <c r="BM588" s="241"/>
    </row>
    <row r="589" spans="1:65" s="287" customFormat="1" ht="28.5" x14ac:dyDescent="0.25">
      <c r="A589" s="276"/>
      <c r="B589" s="288" t="s">
        <v>236</v>
      </c>
      <c r="C589" s="278">
        <v>1</v>
      </c>
      <c r="D589" s="279"/>
      <c r="E589" s="279"/>
      <c r="F589" s="328"/>
      <c r="G589" s="328"/>
      <c r="H589" s="279">
        <v>1</v>
      </c>
      <c r="I589" s="328"/>
      <c r="J589" s="279"/>
      <c r="K589" s="279"/>
      <c r="L589" s="277"/>
      <c r="M589" s="280">
        <f>M$35</f>
        <v>3028</v>
      </c>
      <c r="N589" s="281">
        <f>N$29</f>
        <v>2</v>
      </c>
      <c r="O589" s="277">
        <v>1.9</v>
      </c>
      <c r="P589" s="282">
        <f>P$244</f>
        <v>1.58</v>
      </c>
      <c r="Q589" s="277"/>
      <c r="R589" s="280">
        <f>$R$565</f>
        <v>174</v>
      </c>
      <c r="S589" s="280">
        <f t="shared" si="459"/>
        <v>104.48275862068965</v>
      </c>
      <c r="T589" s="425">
        <f t="shared" si="460"/>
        <v>18180</v>
      </c>
      <c r="U589" s="284">
        <f t="shared" si="461"/>
        <v>18180</v>
      </c>
      <c r="V589" s="277">
        <v>20</v>
      </c>
      <c r="W589" s="285"/>
      <c r="X589" s="285">
        <f t="shared" si="462"/>
        <v>3636</v>
      </c>
      <c r="Y589" s="277"/>
      <c r="Z589" s="277"/>
      <c r="AA589" s="277"/>
      <c r="AB589" s="277"/>
      <c r="AC589" s="277"/>
      <c r="AD589" s="277"/>
      <c r="AE589" s="277"/>
      <c r="AF589" s="277"/>
      <c r="AG589" s="277"/>
      <c r="AH589" s="277"/>
      <c r="AI589" s="277"/>
      <c r="AJ589" s="277"/>
      <c r="AK589" s="277">
        <v>10</v>
      </c>
      <c r="AL589" s="277"/>
      <c r="AM589" s="285">
        <f>T589*AK589%*1</f>
        <v>1818</v>
      </c>
      <c r="AN589" s="277"/>
      <c r="AO589" s="277"/>
      <c r="AP589" s="285"/>
      <c r="AQ589" s="284">
        <f t="shared" si="463"/>
        <v>5454</v>
      </c>
      <c r="AR589" s="277">
        <f>AR$29</f>
        <v>20</v>
      </c>
      <c r="AS589" s="277">
        <f t="shared" si="464"/>
        <v>3636</v>
      </c>
      <c r="AT589" s="280">
        <f t="shared" si="465"/>
        <v>3636</v>
      </c>
      <c r="AU589" s="277"/>
      <c r="AV589" s="277">
        <v>100</v>
      </c>
      <c r="AW589" s="277">
        <f t="shared" si="466"/>
        <v>0</v>
      </c>
      <c r="AX589" s="277"/>
      <c r="AY589" s="277"/>
      <c r="AZ589" s="280"/>
      <c r="BA589" s="284">
        <f t="shared" si="467"/>
        <v>3636</v>
      </c>
      <c r="BB589" s="284">
        <f t="shared" si="468"/>
        <v>27270</v>
      </c>
      <c r="BC589" s="284">
        <f t="shared" si="469"/>
        <v>27270</v>
      </c>
      <c r="BD589" s="286">
        <f t="shared" si="470"/>
        <v>27270</v>
      </c>
      <c r="BE589" s="286"/>
      <c r="BF589" s="241"/>
      <c r="BG589" s="241"/>
      <c r="BH589" s="241"/>
      <c r="BI589" s="241"/>
      <c r="BJ589" s="251"/>
      <c r="BK589" s="251"/>
      <c r="BL589" s="251"/>
      <c r="BM589" s="241"/>
    </row>
    <row r="590" spans="1:65" s="301" customFormat="1" x14ac:dyDescent="0.25">
      <c r="A590" s="289"/>
      <c r="B590" s="277" t="s">
        <v>237</v>
      </c>
      <c r="C590" s="278">
        <v>1</v>
      </c>
      <c r="D590" s="279"/>
      <c r="E590" s="279"/>
      <c r="F590" s="328"/>
      <c r="G590" s="328"/>
      <c r="H590" s="279">
        <v>1</v>
      </c>
      <c r="I590" s="328"/>
      <c r="J590" s="279"/>
      <c r="K590" s="279"/>
      <c r="L590" s="277"/>
      <c r="M590" s="280">
        <f>M$35</f>
        <v>3028</v>
      </c>
      <c r="N590" s="281">
        <f>N$29</f>
        <v>2</v>
      </c>
      <c r="O590" s="277">
        <v>1.9</v>
      </c>
      <c r="P590" s="295">
        <f>P$244</f>
        <v>1.58</v>
      </c>
      <c r="Q590" s="293"/>
      <c r="R590" s="294">
        <f>$R$565</f>
        <v>174</v>
      </c>
      <c r="S590" s="294">
        <f t="shared" si="459"/>
        <v>104.48275862068965</v>
      </c>
      <c r="T590" s="291">
        <f t="shared" si="460"/>
        <v>18180</v>
      </c>
      <c r="U590" s="297">
        <f t="shared" si="461"/>
        <v>18180</v>
      </c>
      <c r="V590" s="293">
        <v>20</v>
      </c>
      <c r="W590" s="298"/>
      <c r="X590" s="298">
        <f t="shared" si="462"/>
        <v>3636</v>
      </c>
      <c r="Y590" s="293"/>
      <c r="Z590" s="293"/>
      <c r="AA590" s="293"/>
      <c r="AB590" s="293"/>
      <c r="AC590" s="293"/>
      <c r="AD590" s="293"/>
      <c r="AE590" s="293"/>
      <c r="AF590" s="293"/>
      <c r="AG590" s="293"/>
      <c r="AH590" s="293"/>
      <c r="AI590" s="293"/>
      <c r="AJ590" s="293"/>
      <c r="AK590" s="293"/>
      <c r="AL590" s="293"/>
      <c r="AM590" s="298"/>
      <c r="AN590" s="293"/>
      <c r="AO590" s="293"/>
      <c r="AP590" s="293"/>
      <c r="AQ590" s="297">
        <f t="shared" si="463"/>
        <v>3636</v>
      </c>
      <c r="AR590" s="293">
        <f>AR$29</f>
        <v>20</v>
      </c>
      <c r="AS590" s="293">
        <f t="shared" si="464"/>
        <v>3636</v>
      </c>
      <c r="AT590" s="294">
        <f t="shared" si="465"/>
        <v>3636</v>
      </c>
      <c r="AU590" s="293"/>
      <c r="AV590" s="293">
        <v>100</v>
      </c>
      <c r="AW590" s="293">
        <f t="shared" si="466"/>
        <v>0</v>
      </c>
      <c r="AX590" s="293"/>
      <c r="AY590" s="293"/>
      <c r="AZ590" s="294"/>
      <c r="BA590" s="297">
        <f t="shared" si="467"/>
        <v>3636</v>
      </c>
      <c r="BB590" s="297">
        <f t="shared" si="468"/>
        <v>25452</v>
      </c>
      <c r="BC590" s="297">
        <f t="shared" si="469"/>
        <v>25452</v>
      </c>
      <c r="BD590" s="299">
        <f t="shared" si="470"/>
        <v>25452</v>
      </c>
      <c r="BE590" s="299"/>
      <c r="BF590" s="377">
        <f>IF(D590=1,BC590,0)</f>
        <v>0</v>
      </c>
      <c r="BG590" s="377">
        <f>IF(E590=1,BC590,0)</f>
        <v>0</v>
      </c>
      <c r="BH590" s="377">
        <f>IF(F590=1,BC590,0)</f>
        <v>0</v>
      </c>
      <c r="BI590" s="377">
        <f>IF(G590=1,BC590,0)</f>
        <v>0</v>
      </c>
      <c r="BJ590" s="300">
        <f>IF(H590=1,BC590,0)</f>
        <v>25452</v>
      </c>
      <c r="BK590" s="300">
        <f>IF(I590=1,BC590,0)</f>
        <v>0</v>
      </c>
      <c r="BL590" s="300">
        <f>IF(J590=1,BC590,0)</f>
        <v>0</v>
      </c>
      <c r="BM590" s="377">
        <f>IF(K590=1,BC590,0)</f>
        <v>0</v>
      </c>
    </row>
    <row r="591" spans="1:65" s="287" customFormat="1" x14ac:dyDescent="0.25">
      <c r="A591" s="276"/>
      <c r="B591" s="288" t="s">
        <v>238</v>
      </c>
      <c r="C591" s="425">
        <v>1</v>
      </c>
      <c r="D591" s="279"/>
      <c r="E591" s="279"/>
      <c r="F591" s="279"/>
      <c r="G591" s="279"/>
      <c r="H591" s="279"/>
      <c r="I591" s="279">
        <v>1</v>
      </c>
      <c r="J591" s="279"/>
      <c r="K591" s="279"/>
      <c r="L591" s="277"/>
      <c r="M591" s="280">
        <f>M$35</f>
        <v>3028</v>
      </c>
      <c r="N591" s="281">
        <f>N$29</f>
        <v>2</v>
      </c>
      <c r="O591" s="277">
        <v>2</v>
      </c>
      <c r="P591" s="282">
        <f>P$244</f>
        <v>1.58</v>
      </c>
      <c r="Q591" s="282"/>
      <c r="R591" s="280">
        <f>$R$565</f>
        <v>174</v>
      </c>
      <c r="S591" s="280">
        <f t="shared" si="459"/>
        <v>109.98275862068965</v>
      </c>
      <c r="T591" s="425">
        <f t="shared" si="460"/>
        <v>19137</v>
      </c>
      <c r="U591" s="284">
        <f t="shared" si="461"/>
        <v>19137</v>
      </c>
      <c r="V591" s="277">
        <v>20</v>
      </c>
      <c r="W591" s="285"/>
      <c r="X591" s="285">
        <f t="shared" si="462"/>
        <v>3827.4</v>
      </c>
      <c r="Y591" s="277"/>
      <c r="Z591" s="277"/>
      <c r="AA591" s="277"/>
      <c r="AB591" s="277"/>
      <c r="AC591" s="277"/>
      <c r="AD591" s="277"/>
      <c r="AE591" s="277"/>
      <c r="AF591" s="277"/>
      <c r="AG591" s="277"/>
      <c r="AH591" s="277"/>
      <c r="AI591" s="277"/>
      <c r="AJ591" s="277"/>
      <c r="AK591" s="277"/>
      <c r="AL591" s="277"/>
      <c r="AM591" s="285">
        <f>T591*AK591%</f>
        <v>0</v>
      </c>
      <c r="AN591" s="277"/>
      <c r="AO591" s="277"/>
      <c r="AP591" s="277"/>
      <c r="AQ591" s="284">
        <f t="shared" si="463"/>
        <v>3827.4</v>
      </c>
      <c r="AR591" s="277">
        <f>AR$29</f>
        <v>20</v>
      </c>
      <c r="AS591" s="285">
        <f t="shared" si="464"/>
        <v>3827.4</v>
      </c>
      <c r="AT591" s="280">
        <f t="shared" si="465"/>
        <v>3827.4</v>
      </c>
      <c r="AU591" s="277"/>
      <c r="AV591" s="277">
        <v>100</v>
      </c>
      <c r="AW591" s="277">
        <f t="shared" si="466"/>
        <v>0</v>
      </c>
      <c r="AX591" s="277"/>
      <c r="AY591" s="285"/>
      <c r="AZ591" s="280"/>
      <c r="BA591" s="284">
        <f t="shared" si="467"/>
        <v>3827.4</v>
      </c>
      <c r="BB591" s="284">
        <f t="shared" si="468"/>
        <v>26791.8</v>
      </c>
      <c r="BC591" s="284">
        <f t="shared" si="469"/>
        <v>26791.8</v>
      </c>
      <c r="BD591" s="286">
        <f>BC591/C591</f>
        <v>26791.8</v>
      </c>
      <c r="BE591" s="286"/>
      <c r="BF591" s="251">
        <f>IF(D591=1,BC591,0)</f>
        <v>0</v>
      </c>
      <c r="BG591" s="251">
        <f>IF(E591=1,BC591,0)</f>
        <v>0</v>
      </c>
      <c r="BH591" s="251">
        <f>IF(F591=1,BC591,0)</f>
        <v>0</v>
      </c>
      <c r="BI591" s="251">
        <f>IF(G591=1,BC591,0)</f>
        <v>0</v>
      </c>
      <c r="BJ591" s="251">
        <f>IF(H591=1,BC591,0)</f>
        <v>0</v>
      </c>
      <c r="BK591" s="251">
        <f>IF(I591=1,BC591,0)</f>
        <v>26791.8</v>
      </c>
      <c r="BL591" s="251">
        <f>IF(J591=1,BC591,0)</f>
        <v>0</v>
      </c>
      <c r="BM591" s="251">
        <f>IF(K591=1,BC591,0)</f>
        <v>0</v>
      </c>
    </row>
    <row r="592" spans="1:65" s="301" customFormat="1" x14ac:dyDescent="0.25">
      <c r="A592" s="289"/>
      <c r="B592" s="290" t="s">
        <v>242</v>
      </c>
      <c r="C592" s="278">
        <v>1</v>
      </c>
      <c r="D592" s="279"/>
      <c r="E592" s="279"/>
      <c r="F592" s="279"/>
      <c r="G592" s="279"/>
      <c r="H592" s="279"/>
      <c r="I592" s="279"/>
      <c r="J592" s="279">
        <v>1</v>
      </c>
      <c r="K592" s="279"/>
      <c r="L592" s="277"/>
      <c r="M592" s="280">
        <f t="shared" ref="M592:M599" si="471">M$35</f>
        <v>3028</v>
      </c>
      <c r="N592" s="281">
        <f t="shared" ref="N592:N599" si="472">N$29</f>
        <v>2</v>
      </c>
      <c r="O592" s="295">
        <v>1.7</v>
      </c>
      <c r="P592" s="282">
        <f t="shared" ref="P592:P599" si="473">P$244</f>
        <v>1.58</v>
      </c>
      <c r="Q592" s="293"/>
      <c r="R592" s="294">
        <f t="shared" ref="R592:R602" si="474">$R$565</f>
        <v>174</v>
      </c>
      <c r="S592" s="294">
        <f t="shared" si="459"/>
        <v>93.482758620689651</v>
      </c>
      <c r="T592" s="291">
        <f t="shared" si="460"/>
        <v>16266</v>
      </c>
      <c r="U592" s="297">
        <f t="shared" si="461"/>
        <v>16266</v>
      </c>
      <c r="V592" s="293"/>
      <c r="W592" s="298"/>
      <c r="X592" s="298">
        <f t="shared" si="462"/>
        <v>0</v>
      </c>
      <c r="Y592" s="293"/>
      <c r="Z592" s="293"/>
      <c r="AA592" s="298">
        <f>U592*Y592%</f>
        <v>0</v>
      </c>
      <c r="AB592" s="293"/>
      <c r="AC592" s="293"/>
      <c r="AD592" s="293"/>
      <c r="AE592" s="293"/>
      <c r="AF592" s="293"/>
      <c r="AG592" s="293"/>
      <c r="AH592" s="293"/>
      <c r="AI592" s="293"/>
      <c r="AJ592" s="293"/>
      <c r="AK592" s="277">
        <v>7</v>
      </c>
      <c r="AL592" s="293"/>
      <c r="AM592" s="298">
        <f>T592*AK592%</f>
        <v>1138.6200000000001</v>
      </c>
      <c r="AN592" s="293"/>
      <c r="AO592" s="293"/>
      <c r="AP592" s="293"/>
      <c r="AQ592" s="297">
        <f t="shared" si="463"/>
        <v>1138.6200000000001</v>
      </c>
      <c r="AR592" s="293">
        <f t="shared" ref="AR592:AR601" si="475">AR$29</f>
        <v>20</v>
      </c>
      <c r="AS592" s="293">
        <f t="shared" si="464"/>
        <v>3253.2000000000003</v>
      </c>
      <c r="AT592" s="294">
        <f t="shared" si="465"/>
        <v>3253.2000000000003</v>
      </c>
      <c r="AU592" s="293"/>
      <c r="AV592" s="293">
        <v>100</v>
      </c>
      <c r="AW592" s="293">
        <f t="shared" si="466"/>
        <v>0</v>
      </c>
      <c r="AX592" s="294"/>
      <c r="AY592" s="431">
        <f>3723-BB592/5</f>
        <v>-408.56400000000031</v>
      </c>
      <c r="AZ592" s="431"/>
      <c r="BA592" s="297">
        <f t="shared" si="467"/>
        <v>3253.2000000000003</v>
      </c>
      <c r="BB592" s="297">
        <f t="shared" si="468"/>
        <v>20657.82</v>
      </c>
      <c r="BC592" s="297">
        <f t="shared" si="469"/>
        <v>20657.82</v>
      </c>
      <c r="BD592" s="299">
        <f>BC592/C592</f>
        <v>20657.82</v>
      </c>
      <c r="BE592" s="299"/>
      <c r="BF592" s="300">
        <f>IF(D592=1,BC592,0)</f>
        <v>0</v>
      </c>
      <c r="BG592" s="300">
        <f>IF(E592=1,BC592,0)</f>
        <v>0</v>
      </c>
      <c r="BH592" s="300">
        <f>IF(F592=1,BC592,0)</f>
        <v>0</v>
      </c>
      <c r="BI592" s="300">
        <f>IF(G592=1,BC592,0)</f>
        <v>0</v>
      </c>
      <c r="BJ592" s="300">
        <f>IF(H592=1,BC592,0)</f>
        <v>0</v>
      </c>
      <c r="BK592" s="300">
        <f>IF(I592=1,BC592,0)</f>
        <v>0</v>
      </c>
      <c r="BL592" s="300">
        <f>IF(J592=1,BC592,0)</f>
        <v>20657.82</v>
      </c>
      <c r="BM592" s="300">
        <f>IF(K592=1,BC592,0)</f>
        <v>0</v>
      </c>
    </row>
    <row r="593" spans="1:65" s="316" customFormat="1" x14ac:dyDescent="0.25">
      <c r="A593" s="306"/>
      <c r="B593" s="307" t="s">
        <v>229</v>
      </c>
      <c r="C593" s="329">
        <f>SUM(C587:C592)</f>
        <v>6</v>
      </c>
      <c r="D593" s="330"/>
      <c r="E593" s="330"/>
      <c r="F593" s="330"/>
      <c r="G593" s="330"/>
      <c r="H593" s="330"/>
      <c r="I593" s="330"/>
      <c r="J593" s="330"/>
      <c r="K593" s="330"/>
      <c r="L593" s="307"/>
      <c r="M593" s="331"/>
      <c r="N593" s="307"/>
      <c r="O593" s="307"/>
      <c r="P593" s="332"/>
      <c r="Q593" s="307"/>
      <c r="R593" s="331"/>
      <c r="S593" s="331"/>
      <c r="T593" s="465">
        <f>U593</f>
        <v>112908</v>
      </c>
      <c r="U593" s="329">
        <f>SUM(U587:U592)</f>
        <v>112908</v>
      </c>
      <c r="V593" s="329"/>
      <c r="W593" s="329">
        <f>SUM(W587:W592)</f>
        <v>0</v>
      </c>
      <c r="X593" s="329">
        <f>SUM(X587:X592)</f>
        <v>21529.200000000001</v>
      </c>
      <c r="Y593" s="329"/>
      <c r="Z593" s="329">
        <f>SUM(Z587:Z592)</f>
        <v>0</v>
      </c>
      <c r="AA593" s="329">
        <f>SUM(AA587:AA592)</f>
        <v>0</v>
      </c>
      <c r="AB593" s="329"/>
      <c r="AC593" s="329"/>
      <c r="AD593" s="329">
        <f>SUM(AD587:AD592)</f>
        <v>0</v>
      </c>
      <c r="AE593" s="329"/>
      <c r="AF593" s="329">
        <f>SUM(AF587:AF592)</f>
        <v>0</v>
      </c>
      <c r="AG593" s="329">
        <f>SUM(AG587:AG592)</f>
        <v>0</v>
      </c>
      <c r="AH593" s="329"/>
      <c r="AI593" s="329">
        <f>SUM(AI587:AI592)</f>
        <v>0</v>
      </c>
      <c r="AJ593" s="329">
        <f>SUM(AJ587:AJ592)</f>
        <v>0</v>
      </c>
      <c r="AK593" s="284"/>
      <c r="AL593" s="284">
        <f>SUM(AL587:AL590)</f>
        <v>0</v>
      </c>
      <c r="AM593" s="284">
        <f>SUM(AM587:AM592)</f>
        <v>7367.73</v>
      </c>
      <c r="AN593" s="329"/>
      <c r="AO593" s="329">
        <f>SUM(AO587:AO592)</f>
        <v>0</v>
      </c>
      <c r="AP593" s="329">
        <f>SUM(AP587:AP592)</f>
        <v>0</v>
      </c>
      <c r="AQ593" s="329">
        <f>SUM(AQ587:AQ592)</f>
        <v>28896.93</v>
      </c>
      <c r="AR593" s="329"/>
      <c r="AS593" s="329">
        <f>SUM(AS587:AS592)</f>
        <v>22581.600000000002</v>
      </c>
      <c r="AT593" s="329">
        <f>SUM(AT587:AT592)</f>
        <v>22581.600000000002</v>
      </c>
      <c r="AU593" s="329">
        <f>SUM(AU587:AU592)</f>
        <v>0</v>
      </c>
      <c r="AV593" s="329"/>
      <c r="AW593" s="329">
        <f>SUM(AW587:AW592)</f>
        <v>0</v>
      </c>
      <c r="AX593" s="329"/>
      <c r="AY593" s="329">
        <f>SUM(AY587:AY592)</f>
        <v>-408.56400000000031</v>
      </c>
      <c r="AZ593" s="329">
        <f>SUM(AZ587:AZ592)</f>
        <v>0</v>
      </c>
      <c r="BA593" s="329">
        <f>SUM(BA587:BA592)</f>
        <v>22581.600000000002</v>
      </c>
      <c r="BB593" s="329">
        <f>SUM(BB587:BB592)</f>
        <v>164386.53</v>
      </c>
      <c r="BC593" s="329">
        <f>SUM(BC587:BC592)</f>
        <v>164386.53</v>
      </c>
      <c r="BD593" s="286">
        <f t="shared" si="470"/>
        <v>27397.755000000001</v>
      </c>
      <c r="BE593" s="286"/>
      <c r="BF593" s="316">
        <f t="shared" ref="BF593:BM593" si="476">SUM(BF587:BF590)</f>
        <v>0</v>
      </c>
      <c r="BG593" s="316">
        <f t="shared" si="476"/>
        <v>0</v>
      </c>
      <c r="BH593" s="316">
        <f t="shared" si="476"/>
        <v>0</v>
      </c>
      <c r="BI593" s="316">
        <f t="shared" si="476"/>
        <v>0</v>
      </c>
      <c r="BJ593" s="316">
        <f t="shared" si="476"/>
        <v>60004.56</v>
      </c>
      <c r="BK593" s="316">
        <f t="shared" si="476"/>
        <v>0</v>
      </c>
      <c r="BL593" s="316">
        <f t="shared" si="476"/>
        <v>0</v>
      </c>
      <c r="BM593" s="316">
        <f t="shared" si="476"/>
        <v>0</v>
      </c>
    </row>
    <row r="594" spans="1:65" s="287" customFormat="1" ht="18" customHeight="1" x14ac:dyDescent="0.25">
      <c r="A594" s="270"/>
      <c r="B594" s="334" t="s">
        <v>239</v>
      </c>
      <c r="C594" s="335"/>
      <c r="D594" s="335"/>
      <c r="E594" s="335"/>
      <c r="F594" s="335"/>
      <c r="G594" s="335"/>
      <c r="H594" s="335"/>
      <c r="I594" s="335"/>
      <c r="J594" s="335"/>
      <c r="K594" s="335"/>
      <c r="L594" s="335"/>
      <c r="M594" s="335"/>
      <c r="N594" s="335"/>
      <c r="O594" s="335"/>
      <c r="P594" s="335"/>
      <c r="Q594" s="335"/>
      <c r="R594" s="335"/>
      <c r="S594" s="335"/>
      <c r="T594" s="335"/>
      <c r="U594" s="335"/>
      <c r="V594" s="335"/>
      <c r="W594" s="335"/>
      <c r="X594" s="335"/>
      <c r="Y594" s="335"/>
      <c r="Z594" s="335"/>
      <c r="AA594" s="335"/>
      <c r="AB594" s="335"/>
      <c r="AC594" s="335"/>
      <c r="AD594" s="335"/>
      <c r="AE594" s="335"/>
      <c r="AF594" s="335"/>
      <c r="AG594" s="335"/>
      <c r="AH594" s="335"/>
      <c r="AI594" s="335"/>
      <c r="AJ594" s="335"/>
      <c r="AK594" s="336"/>
      <c r="AL594" s="336"/>
      <c r="AM594" s="336"/>
      <c r="AN594" s="335"/>
      <c r="AO594" s="335"/>
      <c r="AP594" s="335"/>
      <c r="AQ594" s="335"/>
      <c r="AR594" s="335"/>
      <c r="AS594" s="335"/>
      <c r="AT594" s="335"/>
      <c r="AU594" s="335"/>
      <c r="AV594" s="335"/>
      <c r="AW594" s="335"/>
      <c r="AX594" s="335"/>
      <c r="AY594" s="335"/>
      <c r="AZ594" s="335"/>
      <c r="BA594" s="335"/>
      <c r="BB594" s="335"/>
      <c r="BC594" s="362"/>
      <c r="BD594" s="286"/>
      <c r="BE594" s="286"/>
      <c r="BF594" s="338" t="e">
        <f>BC604-#REF!</f>
        <v>#REF!</v>
      </c>
    </row>
    <row r="595" spans="1:65" s="287" customFormat="1" x14ac:dyDescent="0.25">
      <c r="A595" s="276"/>
      <c r="B595" s="288" t="s">
        <v>240</v>
      </c>
      <c r="C595" s="278">
        <v>3</v>
      </c>
      <c r="D595" s="279"/>
      <c r="E595" s="279"/>
      <c r="F595" s="328"/>
      <c r="G595" s="328"/>
      <c r="H595" s="279">
        <v>1</v>
      </c>
      <c r="I595" s="328"/>
      <c r="J595" s="328"/>
      <c r="K595" s="279"/>
      <c r="L595" s="277">
        <v>4</v>
      </c>
      <c r="M595" s="280">
        <f t="shared" si="471"/>
        <v>3028</v>
      </c>
      <c r="N595" s="281">
        <f t="shared" si="472"/>
        <v>2</v>
      </c>
      <c r="O595" s="277">
        <v>1.43</v>
      </c>
      <c r="P595" s="282">
        <f t="shared" si="473"/>
        <v>1.58</v>
      </c>
      <c r="Q595" s="277"/>
      <c r="R595" s="280">
        <f t="shared" si="474"/>
        <v>174</v>
      </c>
      <c r="S595" s="280">
        <f t="shared" ref="S595:S602" si="477">T595/(R595/1)</f>
        <v>78.637931034482762</v>
      </c>
      <c r="T595" s="425">
        <f>ROUND(M595*N595*O595*P595,0)</f>
        <v>13683</v>
      </c>
      <c r="U595" s="284">
        <f t="shared" ref="U595:U602" si="478">T595*C595</f>
        <v>41049</v>
      </c>
      <c r="V595" s="277">
        <v>16</v>
      </c>
      <c r="W595" s="285"/>
      <c r="X595" s="285">
        <f t="shared" ref="X595:X602" si="479">U595*V595%</f>
        <v>6567.84</v>
      </c>
      <c r="Y595" s="277">
        <v>4</v>
      </c>
      <c r="Z595" s="285"/>
      <c r="AA595" s="285">
        <f>U595*Y595%</f>
        <v>1641.96</v>
      </c>
      <c r="AB595" s="277"/>
      <c r="AC595" s="277"/>
      <c r="AD595" s="277"/>
      <c r="AE595" s="277"/>
      <c r="AF595" s="277"/>
      <c r="AG595" s="277"/>
      <c r="AH595" s="277"/>
      <c r="AI595" s="277"/>
      <c r="AJ595" s="277"/>
      <c r="AK595" s="277">
        <v>7</v>
      </c>
      <c r="AL595" s="277"/>
      <c r="AM595" s="285">
        <f>T595*AK595%*1</f>
        <v>957.81000000000006</v>
      </c>
      <c r="AN595" s="277"/>
      <c r="AO595" s="277"/>
      <c r="AP595" s="277"/>
      <c r="AQ595" s="284">
        <f t="shared" ref="AQ595:AQ603" si="480">X595+AA595+AD595+AG595+AJ595+AM595+AP595</f>
        <v>9167.6099999999988</v>
      </c>
      <c r="AR595" s="277">
        <f t="shared" si="475"/>
        <v>20</v>
      </c>
      <c r="AS595" s="277">
        <f t="shared" ref="AS595:AS602" si="481">AT595/C595</f>
        <v>2736.6000000000004</v>
      </c>
      <c r="AT595" s="280">
        <f t="shared" ref="AT595:AT602" si="482">(U595)*AR595%</f>
        <v>8209.8000000000011</v>
      </c>
      <c r="AU595" s="339">
        <v>1</v>
      </c>
      <c r="AV595" s="277">
        <v>100</v>
      </c>
      <c r="AW595" s="277">
        <f t="shared" ref="AW595:AW602" si="483">AU595*T595</f>
        <v>13683</v>
      </c>
      <c r="AX595" s="277"/>
      <c r="AY595" s="277"/>
      <c r="AZ595" s="280"/>
      <c r="BA595" s="284">
        <f t="shared" ref="BA595:BA602" si="484">AT595+AW595+AZ595</f>
        <v>21892.800000000003</v>
      </c>
      <c r="BB595" s="284">
        <f t="shared" ref="BB595:BB602" si="485">BC595/C595</f>
        <v>24036.47</v>
      </c>
      <c r="BC595" s="284">
        <f t="shared" ref="BC595:BC602" si="486">BA595+AQ595+U595</f>
        <v>72109.41</v>
      </c>
      <c r="BD595" s="286">
        <f t="shared" ref="BD595:BD602" si="487">BC595/C595</f>
        <v>24036.47</v>
      </c>
      <c r="BE595" s="286"/>
      <c r="BF595" s="241">
        <f t="shared" ref="BF595:BF602" si="488">IF(D595=1,BC595,0)</f>
        <v>0</v>
      </c>
      <c r="BG595" s="241">
        <f t="shared" ref="BG595:BG602" si="489">IF(E595=1,BC595,0)</f>
        <v>0</v>
      </c>
      <c r="BH595" s="241">
        <f t="shared" ref="BH595:BH602" si="490">IF(F595=1,BC595,0)</f>
        <v>0</v>
      </c>
      <c r="BI595" s="241">
        <f t="shared" ref="BI595:BI602" si="491">IF(G595=1,BC595,0)</f>
        <v>0</v>
      </c>
      <c r="BJ595" s="251">
        <f t="shared" ref="BJ595:BJ602" si="492">IF(H595=1,BC595,0)</f>
        <v>72109.41</v>
      </c>
      <c r="BK595" s="241">
        <f t="shared" ref="BK595:BK603" si="493">IF(I595=1,BC595,0)</f>
        <v>0</v>
      </c>
      <c r="BL595" s="241">
        <f t="shared" ref="BL595:BL603" si="494">IF(J595=1,BC595,0)</f>
        <v>0</v>
      </c>
      <c r="BM595" s="241">
        <f t="shared" ref="BM595:BM603" si="495">IF(K595=1,BC595,0)</f>
        <v>0</v>
      </c>
    </row>
    <row r="596" spans="1:65" s="287" customFormat="1" x14ac:dyDescent="0.25">
      <c r="A596" s="276"/>
      <c r="B596" s="288" t="s">
        <v>240</v>
      </c>
      <c r="C596" s="278">
        <v>8</v>
      </c>
      <c r="D596" s="279"/>
      <c r="E596" s="279"/>
      <c r="F596" s="328"/>
      <c r="G596" s="328"/>
      <c r="H596" s="279">
        <v>1</v>
      </c>
      <c r="I596" s="328"/>
      <c r="J596" s="328"/>
      <c r="K596" s="279"/>
      <c r="L596" s="277">
        <v>4</v>
      </c>
      <c r="M596" s="280">
        <f t="shared" si="471"/>
        <v>3028</v>
      </c>
      <c r="N596" s="281">
        <f t="shared" si="472"/>
        <v>2</v>
      </c>
      <c r="O596" s="277">
        <v>1.43</v>
      </c>
      <c r="P596" s="282">
        <f t="shared" si="473"/>
        <v>1.58</v>
      </c>
      <c r="Q596" s="277"/>
      <c r="R596" s="280">
        <f t="shared" si="474"/>
        <v>174</v>
      </c>
      <c r="S596" s="280">
        <f t="shared" si="477"/>
        <v>78.637931034482762</v>
      </c>
      <c r="T596" s="425">
        <f t="shared" ref="T596:T602" si="496">ROUND(M596*N596*O596*P596,0)</f>
        <v>13683</v>
      </c>
      <c r="U596" s="284">
        <f t="shared" si="478"/>
        <v>109464</v>
      </c>
      <c r="V596" s="277">
        <v>16</v>
      </c>
      <c r="W596" s="285"/>
      <c r="X596" s="285">
        <f t="shared" si="479"/>
        <v>17514.240000000002</v>
      </c>
      <c r="Y596" s="277">
        <v>4</v>
      </c>
      <c r="Z596" s="285"/>
      <c r="AA596" s="285">
        <f>U596*Y596%</f>
        <v>4378.5600000000004</v>
      </c>
      <c r="AB596" s="277">
        <v>20</v>
      </c>
      <c r="AC596" s="277"/>
      <c r="AD596" s="340">
        <f>SUM([3]ночн.празд!T14)</f>
        <v>3900.4413793103449</v>
      </c>
      <c r="AE596" s="341">
        <v>35</v>
      </c>
      <c r="AF596" s="340"/>
      <c r="AG596" s="340">
        <f>SUM([3]ночн.празд!U14:U14)</f>
        <v>13651.544827586207</v>
      </c>
      <c r="AH596" s="341">
        <v>200</v>
      </c>
      <c r="AI596" s="340"/>
      <c r="AJ596" s="340">
        <f>SUM([3]ночн.празд!R14:S14)</f>
        <v>7391.9655172413795</v>
      </c>
      <c r="AK596" s="277"/>
      <c r="AL596" s="277"/>
      <c r="AM596" s="285">
        <f t="shared" ref="AM596:AM601" si="497">T596*AK596%</f>
        <v>0</v>
      </c>
      <c r="AN596" s="277"/>
      <c r="AO596" s="277"/>
      <c r="AP596" s="277"/>
      <c r="AQ596" s="284">
        <f t="shared" si="480"/>
        <v>46836.751724137932</v>
      </c>
      <c r="AR596" s="277">
        <f t="shared" si="475"/>
        <v>20</v>
      </c>
      <c r="AS596" s="277">
        <f t="shared" si="481"/>
        <v>2736.6000000000004</v>
      </c>
      <c r="AT596" s="280">
        <f t="shared" si="482"/>
        <v>21892.800000000003</v>
      </c>
      <c r="AU596" s="339">
        <v>1</v>
      </c>
      <c r="AV596" s="277">
        <v>100</v>
      </c>
      <c r="AW596" s="277">
        <f t="shared" si="483"/>
        <v>13683</v>
      </c>
      <c r="AX596" s="277"/>
      <c r="AY596" s="277"/>
      <c r="AZ596" s="280"/>
      <c r="BA596" s="284">
        <f t="shared" si="484"/>
        <v>35575.800000000003</v>
      </c>
      <c r="BB596" s="284">
        <f t="shared" si="485"/>
        <v>23984.568965517243</v>
      </c>
      <c r="BC596" s="284">
        <f t="shared" si="486"/>
        <v>191876.55172413794</v>
      </c>
      <c r="BD596" s="286">
        <f t="shared" si="487"/>
        <v>23984.568965517243</v>
      </c>
      <c r="BE596" s="286"/>
      <c r="BF596" s="241">
        <f t="shared" si="488"/>
        <v>0</v>
      </c>
      <c r="BG596" s="241">
        <f t="shared" si="489"/>
        <v>0</v>
      </c>
      <c r="BH596" s="241">
        <f t="shared" si="490"/>
        <v>0</v>
      </c>
      <c r="BI596" s="241">
        <f t="shared" si="491"/>
        <v>0</v>
      </c>
      <c r="BJ596" s="251">
        <f t="shared" si="492"/>
        <v>191876.55172413794</v>
      </c>
      <c r="BK596" s="241">
        <f t="shared" si="493"/>
        <v>0</v>
      </c>
      <c r="BL596" s="241">
        <f t="shared" si="494"/>
        <v>0</v>
      </c>
      <c r="BM596" s="241">
        <f t="shared" si="495"/>
        <v>0</v>
      </c>
    </row>
    <row r="597" spans="1:65" s="287" customFormat="1" x14ac:dyDescent="0.25">
      <c r="A597" s="276"/>
      <c r="B597" s="288" t="s">
        <v>240</v>
      </c>
      <c r="C597" s="278">
        <v>3</v>
      </c>
      <c r="D597" s="279"/>
      <c r="E597" s="279"/>
      <c r="F597" s="328"/>
      <c r="G597" s="328"/>
      <c r="H597" s="279">
        <v>1</v>
      </c>
      <c r="I597" s="328"/>
      <c r="J597" s="328"/>
      <c r="K597" s="279"/>
      <c r="L597" s="277">
        <v>5</v>
      </c>
      <c r="M597" s="280">
        <f t="shared" si="471"/>
        <v>3028</v>
      </c>
      <c r="N597" s="281">
        <f t="shared" si="472"/>
        <v>2</v>
      </c>
      <c r="O597" s="277">
        <v>1.67</v>
      </c>
      <c r="P597" s="282">
        <f t="shared" si="473"/>
        <v>1.58</v>
      </c>
      <c r="Q597" s="277"/>
      <c r="R597" s="280">
        <f t="shared" si="474"/>
        <v>174</v>
      </c>
      <c r="S597" s="280">
        <f t="shared" si="477"/>
        <v>91.833333333333329</v>
      </c>
      <c r="T597" s="425">
        <f t="shared" si="496"/>
        <v>15979</v>
      </c>
      <c r="U597" s="284">
        <f t="shared" si="478"/>
        <v>47937</v>
      </c>
      <c r="V597" s="277">
        <v>20</v>
      </c>
      <c r="W597" s="285"/>
      <c r="X597" s="285">
        <f t="shared" si="479"/>
        <v>9587.4</v>
      </c>
      <c r="Y597" s="277">
        <v>4</v>
      </c>
      <c r="Z597" s="285"/>
      <c r="AA597" s="285">
        <f>U597*Y597%</f>
        <v>1917.48</v>
      </c>
      <c r="AB597" s="277"/>
      <c r="AC597" s="277"/>
      <c r="AD597" s="277"/>
      <c r="AE597" s="277"/>
      <c r="AF597" s="277"/>
      <c r="AG597" s="277"/>
      <c r="AH597" s="277"/>
      <c r="AI597" s="277"/>
      <c r="AJ597" s="277"/>
      <c r="AK597" s="277">
        <f>(10+10+15)/3</f>
        <v>11.666666666666666</v>
      </c>
      <c r="AL597" s="277"/>
      <c r="AM597" s="342">
        <f>3*T597*AK597%*1</f>
        <v>5592.65</v>
      </c>
      <c r="AN597" s="277"/>
      <c r="AO597" s="277"/>
      <c r="AP597" s="277"/>
      <c r="AQ597" s="284">
        <f t="shared" si="480"/>
        <v>17097.53</v>
      </c>
      <c r="AR597" s="277">
        <f t="shared" si="475"/>
        <v>20</v>
      </c>
      <c r="AS597" s="277">
        <f t="shared" si="481"/>
        <v>3195.7999999999997</v>
      </c>
      <c r="AT597" s="280">
        <f t="shared" si="482"/>
        <v>9587.4</v>
      </c>
      <c r="AU597" s="277"/>
      <c r="AV597" s="277">
        <v>100</v>
      </c>
      <c r="AW597" s="277">
        <f t="shared" si="483"/>
        <v>0</v>
      </c>
      <c r="AX597" s="277"/>
      <c r="AY597" s="277"/>
      <c r="AZ597" s="280"/>
      <c r="BA597" s="284">
        <f t="shared" si="484"/>
        <v>9587.4</v>
      </c>
      <c r="BB597" s="284">
        <f t="shared" si="485"/>
        <v>24873.976666666666</v>
      </c>
      <c r="BC597" s="284">
        <f t="shared" si="486"/>
        <v>74621.929999999993</v>
      </c>
      <c r="BD597" s="286">
        <f t="shared" si="487"/>
        <v>24873.976666666666</v>
      </c>
      <c r="BE597" s="286"/>
      <c r="BF597" s="241">
        <f t="shared" si="488"/>
        <v>0</v>
      </c>
      <c r="BG597" s="241">
        <f t="shared" si="489"/>
        <v>0</v>
      </c>
      <c r="BH597" s="241">
        <f t="shared" si="490"/>
        <v>0</v>
      </c>
      <c r="BI597" s="241">
        <f t="shared" si="491"/>
        <v>0</v>
      </c>
      <c r="BJ597" s="251">
        <f t="shared" si="492"/>
        <v>74621.929999999993</v>
      </c>
      <c r="BK597" s="241">
        <f t="shared" si="493"/>
        <v>0</v>
      </c>
      <c r="BL597" s="241">
        <f t="shared" si="494"/>
        <v>0</v>
      </c>
      <c r="BM597" s="241">
        <f t="shared" si="495"/>
        <v>0</v>
      </c>
    </row>
    <row r="598" spans="1:65" s="287" customFormat="1" x14ac:dyDescent="0.25">
      <c r="A598" s="276"/>
      <c r="B598" s="288" t="s">
        <v>240</v>
      </c>
      <c r="C598" s="278">
        <v>4</v>
      </c>
      <c r="D598" s="279"/>
      <c r="E598" s="279"/>
      <c r="F598" s="328"/>
      <c r="G598" s="328"/>
      <c r="H598" s="279">
        <v>1</v>
      </c>
      <c r="I598" s="328"/>
      <c r="J598" s="328"/>
      <c r="K598" s="279"/>
      <c r="L598" s="277">
        <v>5</v>
      </c>
      <c r="M598" s="280">
        <f t="shared" si="471"/>
        <v>3028</v>
      </c>
      <c r="N598" s="281">
        <f t="shared" si="472"/>
        <v>2</v>
      </c>
      <c r="O598" s="277">
        <v>1.67</v>
      </c>
      <c r="P598" s="282">
        <f t="shared" si="473"/>
        <v>1.58</v>
      </c>
      <c r="Q598" s="277"/>
      <c r="R598" s="280">
        <f t="shared" si="474"/>
        <v>174</v>
      </c>
      <c r="S598" s="280">
        <f t="shared" si="477"/>
        <v>91.833333333333329</v>
      </c>
      <c r="T598" s="425">
        <f t="shared" si="496"/>
        <v>15979</v>
      </c>
      <c r="U598" s="284">
        <f t="shared" si="478"/>
        <v>63916</v>
      </c>
      <c r="V598" s="277">
        <v>20</v>
      </c>
      <c r="W598" s="285"/>
      <c r="X598" s="285">
        <f t="shared" si="479"/>
        <v>12783.2</v>
      </c>
      <c r="Y598" s="277">
        <v>4</v>
      </c>
      <c r="Z598" s="285"/>
      <c r="AA598" s="285">
        <f>U598*Y598%</f>
        <v>2556.64</v>
      </c>
      <c r="AB598" s="277">
        <v>20</v>
      </c>
      <c r="AC598" s="277"/>
      <c r="AD598" s="340">
        <f>SUM([3]ночн.празд!L14)</f>
        <v>2277.4666666666667</v>
      </c>
      <c r="AE598" s="341">
        <v>35</v>
      </c>
      <c r="AF598" s="340"/>
      <c r="AG598" s="340">
        <f>SUM([3]ночн.празд!M14:M14)</f>
        <v>7971.1333333333323</v>
      </c>
      <c r="AH598" s="341">
        <v>200</v>
      </c>
      <c r="AI598" s="340"/>
      <c r="AJ598" s="340">
        <f>SUM([3]ночн.празд!J14:K14)</f>
        <v>6428.333333333333</v>
      </c>
      <c r="AK598" s="277">
        <f>(7+7)/2</f>
        <v>7</v>
      </c>
      <c r="AL598" s="277"/>
      <c r="AM598" s="285">
        <f>2*T598*AK598%</f>
        <v>2237.0600000000004</v>
      </c>
      <c r="AN598" s="277"/>
      <c r="AO598" s="277"/>
      <c r="AP598" s="277"/>
      <c r="AQ598" s="284">
        <f t="shared" si="480"/>
        <v>34253.833333333328</v>
      </c>
      <c r="AR598" s="277">
        <f t="shared" si="475"/>
        <v>20</v>
      </c>
      <c r="AS598" s="277">
        <f t="shared" si="481"/>
        <v>3195.8</v>
      </c>
      <c r="AT598" s="280">
        <f t="shared" si="482"/>
        <v>12783.2</v>
      </c>
      <c r="AU598" s="339">
        <v>1</v>
      </c>
      <c r="AV598" s="277">
        <v>100</v>
      </c>
      <c r="AW598" s="277">
        <f t="shared" si="483"/>
        <v>15979</v>
      </c>
      <c r="AX598" s="277"/>
      <c r="AY598" s="277"/>
      <c r="AZ598" s="280"/>
      <c r="BA598" s="284">
        <f t="shared" si="484"/>
        <v>28762.2</v>
      </c>
      <c r="BB598" s="284">
        <f t="shared" si="485"/>
        <v>31733.008333333331</v>
      </c>
      <c r="BC598" s="284">
        <f t="shared" si="486"/>
        <v>126932.03333333333</v>
      </c>
      <c r="BD598" s="286">
        <f t="shared" si="487"/>
        <v>31733.008333333331</v>
      </c>
      <c r="BE598" s="286"/>
      <c r="BF598" s="241">
        <f t="shared" si="488"/>
        <v>0</v>
      </c>
      <c r="BG598" s="241">
        <f t="shared" si="489"/>
        <v>0</v>
      </c>
      <c r="BH598" s="241">
        <f t="shared" si="490"/>
        <v>0</v>
      </c>
      <c r="BI598" s="241">
        <f t="shared" si="491"/>
        <v>0</v>
      </c>
      <c r="BJ598" s="251">
        <f t="shared" si="492"/>
        <v>126932.03333333333</v>
      </c>
      <c r="BK598" s="241">
        <f t="shared" si="493"/>
        <v>0</v>
      </c>
      <c r="BL598" s="241">
        <f t="shared" si="494"/>
        <v>0</v>
      </c>
      <c r="BM598" s="241">
        <f t="shared" si="495"/>
        <v>0</v>
      </c>
    </row>
    <row r="599" spans="1:65" s="287" customFormat="1" x14ac:dyDescent="0.25">
      <c r="A599" s="276"/>
      <c r="B599" s="288" t="s">
        <v>241</v>
      </c>
      <c r="C599" s="278">
        <v>2</v>
      </c>
      <c r="D599" s="279"/>
      <c r="E599" s="279"/>
      <c r="F599" s="328"/>
      <c r="G599" s="328"/>
      <c r="H599" s="279">
        <v>1</v>
      </c>
      <c r="I599" s="328"/>
      <c r="J599" s="328"/>
      <c r="K599" s="279"/>
      <c r="L599" s="277">
        <v>5</v>
      </c>
      <c r="M599" s="280">
        <f t="shared" si="471"/>
        <v>3028</v>
      </c>
      <c r="N599" s="281">
        <f t="shared" si="472"/>
        <v>2</v>
      </c>
      <c r="O599" s="277">
        <v>1.67</v>
      </c>
      <c r="P599" s="282">
        <f t="shared" si="473"/>
        <v>1.58</v>
      </c>
      <c r="Q599" s="277"/>
      <c r="R599" s="280">
        <f t="shared" si="474"/>
        <v>174</v>
      </c>
      <c r="S599" s="280">
        <f t="shared" si="477"/>
        <v>91.833333333333329</v>
      </c>
      <c r="T599" s="425">
        <f t="shared" si="496"/>
        <v>15979</v>
      </c>
      <c r="U599" s="284">
        <f t="shared" si="478"/>
        <v>31958</v>
      </c>
      <c r="V599" s="277">
        <v>20</v>
      </c>
      <c r="W599" s="285"/>
      <c r="X599" s="285">
        <f t="shared" si="479"/>
        <v>6391.6</v>
      </c>
      <c r="Y599" s="277">
        <v>8</v>
      </c>
      <c r="Z599" s="285"/>
      <c r="AA599" s="285">
        <f>U599*Y599%</f>
        <v>2556.64</v>
      </c>
      <c r="AB599" s="277"/>
      <c r="AC599" s="277"/>
      <c r="AD599" s="277"/>
      <c r="AE599" s="277"/>
      <c r="AF599" s="277"/>
      <c r="AG599" s="277"/>
      <c r="AH599" s="277"/>
      <c r="AI599" s="277"/>
      <c r="AJ599" s="277"/>
      <c r="AK599" s="277">
        <f>(30+10)/2</f>
        <v>20</v>
      </c>
      <c r="AL599" s="277"/>
      <c r="AM599" s="342">
        <f>2*T599*AK599%*1</f>
        <v>6391.6</v>
      </c>
      <c r="AN599" s="277"/>
      <c r="AO599" s="277"/>
      <c r="AP599" s="277"/>
      <c r="AQ599" s="284">
        <f t="shared" si="480"/>
        <v>15339.84</v>
      </c>
      <c r="AR599" s="277">
        <f t="shared" si="475"/>
        <v>20</v>
      </c>
      <c r="AS599" s="277">
        <f t="shared" si="481"/>
        <v>3195.8</v>
      </c>
      <c r="AT599" s="280">
        <f t="shared" si="482"/>
        <v>6391.6</v>
      </c>
      <c r="AU599" s="277"/>
      <c r="AV599" s="277">
        <v>100</v>
      </c>
      <c r="AW599" s="277">
        <f t="shared" si="483"/>
        <v>0</v>
      </c>
      <c r="AX599" s="277"/>
      <c r="AY599" s="277"/>
      <c r="AZ599" s="280"/>
      <c r="BA599" s="284">
        <f t="shared" si="484"/>
        <v>6391.6</v>
      </c>
      <c r="BB599" s="284">
        <f t="shared" si="485"/>
        <v>26844.720000000001</v>
      </c>
      <c r="BC599" s="284">
        <f t="shared" si="486"/>
        <v>53689.440000000002</v>
      </c>
      <c r="BD599" s="286">
        <f t="shared" si="487"/>
        <v>26844.720000000001</v>
      </c>
      <c r="BE599" s="286"/>
      <c r="BF599" s="251">
        <f t="shared" si="488"/>
        <v>0</v>
      </c>
      <c r="BG599" s="251">
        <f t="shared" si="489"/>
        <v>0</v>
      </c>
      <c r="BH599" s="251">
        <f t="shared" si="490"/>
        <v>0</v>
      </c>
      <c r="BI599" s="251">
        <f t="shared" si="491"/>
        <v>0</v>
      </c>
      <c r="BJ599" s="251">
        <f t="shared" si="492"/>
        <v>53689.440000000002</v>
      </c>
      <c r="BK599" s="251">
        <f t="shared" si="493"/>
        <v>0</v>
      </c>
      <c r="BL599" s="251">
        <f t="shared" si="494"/>
        <v>0</v>
      </c>
      <c r="BM599" s="251">
        <f t="shared" si="495"/>
        <v>0</v>
      </c>
    </row>
    <row r="600" spans="1:65" x14ac:dyDescent="0.25">
      <c r="A600" s="344"/>
      <c r="B600" s="288" t="s">
        <v>243</v>
      </c>
      <c r="C600" s="278">
        <v>1</v>
      </c>
      <c r="D600" s="279"/>
      <c r="E600" s="279"/>
      <c r="F600" s="328"/>
      <c r="G600" s="328"/>
      <c r="H600" s="279">
        <v>1</v>
      </c>
      <c r="I600" s="328"/>
      <c r="J600" s="328"/>
      <c r="K600" s="279"/>
      <c r="L600" s="277"/>
      <c r="M600" s="280">
        <f>$M$569</f>
        <v>3028</v>
      </c>
      <c r="N600" s="281">
        <f>N$244</f>
        <v>2</v>
      </c>
      <c r="O600" s="277">
        <v>1.86</v>
      </c>
      <c r="P600" s="302">
        <v>1</v>
      </c>
      <c r="Q600" s="277"/>
      <c r="R600" s="280">
        <f t="shared" si="474"/>
        <v>174</v>
      </c>
      <c r="S600" s="280">
        <f t="shared" si="477"/>
        <v>64.735632183908052</v>
      </c>
      <c r="T600" s="425">
        <f t="shared" si="496"/>
        <v>11264</v>
      </c>
      <c r="U600" s="284">
        <f t="shared" si="478"/>
        <v>11264</v>
      </c>
      <c r="V600" s="277"/>
      <c r="W600" s="285"/>
      <c r="X600" s="285">
        <f t="shared" si="479"/>
        <v>0</v>
      </c>
      <c r="Y600" s="277"/>
      <c r="Z600" s="277"/>
      <c r="AA600" s="277"/>
      <c r="AB600" s="345"/>
      <c r="AC600" s="345"/>
      <c r="AD600" s="345"/>
      <c r="AE600" s="345"/>
      <c r="AF600" s="345"/>
      <c r="AG600" s="345"/>
      <c r="AH600" s="345"/>
      <c r="AI600" s="345"/>
      <c r="AJ600" s="345"/>
      <c r="AK600" s="277"/>
      <c r="AL600" s="285"/>
      <c r="AM600" s="285">
        <f t="shared" si="497"/>
        <v>0</v>
      </c>
      <c r="AN600" s="277">
        <v>25</v>
      </c>
      <c r="AO600" s="285"/>
      <c r="AP600" s="285">
        <f>U600*AN600%</f>
        <v>2816</v>
      </c>
      <c r="AQ600" s="284">
        <f t="shared" si="480"/>
        <v>2816</v>
      </c>
      <c r="AR600" s="277">
        <f t="shared" si="475"/>
        <v>20</v>
      </c>
      <c r="AS600" s="277">
        <f t="shared" si="481"/>
        <v>2252.8000000000002</v>
      </c>
      <c r="AT600" s="280">
        <f t="shared" si="482"/>
        <v>2252.8000000000002</v>
      </c>
      <c r="AU600" s="277"/>
      <c r="AV600" s="277">
        <v>100</v>
      </c>
      <c r="AW600" s="277">
        <f t="shared" si="483"/>
        <v>0</v>
      </c>
      <c r="AX600" s="277"/>
      <c r="AY600" s="277"/>
      <c r="AZ600" s="304">
        <v>0</v>
      </c>
      <c r="BA600" s="284">
        <f t="shared" si="484"/>
        <v>2252.8000000000002</v>
      </c>
      <c r="BB600" s="284">
        <f t="shared" si="485"/>
        <v>16332.8</v>
      </c>
      <c r="BC600" s="284">
        <f t="shared" si="486"/>
        <v>16332.8</v>
      </c>
      <c r="BD600" s="286">
        <f t="shared" si="487"/>
        <v>16332.8</v>
      </c>
      <c r="BE600" s="286"/>
      <c r="BF600" s="251">
        <f t="shared" si="488"/>
        <v>0</v>
      </c>
      <c r="BG600" s="251">
        <f t="shared" si="489"/>
        <v>0</v>
      </c>
      <c r="BH600" s="251">
        <f t="shared" si="490"/>
        <v>0</v>
      </c>
      <c r="BI600" s="251">
        <f t="shared" si="491"/>
        <v>0</v>
      </c>
      <c r="BJ600" s="251">
        <f t="shared" si="492"/>
        <v>16332.8</v>
      </c>
      <c r="BK600" s="251">
        <f t="shared" si="493"/>
        <v>0</v>
      </c>
      <c r="BL600" s="251">
        <f t="shared" si="494"/>
        <v>0</v>
      </c>
      <c r="BM600" s="251">
        <f t="shared" si="495"/>
        <v>0</v>
      </c>
    </row>
    <row r="601" spans="1:65" x14ac:dyDescent="0.25">
      <c r="A601" s="344"/>
      <c r="B601" s="288" t="s">
        <v>243</v>
      </c>
      <c r="C601" s="278">
        <v>1</v>
      </c>
      <c r="D601" s="279"/>
      <c r="E601" s="279"/>
      <c r="F601" s="328"/>
      <c r="G601" s="328"/>
      <c r="H601" s="279">
        <v>1</v>
      </c>
      <c r="I601" s="328"/>
      <c r="J601" s="328"/>
      <c r="K601" s="279"/>
      <c r="L601" s="277"/>
      <c r="M601" s="280">
        <f>$M$569</f>
        <v>3028</v>
      </c>
      <c r="N601" s="281">
        <f>N$244</f>
        <v>2</v>
      </c>
      <c r="O601" s="277">
        <v>1.8</v>
      </c>
      <c r="P601" s="302">
        <v>1</v>
      </c>
      <c r="Q601" s="277"/>
      <c r="R601" s="280">
        <f t="shared" si="474"/>
        <v>174</v>
      </c>
      <c r="S601" s="280">
        <f>T601/(R601/1)</f>
        <v>62.649425287356323</v>
      </c>
      <c r="T601" s="425">
        <f>ROUND(M601*N601*O601*P601,0)</f>
        <v>10901</v>
      </c>
      <c r="U601" s="284">
        <f t="shared" si="478"/>
        <v>10901</v>
      </c>
      <c r="V601" s="277"/>
      <c r="W601" s="285"/>
      <c r="X601" s="285">
        <f>U601*V601%</f>
        <v>0</v>
      </c>
      <c r="Y601" s="277"/>
      <c r="Z601" s="277"/>
      <c r="AA601" s="277"/>
      <c r="AB601" s="345"/>
      <c r="AC601" s="345"/>
      <c r="AD601" s="345"/>
      <c r="AE601" s="345"/>
      <c r="AF601" s="345"/>
      <c r="AG601" s="345"/>
      <c r="AH601" s="345"/>
      <c r="AI601" s="345"/>
      <c r="AJ601" s="345"/>
      <c r="AK601" s="277">
        <v>7</v>
      </c>
      <c r="AL601" s="285"/>
      <c r="AM601" s="277">
        <f t="shared" si="497"/>
        <v>763.07</v>
      </c>
      <c r="AN601" s="277">
        <v>25</v>
      </c>
      <c r="AO601" s="285"/>
      <c r="AP601" s="285">
        <f>U601*AN601%</f>
        <v>2725.25</v>
      </c>
      <c r="AQ601" s="284">
        <f t="shared" si="480"/>
        <v>3488.32</v>
      </c>
      <c r="AR601" s="277">
        <f t="shared" si="475"/>
        <v>20</v>
      </c>
      <c r="AS601" s="277">
        <f t="shared" si="481"/>
        <v>2180.2000000000003</v>
      </c>
      <c r="AT601" s="280">
        <f t="shared" si="482"/>
        <v>2180.2000000000003</v>
      </c>
      <c r="AU601" s="277"/>
      <c r="AV601" s="277">
        <v>100</v>
      </c>
      <c r="AW601" s="277">
        <f t="shared" si="483"/>
        <v>0</v>
      </c>
      <c r="AX601" s="277"/>
      <c r="AY601" s="277"/>
      <c r="AZ601" s="304">
        <v>0</v>
      </c>
      <c r="BA601" s="284">
        <f>AT601+AW601+AZ601</f>
        <v>2180.2000000000003</v>
      </c>
      <c r="BB601" s="284">
        <f t="shared" si="485"/>
        <v>16569.52</v>
      </c>
      <c r="BC601" s="284">
        <f t="shared" si="486"/>
        <v>16569.52</v>
      </c>
      <c r="BD601" s="286">
        <f t="shared" si="487"/>
        <v>16569.52</v>
      </c>
      <c r="BE601" s="286"/>
      <c r="BF601" s="251">
        <f t="shared" si="488"/>
        <v>0</v>
      </c>
      <c r="BG601" s="251">
        <f t="shared" si="489"/>
        <v>0</v>
      </c>
      <c r="BH601" s="251">
        <f t="shared" si="490"/>
        <v>0</v>
      </c>
      <c r="BI601" s="251">
        <f t="shared" si="491"/>
        <v>0</v>
      </c>
      <c r="BJ601" s="251">
        <f t="shared" si="492"/>
        <v>16569.52</v>
      </c>
      <c r="BK601" s="251">
        <f t="shared" si="493"/>
        <v>0</v>
      </c>
      <c r="BL601" s="251">
        <f t="shared" si="494"/>
        <v>0</v>
      </c>
      <c r="BM601" s="251">
        <f t="shared" si="495"/>
        <v>0</v>
      </c>
    </row>
    <row r="602" spans="1:65" x14ac:dyDescent="0.25">
      <c r="A602" s="344"/>
      <c r="B602" s="288" t="s">
        <v>244</v>
      </c>
      <c r="C602" s="278">
        <v>1</v>
      </c>
      <c r="D602" s="279"/>
      <c r="E602" s="279"/>
      <c r="F602" s="328"/>
      <c r="G602" s="328"/>
      <c r="H602" s="279">
        <v>1</v>
      </c>
      <c r="I602" s="328"/>
      <c r="J602" s="328"/>
      <c r="K602" s="279"/>
      <c r="L602" s="277">
        <v>5</v>
      </c>
      <c r="M602" s="280">
        <f>$M$569</f>
        <v>3028</v>
      </c>
      <c r="N602" s="281">
        <f>N$244</f>
        <v>2</v>
      </c>
      <c r="O602" s="277">
        <v>1.67</v>
      </c>
      <c r="P602" s="282">
        <f>P$244</f>
        <v>1.58</v>
      </c>
      <c r="Q602" s="277"/>
      <c r="R602" s="280">
        <f t="shared" si="474"/>
        <v>174</v>
      </c>
      <c r="S602" s="280">
        <f t="shared" si="477"/>
        <v>91.833333333333329</v>
      </c>
      <c r="T602" s="425">
        <f t="shared" si="496"/>
        <v>15979</v>
      </c>
      <c r="U602" s="284">
        <f t="shared" si="478"/>
        <v>15979</v>
      </c>
      <c r="V602" s="277">
        <v>20</v>
      </c>
      <c r="W602" s="285"/>
      <c r="X602" s="285">
        <f t="shared" si="479"/>
        <v>3195.8</v>
      </c>
      <c r="Y602" s="277"/>
      <c r="Z602" s="277"/>
      <c r="AA602" s="277"/>
      <c r="AB602" s="345"/>
      <c r="AC602" s="345"/>
      <c r="AD602" s="345"/>
      <c r="AE602" s="345"/>
      <c r="AF602" s="345"/>
      <c r="AG602" s="345"/>
      <c r="AH602" s="345"/>
      <c r="AI602" s="345"/>
      <c r="AJ602" s="345"/>
      <c r="AK602" s="277">
        <v>15</v>
      </c>
      <c r="AL602" s="277"/>
      <c r="AM602" s="285">
        <f>T602*AK602%</f>
        <v>2396.85</v>
      </c>
      <c r="AN602" s="345"/>
      <c r="AO602" s="345"/>
      <c r="AP602" s="345"/>
      <c r="AQ602" s="284">
        <f t="shared" si="480"/>
        <v>5592.65</v>
      </c>
      <c r="AR602" s="277">
        <v>20</v>
      </c>
      <c r="AS602" s="277">
        <f t="shared" si="481"/>
        <v>3195.8</v>
      </c>
      <c r="AT602" s="280">
        <f t="shared" si="482"/>
        <v>3195.8</v>
      </c>
      <c r="AU602" s="277"/>
      <c r="AV602" s="277">
        <v>100</v>
      </c>
      <c r="AW602" s="277">
        <f t="shared" si="483"/>
        <v>0</v>
      </c>
      <c r="AX602" s="277"/>
      <c r="AY602" s="277"/>
      <c r="AZ602" s="280"/>
      <c r="BA602" s="284">
        <f t="shared" si="484"/>
        <v>3195.8</v>
      </c>
      <c r="BB602" s="284">
        <f t="shared" si="485"/>
        <v>24767.45</v>
      </c>
      <c r="BC602" s="284">
        <f t="shared" si="486"/>
        <v>24767.45</v>
      </c>
      <c r="BD602" s="286">
        <f t="shared" si="487"/>
        <v>24767.45</v>
      </c>
      <c r="BE602" s="286"/>
      <c r="BF602" s="251">
        <f t="shared" si="488"/>
        <v>0</v>
      </c>
      <c r="BG602" s="251">
        <f t="shared" si="489"/>
        <v>0</v>
      </c>
      <c r="BH602" s="251">
        <f t="shared" si="490"/>
        <v>0</v>
      </c>
      <c r="BI602" s="251">
        <f t="shared" si="491"/>
        <v>0</v>
      </c>
      <c r="BJ602" s="251">
        <f t="shared" si="492"/>
        <v>24767.45</v>
      </c>
      <c r="BK602" s="251">
        <f t="shared" si="493"/>
        <v>0</v>
      </c>
      <c r="BL602" s="251">
        <f t="shared" si="494"/>
        <v>0</v>
      </c>
      <c r="BM602" s="251">
        <f t="shared" si="495"/>
        <v>0</v>
      </c>
    </row>
    <row r="603" spans="1:65" ht="8.25" customHeight="1" x14ac:dyDescent="0.25">
      <c r="A603" s="344"/>
      <c r="B603" s="346" t="s">
        <v>245</v>
      </c>
      <c r="C603" s="345"/>
      <c r="D603" s="328"/>
      <c r="E603" s="328"/>
      <c r="F603" s="328"/>
      <c r="G603" s="328"/>
      <c r="H603" s="328"/>
      <c r="I603" s="328"/>
      <c r="J603" s="328"/>
      <c r="K603" s="328"/>
      <c r="L603" s="345"/>
      <c r="M603" s="347"/>
      <c r="N603" s="345"/>
      <c r="O603" s="345"/>
      <c r="P603" s="345"/>
      <c r="Q603" s="345"/>
      <c r="R603" s="347"/>
      <c r="S603" s="347"/>
      <c r="T603" s="345"/>
      <c r="U603" s="348"/>
      <c r="V603" s="345"/>
      <c r="W603" s="345"/>
      <c r="X603" s="345"/>
      <c r="Y603" s="345"/>
      <c r="Z603" s="345"/>
      <c r="AA603" s="345"/>
      <c r="AB603" s="345"/>
      <c r="AC603" s="345"/>
      <c r="AD603" s="345"/>
      <c r="AE603" s="345"/>
      <c r="AF603" s="345"/>
      <c r="AG603" s="345"/>
      <c r="AH603" s="345"/>
      <c r="AI603" s="345"/>
      <c r="AJ603" s="345"/>
      <c r="AK603" s="345"/>
      <c r="AL603" s="345"/>
      <c r="AM603" s="345"/>
      <c r="AN603" s="345"/>
      <c r="AO603" s="345"/>
      <c r="AP603" s="345"/>
      <c r="AQ603" s="284">
        <f t="shared" si="480"/>
        <v>0</v>
      </c>
      <c r="AR603" s="345"/>
      <c r="AS603" s="345"/>
      <c r="AT603" s="347"/>
      <c r="AU603" s="345"/>
      <c r="AV603" s="345"/>
      <c r="AW603" s="345"/>
      <c r="AX603" s="345"/>
      <c r="AY603" s="345"/>
      <c r="AZ603" s="347"/>
      <c r="BA603" s="330"/>
      <c r="BB603" s="330"/>
      <c r="BC603" s="330"/>
      <c r="BD603" s="286"/>
      <c r="BE603" s="286"/>
      <c r="BK603" s="241">
        <f t="shared" si="493"/>
        <v>0</v>
      </c>
      <c r="BL603" s="241">
        <f t="shared" si="494"/>
        <v>0</v>
      </c>
      <c r="BM603" s="241">
        <f t="shared" si="495"/>
        <v>0</v>
      </c>
    </row>
    <row r="604" spans="1:65" s="316" customFormat="1" ht="22.9" customHeight="1" x14ac:dyDescent="0.25">
      <c r="A604" s="306"/>
      <c r="B604" s="307" t="s">
        <v>229</v>
      </c>
      <c r="C604" s="308">
        <f>SUM(C595:C602)</f>
        <v>23</v>
      </c>
      <c r="D604" s="309"/>
      <c r="E604" s="309"/>
      <c r="F604" s="309"/>
      <c r="G604" s="309"/>
      <c r="H604" s="309"/>
      <c r="I604" s="309"/>
      <c r="J604" s="309"/>
      <c r="K604" s="309"/>
      <c r="L604" s="309"/>
      <c r="M604" s="310"/>
      <c r="N604" s="309"/>
      <c r="O604" s="309"/>
      <c r="P604" s="309"/>
      <c r="Q604" s="309"/>
      <c r="R604" s="310"/>
      <c r="S604" s="310"/>
      <c r="T604" s="349">
        <f>U604</f>
        <v>332468</v>
      </c>
      <c r="U604" s="329">
        <f>SUM(U595:U603)</f>
        <v>332468</v>
      </c>
      <c r="V604" s="309"/>
      <c r="W604" s="309"/>
      <c r="X604" s="329">
        <f>SUM(X595:X602)</f>
        <v>56040.080000000009</v>
      </c>
      <c r="Y604" s="329"/>
      <c r="Z604" s="329"/>
      <c r="AA604" s="329">
        <f>SUM(AA595:AA602)</f>
        <v>13051.279999999999</v>
      </c>
      <c r="AB604" s="329"/>
      <c r="AC604" s="329"/>
      <c r="AD604" s="329">
        <f>SUM(AD595:AD602)</f>
        <v>6177.9080459770121</v>
      </c>
      <c r="AE604" s="329"/>
      <c r="AF604" s="329"/>
      <c r="AG604" s="329">
        <f>SUM(AG595:AG602)</f>
        <v>21622.678160919539</v>
      </c>
      <c r="AH604" s="329"/>
      <c r="AI604" s="329"/>
      <c r="AJ604" s="329">
        <f>SUM(AJ595:AJ602)</f>
        <v>13820.298850574713</v>
      </c>
      <c r="AK604" s="329"/>
      <c r="AL604" s="329"/>
      <c r="AM604" s="329">
        <f>SUM(AM595:AM602)</f>
        <v>18339.04</v>
      </c>
      <c r="AN604" s="329"/>
      <c r="AO604" s="329"/>
      <c r="AP604" s="329">
        <f>SUM(AP595:AP602)</f>
        <v>5541.25</v>
      </c>
      <c r="AQ604" s="329">
        <f>SUM(AQ595:AQ602)</f>
        <v>134592.53505747128</v>
      </c>
      <c r="AR604" s="329"/>
      <c r="AS604" s="329">
        <f>SUM(AS595:AS602)</f>
        <v>22689.399999999998</v>
      </c>
      <c r="AT604" s="329">
        <f>SUM(AT595:AT602)</f>
        <v>66493.600000000006</v>
      </c>
      <c r="AU604" s="329">
        <f>SUM(AU595:AU602)</f>
        <v>3</v>
      </c>
      <c r="AV604" s="329"/>
      <c r="AW604" s="329">
        <f>SUM(AW595:AW602)</f>
        <v>43345</v>
      </c>
      <c r="AX604" s="329"/>
      <c r="AY604" s="329">
        <f>SUM(AY595:AY602)</f>
        <v>0</v>
      </c>
      <c r="AZ604" s="329">
        <f>SUM(AZ595:AZ602)</f>
        <v>0</v>
      </c>
      <c r="BA604" s="329">
        <f>SUM(BA595:BA602)</f>
        <v>109838.6</v>
      </c>
      <c r="BB604" s="329">
        <f>SUM(BB595:BB602)</f>
        <v>189142.51396551725</v>
      </c>
      <c r="BC604" s="329">
        <f>SUM(BC595:BC602)</f>
        <v>576899.13505747123</v>
      </c>
      <c r="BD604" s="286"/>
      <c r="BE604" s="286"/>
      <c r="BF604" s="316">
        <f t="shared" ref="BF604:BM604" si="498">SUM(BF595:BF602)</f>
        <v>0</v>
      </c>
      <c r="BG604" s="316">
        <f t="shared" si="498"/>
        <v>0</v>
      </c>
      <c r="BH604" s="316">
        <f t="shared" si="498"/>
        <v>0</v>
      </c>
      <c r="BI604" s="316">
        <f t="shared" si="498"/>
        <v>0</v>
      </c>
      <c r="BJ604" s="316">
        <f t="shared" si="498"/>
        <v>576899.13505747123</v>
      </c>
      <c r="BK604" s="316">
        <f t="shared" si="498"/>
        <v>0</v>
      </c>
      <c r="BL604" s="316">
        <f t="shared" si="498"/>
        <v>0</v>
      </c>
      <c r="BM604" s="316">
        <f t="shared" si="498"/>
        <v>0</v>
      </c>
    </row>
    <row r="605" spans="1:65" s="287" customFormat="1" ht="73.5" hidden="1" customHeight="1" x14ac:dyDescent="0.25">
      <c r="A605" s="276"/>
      <c r="B605" s="317"/>
      <c r="C605" s="350"/>
      <c r="D605" s="351"/>
      <c r="E605" s="351"/>
      <c r="F605" s="351"/>
      <c r="G605" s="351"/>
      <c r="H605" s="351"/>
      <c r="I605" s="351"/>
      <c r="J605" s="351"/>
      <c r="K605" s="351"/>
      <c r="L605" s="352"/>
      <c r="M605" s="353"/>
      <c r="N605" s="352"/>
      <c r="O605" s="352"/>
      <c r="P605" s="354"/>
      <c r="Q605" s="352"/>
      <c r="R605" s="353"/>
      <c r="S605" s="353"/>
      <c r="T605" s="355"/>
      <c r="U605" s="356"/>
      <c r="V605" s="352"/>
      <c r="W605" s="352"/>
      <c r="X605" s="356"/>
      <c r="Y605" s="356"/>
      <c r="Z605" s="356"/>
      <c r="AA605" s="356"/>
      <c r="AB605" s="356"/>
      <c r="AC605" s="356"/>
      <c r="AD605" s="356"/>
      <c r="AE605" s="356"/>
      <c r="AF605" s="356"/>
      <c r="AG605" s="356"/>
      <c r="AH605" s="356"/>
      <c r="AI605" s="356"/>
      <c r="AJ605" s="356"/>
      <c r="AK605" s="356"/>
      <c r="AL605" s="356"/>
      <c r="AM605" s="356"/>
      <c r="AN605" s="356"/>
      <c r="AO605" s="356"/>
      <c r="AP605" s="356"/>
      <c r="AQ605" s="356"/>
      <c r="AR605" s="352"/>
      <c r="AS605" s="352"/>
      <c r="AT605" s="353"/>
      <c r="AU605" s="352"/>
      <c r="AV605" s="352"/>
      <c r="AW605" s="352"/>
      <c r="AX605" s="352"/>
      <c r="AY605" s="352"/>
      <c r="AZ605" s="353"/>
      <c r="BA605" s="356"/>
      <c r="BB605" s="356"/>
      <c r="BC605" s="437"/>
      <c r="BD605" s="286"/>
      <c r="BE605" s="286"/>
    </row>
    <row r="606" spans="1:65" s="287" customFormat="1" ht="29.25" customHeight="1" x14ac:dyDescent="0.25">
      <c r="A606" s="270"/>
      <c r="B606" s="361" t="s">
        <v>246</v>
      </c>
      <c r="C606" s="335"/>
      <c r="D606" s="335"/>
      <c r="E606" s="335"/>
      <c r="F606" s="335"/>
      <c r="G606" s="335"/>
      <c r="H606" s="335"/>
      <c r="I606" s="335"/>
      <c r="J606" s="335"/>
      <c r="K606" s="335"/>
      <c r="L606" s="335"/>
      <c r="M606" s="335"/>
      <c r="N606" s="335"/>
      <c r="O606" s="335"/>
      <c r="P606" s="335"/>
      <c r="Q606" s="335"/>
      <c r="R606" s="335"/>
      <c r="S606" s="335"/>
      <c r="T606" s="335"/>
      <c r="U606" s="335"/>
      <c r="V606" s="335"/>
      <c r="W606" s="335"/>
      <c r="X606" s="335"/>
      <c r="Y606" s="335"/>
      <c r="Z606" s="335"/>
      <c r="AA606" s="335"/>
      <c r="AB606" s="335"/>
      <c r="AC606" s="335"/>
      <c r="AD606" s="335"/>
      <c r="AE606" s="335"/>
      <c r="AF606" s="335"/>
      <c r="AG606" s="335"/>
      <c r="AH606" s="335"/>
      <c r="AI606" s="335"/>
      <c r="AJ606" s="335"/>
      <c r="AK606" s="335"/>
      <c r="AL606" s="335"/>
      <c r="AM606" s="335"/>
      <c r="AN606" s="335"/>
      <c r="AO606" s="335"/>
      <c r="AP606" s="335"/>
      <c r="AQ606" s="335"/>
      <c r="AR606" s="335"/>
      <c r="AS606" s="335"/>
      <c r="AT606" s="335"/>
      <c r="AU606" s="335"/>
      <c r="AV606" s="335"/>
      <c r="AW606" s="335"/>
      <c r="AX606" s="335"/>
      <c r="AY606" s="335"/>
      <c r="AZ606" s="335"/>
      <c r="BA606" s="335"/>
      <c r="BB606" s="335"/>
      <c r="BC606" s="362"/>
      <c r="BD606" s="286"/>
      <c r="BE606" s="286"/>
      <c r="BF606" s="338" t="e">
        <f>BC613-#REF!</f>
        <v>#REF!</v>
      </c>
    </row>
    <row r="607" spans="1:65" s="275" customFormat="1" ht="18.75" customHeight="1" x14ac:dyDescent="0.25">
      <c r="A607" s="270"/>
      <c r="B607" s="361" t="s">
        <v>247</v>
      </c>
      <c r="C607" s="335"/>
      <c r="D607" s="335"/>
      <c r="E607" s="335"/>
      <c r="F607" s="335"/>
      <c r="G607" s="335"/>
      <c r="H607" s="335"/>
      <c r="I607" s="335"/>
      <c r="J607" s="335"/>
      <c r="K607" s="335"/>
      <c r="L607" s="335"/>
      <c r="M607" s="335"/>
      <c r="N607" s="335"/>
      <c r="O607" s="335"/>
      <c r="P607" s="335"/>
      <c r="Q607" s="335"/>
      <c r="R607" s="335"/>
      <c r="S607" s="335"/>
      <c r="T607" s="335"/>
      <c r="U607" s="335"/>
      <c r="V607" s="335"/>
      <c r="W607" s="335"/>
      <c r="X607" s="335"/>
      <c r="Y607" s="335"/>
      <c r="Z607" s="335"/>
      <c r="AA607" s="335"/>
      <c r="AB607" s="335"/>
      <c r="AC607" s="335"/>
      <c r="AD607" s="335"/>
      <c r="AE607" s="335"/>
      <c r="AF607" s="335"/>
      <c r="AG607" s="335"/>
      <c r="AH607" s="335"/>
      <c r="AI607" s="335"/>
      <c r="AJ607" s="335"/>
      <c r="AK607" s="335"/>
      <c r="AL607" s="335"/>
      <c r="AM607" s="335"/>
      <c r="AN607" s="335"/>
      <c r="AO607" s="335"/>
      <c r="AP607" s="335"/>
      <c r="AQ607" s="335"/>
      <c r="AR607" s="335"/>
      <c r="AS607" s="335"/>
      <c r="AT607" s="335"/>
      <c r="AU607" s="335"/>
      <c r="AV607" s="335"/>
      <c r="AW607" s="335"/>
      <c r="AX607" s="335"/>
      <c r="AY607" s="335"/>
      <c r="AZ607" s="335"/>
      <c r="BA607" s="335"/>
      <c r="BB607" s="335"/>
      <c r="BC607" s="362"/>
      <c r="BD607" s="286"/>
      <c r="BE607" s="286"/>
    </row>
    <row r="608" spans="1:65" s="287" customFormat="1" ht="25.9" customHeight="1" x14ac:dyDescent="0.25">
      <c r="A608" s="276"/>
      <c r="B608" s="277" t="s">
        <v>248</v>
      </c>
      <c r="C608" s="278">
        <f>'[4]ФОТ2014 общ (2)'!$C$61</f>
        <v>4</v>
      </c>
      <c r="D608" s="279"/>
      <c r="E608" s="279"/>
      <c r="F608" s="279"/>
      <c r="G608" s="279"/>
      <c r="H608" s="279">
        <v>1</v>
      </c>
      <c r="I608" s="279"/>
      <c r="J608" s="279"/>
      <c r="K608" s="279"/>
      <c r="L608" s="277">
        <v>3</v>
      </c>
      <c r="M608" s="280">
        <f t="shared" ref="M608:M613" si="499">$M$569</f>
        <v>3028</v>
      </c>
      <c r="N608" s="281">
        <f t="shared" ref="N608:N613" si="500">N$244</f>
        <v>2</v>
      </c>
      <c r="O608" s="277">
        <v>1.25</v>
      </c>
      <c r="P608" s="282">
        <f>P$244</f>
        <v>1.58</v>
      </c>
      <c r="Q608" s="277"/>
      <c r="R608" s="280">
        <f t="shared" ref="R608:R613" si="501">$R$565</f>
        <v>174</v>
      </c>
      <c r="S608" s="280">
        <f t="shared" ref="S608:S613" si="502">T608/(R608/1)</f>
        <v>68.741379310344826</v>
      </c>
      <c r="T608" s="425">
        <f t="shared" ref="T608:T613" si="503">ROUND(M608*N608*O608*P608,0)</f>
        <v>11961</v>
      </c>
      <c r="U608" s="284">
        <f t="shared" ref="U608:U613" si="504">T608*C608</f>
        <v>47844</v>
      </c>
      <c r="V608" s="277">
        <v>12</v>
      </c>
      <c r="W608" s="285"/>
      <c r="X608" s="285">
        <f t="shared" ref="X608:X613" si="505">U608*V608%</f>
        <v>5741.28</v>
      </c>
      <c r="Y608" s="277"/>
      <c r="Z608" s="277"/>
      <c r="AA608" s="277"/>
      <c r="AB608" s="277">
        <v>20</v>
      </c>
      <c r="AC608" s="277"/>
      <c r="AD608" s="340">
        <f>SUM([3]ночн.празд!D14)</f>
        <v>1704.7862068965519</v>
      </c>
      <c r="AE608" s="341">
        <v>35</v>
      </c>
      <c r="AF608" s="340"/>
      <c r="AG608" s="340">
        <f>SUM([3]ночн.празд!E14:E14)</f>
        <v>5966.751724137931</v>
      </c>
      <c r="AH608" s="341">
        <v>200</v>
      </c>
      <c r="AI608" s="340"/>
      <c r="AJ608" s="340">
        <f>SUM([3]ночн.празд!B14:C14)</f>
        <v>4811.8965517241377</v>
      </c>
      <c r="AK608" s="277">
        <f>(30+25+10+20)/4</f>
        <v>21.25</v>
      </c>
      <c r="AL608" s="277"/>
      <c r="AM608" s="342">
        <f>4*T608*AK608%*1</f>
        <v>10166.85</v>
      </c>
      <c r="AN608" s="277"/>
      <c r="AO608" s="277"/>
      <c r="AP608" s="285"/>
      <c r="AQ608" s="284">
        <f t="shared" ref="AQ608:AQ614" si="506">X608+AA608+AD608+AG608+AJ608+AM608+AP608</f>
        <v>28391.564482758622</v>
      </c>
      <c r="AR608" s="277">
        <f t="shared" ref="AR608:AR613" si="507">AR$29</f>
        <v>20</v>
      </c>
      <c r="AS608" s="285">
        <f t="shared" ref="AS608:AS613" si="508">AT608/C608</f>
        <v>2392.2000000000003</v>
      </c>
      <c r="AT608" s="280">
        <f t="shared" ref="AT608:AT613" si="509">(U608)*AR608%</f>
        <v>9568.8000000000011</v>
      </c>
      <c r="AU608" s="339">
        <v>1</v>
      </c>
      <c r="AV608" s="277">
        <v>100</v>
      </c>
      <c r="AW608" s="277">
        <f t="shared" ref="AW608:AW613" si="510">AU608*T608</f>
        <v>11961</v>
      </c>
      <c r="AX608" s="277"/>
      <c r="AY608" s="285"/>
      <c r="AZ608" s="280"/>
      <c r="BA608" s="284">
        <f t="shared" ref="BA608:BA613" si="511">AT608+AW608+AZ608</f>
        <v>21529.800000000003</v>
      </c>
      <c r="BB608" s="363">
        <f t="shared" ref="BB608:BB613" si="512">BC608/C608</f>
        <v>24441.341120689656</v>
      </c>
      <c r="BC608" s="284">
        <f t="shared" ref="BC608:BC613" si="513">BA608+AQ608+U608</f>
        <v>97765.364482758625</v>
      </c>
      <c r="BD608" s="286">
        <f t="shared" ref="BD608:BD613" si="514">BC608/C608</f>
        <v>24441.341120689656</v>
      </c>
      <c r="BE608" s="286"/>
    </row>
    <row r="609" spans="1:66" s="377" customFormat="1" x14ac:dyDescent="0.25">
      <c r="A609" s="375"/>
      <c r="B609" s="290" t="s">
        <v>249</v>
      </c>
      <c r="C609" s="376">
        <v>1</v>
      </c>
      <c r="D609" s="292"/>
      <c r="E609" s="292"/>
      <c r="F609" s="292"/>
      <c r="G609" s="292"/>
      <c r="H609" s="292">
        <v>1</v>
      </c>
      <c r="I609" s="292"/>
      <c r="J609" s="292"/>
      <c r="K609" s="292"/>
      <c r="L609" s="293">
        <v>4</v>
      </c>
      <c r="M609" s="294">
        <f t="shared" si="499"/>
        <v>3028</v>
      </c>
      <c r="N609" s="429">
        <f t="shared" si="500"/>
        <v>2</v>
      </c>
      <c r="O609" s="293">
        <v>1.43</v>
      </c>
      <c r="P609" s="295">
        <f>P$244</f>
        <v>1.58</v>
      </c>
      <c r="Q609" s="293"/>
      <c r="R609" s="294">
        <f t="shared" si="501"/>
        <v>174</v>
      </c>
      <c r="S609" s="294">
        <f t="shared" si="502"/>
        <v>78.637931034482762</v>
      </c>
      <c r="T609" s="291">
        <f t="shared" si="503"/>
        <v>13683</v>
      </c>
      <c r="U609" s="297">
        <f t="shared" si="504"/>
        <v>13683</v>
      </c>
      <c r="V609" s="293">
        <v>16</v>
      </c>
      <c r="W609" s="298"/>
      <c r="X609" s="298">
        <f t="shared" si="505"/>
        <v>2189.2800000000002</v>
      </c>
      <c r="Y609" s="277">
        <v>4</v>
      </c>
      <c r="Z609" s="285"/>
      <c r="AA609" s="285">
        <f>U609*Y609%</f>
        <v>547.32000000000005</v>
      </c>
      <c r="AB609" s="293"/>
      <c r="AC609" s="293"/>
      <c r="AD609" s="298"/>
      <c r="AE609" s="293"/>
      <c r="AF609" s="298"/>
      <c r="AG609" s="298"/>
      <c r="AH609" s="293"/>
      <c r="AI609" s="298"/>
      <c r="AJ609" s="298"/>
      <c r="AK609" s="293"/>
      <c r="AL609" s="293"/>
      <c r="AM609" s="293">
        <f>6*T609*AK609%</f>
        <v>0</v>
      </c>
      <c r="AN609" s="293"/>
      <c r="AO609" s="293"/>
      <c r="AP609" s="298"/>
      <c r="AQ609" s="297">
        <f>X609+AA609+AD609+AG609+AJ609+AM609+AP609</f>
        <v>2736.6000000000004</v>
      </c>
      <c r="AR609" s="293">
        <f t="shared" si="507"/>
        <v>20</v>
      </c>
      <c r="AS609" s="293">
        <f t="shared" si="508"/>
        <v>2736.6000000000004</v>
      </c>
      <c r="AT609" s="294">
        <f t="shared" si="509"/>
        <v>2736.6000000000004</v>
      </c>
      <c r="AU609" s="293"/>
      <c r="AV609" s="293">
        <v>100</v>
      </c>
      <c r="AW609" s="293">
        <f t="shared" si="510"/>
        <v>0</v>
      </c>
      <c r="AX609" s="293"/>
      <c r="AY609" s="293"/>
      <c r="AZ609" s="294"/>
      <c r="BA609" s="297">
        <f t="shared" si="511"/>
        <v>2736.6000000000004</v>
      </c>
      <c r="BB609" s="297">
        <f t="shared" si="512"/>
        <v>19156.2</v>
      </c>
      <c r="BC609" s="297">
        <f t="shared" si="513"/>
        <v>19156.2</v>
      </c>
      <c r="BD609" s="299">
        <f t="shared" si="514"/>
        <v>19156.2</v>
      </c>
      <c r="BE609" s="299"/>
    </row>
    <row r="610" spans="1:66" s="287" customFormat="1" ht="39" customHeight="1" x14ac:dyDescent="0.25">
      <c r="A610" s="276"/>
      <c r="B610" s="277" t="s">
        <v>279</v>
      </c>
      <c r="C610" s="278">
        <v>1</v>
      </c>
      <c r="D610" s="279"/>
      <c r="E610" s="279"/>
      <c r="F610" s="279"/>
      <c r="G610" s="279"/>
      <c r="H610" s="279">
        <v>1</v>
      </c>
      <c r="I610" s="279"/>
      <c r="J610" s="279"/>
      <c r="K610" s="279"/>
      <c r="L610" s="277">
        <v>5</v>
      </c>
      <c r="M610" s="280">
        <f t="shared" si="499"/>
        <v>3028</v>
      </c>
      <c r="N610" s="281">
        <f t="shared" si="500"/>
        <v>2</v>
      </c>
      <c r="O610" s="282">
        <v>1.67</v>
      </c>
      <c r="P610" s="282">
        <f>P$244</f>
        <v>1.58</v>
      </c>
      <c r="Q610" s="277"/>
      <c r="R610" s="280">
        <f t="shared" si="501"/>
        <v>174</v>
      </c>
      <c r="S610" s="280">
        <f t="shared" si="502"/>
        <v>91.833333333333329</v>
      </c>
      <c r="T610" s="425">
        <f t="shared" si="503"/>
        <v>15979</v>
      </c>
      <c r="U610" s="284">
        <f t="shared" si="504"/>
        <v>15979</v>
      </c>
      <c r="V610" s="277">
        <v>20</v>
      </c>
      <c r="W610" s="285"/>
      <c r="X610" s="285">
        <f t="shared" si="505"/>
        <v>3195.8</v>
      </c>
      <c r="Y610" s="277"/>
      <c r="Z610" s="277"/>
      <c r="AA610" s="277"/>
      <c r="AB610" s="277"/>
      <c r="AC610" s="277"/>
      <c r="AD610" s="277"/>
      <c r="AE610" s="277"/>
      <c r="AF610" s="277"/>
      <c r="AG610" s="277"/>
      <c r="AH610" s="277"/>
      <c r="AI610" s="277"/>
      <c r="AJ610" s="277"/>
      <c r="AK610" s="277">
        <v>15</v>
      </c>
      <c r="AL610" s="277"/>
      <c r="AM610" s="285">
        <f>T610*AK610%</f>
        <v>2396.85</v>
      </c>
      <c r="AN610" s="277"/>
      <c r="AO610" s="277"/>
      <c r="AP610" s="277"/>
      <c r="AQ610" s="284">
        <f t="shared" si="506"/>
        <v>5592.65</v>
      </c>
      <c r="AR610" s="277">
        <f t="shared" si="507"/>
        <v>20</v>
      </c>
      <c r="AS610" s="285">
        <f t="shared" si="508"/>
        <v>3195.8</v>
      </c>
      <c r="AT610" s="280">
        <f t="shared" si="509"/>
        <v>3195.8</v>
      </c>
      <c r="AU610" s="339"/>
      <c r="AV610" s="277">
        <v>100</v>
      </c>
      <c r="AW610" s="277">
        <f t="shared" si="510"/>
        <v>0</v>
      </c>
      <c r="AX610" s="277"/>
      <c r="AY610" s="285"/>
      <c r="AZ610" s="280"/>
      <c r="BA610" s="284">
        <f t="shared" si="511"/>
        <v>3195.8</v>
      </c>
      <c r="BB610" s="363">
        <f t="shared" si="512"/>
        <v>24767.45</v>
      </c>
      <c r="BC610" s="284">
        <f t="shared" si="513"/>
        <v>24767.45</v>
      </c>
      <c r="BD610" s="286">
        <f t="shared" si="514"/>
        <v>24767.45</v>
      </c>
      <c r="BE610" s="286"/>
    </row>
    <row r="611" spans="1:66" s="287" customFormat="1" ht="33" customHeight="1" x14ac:dyDescent="0.25">
      <c r="A611" s="276"/>
      <c r="B611" s="277" t="s">
        <v>292</v>
      </c>
      <c r="C611" s="278">
        <f>'[4]ФОТ2014 общ (2)'!$C$64</f>
        <v>1</v>
      </c>
      <c r="D611" s="279"/>
      <c r="E611" s="279"/>
      <c r="F611" s="279"/>
      <c r="G611" s="279"/>
      <c r="H611" s="279">
        <v>1</v>
      </c>
      <c r="I611" s="279"/>
      <c r="J611" s="279"/>
      <c r="K611" s="279"/>
      <c r="L611" s="277">
        <v>5</v>
      </c>
      <c r="M611" s="280">
        <f t="shared" si="499"/>
        <v>3028</v>
      </c>
      <c r="N611" s="281">
        <f t="shared" si="500"/>
        <v>2</v>
      </c>
      <c r="O611" s="282">
        <v>1.67</v>
      </c>
      <c r="P611" s="282">
        <f>P$244</f>
        <v>1.58</v>
      </c>
      <c r="Q611" s="277"/>
      <c r="R611" s="280">
        <f t="shared" si="501"/>
        <v>174</v>
      </c>
      <c r="S611" s="280">
        <f t="shared" si="502"/>
        <v>91.833333333333329</v>
      </c>
      <c r="T611" s="425">
        <f t="shared" si="503"/>
        <v>15979</v>
      </c>
      <c r="U611" s="284">
        <f t="shared" si="504"/>
        <v>15979</v>
      </c>
      <c r="V611" s="277">
        <v>20</v>
      </c>
      <c r="W611" s="285"/>
      <c r="X611" s="285">
        <f t="shared" si="505"/>
        <v>3195.8</v>
      </c>
      <c r="Y611" s="277"/>
      <c r="Z611" s="277"/>
      <c r="AA611" s="285"/>
      <c r="AB611" s="277"/>
      <c r="AC611" s="277"/>
      <c r="AD611" s="277"/>
      <c r="AE611" s="277"/>
      <c r="AF611" s="277"/>
      <c r="AG611" s="277"/>
      <c r="AH611" s="277"/>
      <c r="AI611" s="277"/>
      <c r="AJ611" s="277"/>
      <c r="AK611" s="277">
        <v>0</v>
      </c>
      <c r="AL611" s="277"/>
      <c r="AM611" s="285">
        <f>T611*AK611%</f>
        <v>0</v>
      </c>
      <c r="AN611" s="277"/>
      <c r="AO611" s="277"/>
      <c r="AP611" s="277"/>
      <c r="AQ611" s="284">
        <f t="shared" si="506"/>
        <v>3195.8</v>
      </c>
      <c r="AR611" s="277">
        <f t="shared" si="507"/>
        <v>20</v>
      </c>
      <c r="AS611" s="285">
        <f t="shared" si="508"/>
        <v>3195.8</v>
      </c>
      <c r="AT611" s="280">
        <f t="shared" si="509"/>
        <v>3195.8</v>
      </c>
      <c r="AU611" s="339">
        <v>1</v>
      </c>
      <c r="AV611" s="277">
        <v>100</v>
      </c>
      <c r="AW611" s="277">
        <f t="shared" si="510"/>
        <v>15979</v>
      </c>
      <c r="AX611" s="277"/>
      <c r="AY611" s="285"/>
      <c r="AZ611" s="280"/>
      <c r="BA611" s="284">
        <f t="shared" si="511"/>
        <v>19174.8</v>
      </c>
      <c r="BB611" s="363">
        <f t="shared" si="512"/>
        <v>38349.599999999999</v>
      </c>
      <c r="BC611" s="284">
        <f t="shared" si="513"/>
        <v>38349.599999999999</v>
      </c>
      <c r="BD611" s="286">
        <f t="shared" si="514"/>
        <v>38349.599999999999</v>
      </c>
      <c r="BE611" s="286"/>
    </row>
    <row r="612" spans="1:66" s="287" customFormat="1" ht="25.5" customHeight="1" x14ac:dyDescent="0.25">
      <c r="A612" s="276"/>
      <c r="B612" s="277" t="s">
        <v>252</v>
      </c>
      <c r="C612" s="278">
        <f>'[4]ФОТ2014 общ (2)'!$C$66</f>
        <v>1</v>
      </c>
      <c r="D612" s="279"/>
      <c r="E612" s="279"/>
      <c r="F612" s="279"/>
      <c r="G612" s="279"/>
      <c r="H612" s="279">
        <v>1</v>
      </c>
      <c r="I612" s="279"/>
      <c r="J612" s="279"/>
      <c r="K612" s="279"/>
      <c r="L612" s="277">
        <v>3</v>
      </c>
      <c r="M612" s="280">
        <f t="shared" si="499"/>
        <v>3028</v>
      </c>
      <c r="N612" s="281">
        <f t="shared" si="500"/>
        <v>2</v>
      </c>
      <c r="O612" s="277">
        <v>1.25</v>
      </c>
      <c r="P612" s="282">
        <f>P$244</f>
        <v>1.58</v>
      </c>
      <c r="Q612" s="277"/>
      <c r="R612" s="280">
        <f t="shared" si="501"/>
        <v>174</v>
      </c>
      <c r="S612" s="280">
        <f t="shared" si="502"/>
        <v>68.741379310344826</v>
      </c>
      <c r="T612" s="425">
        <f t="shared" si="503"/>
        <v>11961</v>
      </c>
      <c r="U612" s="284">
        <f t="shared" si="504"/>
        <v>11961</v>
      </c>
      <c r="V612" s="277">
        <v>12</v>
      </c>
      <c r="W612" s="285"/>
      <c r="X612" s="285">
        <f t="shared" si="505"/>
        <v>1435.32</v>
      </c>
      <c r="Y612" s="277">
        <v>4</v>
      </c>
      <c r="Z612" s="285"/>
      <c r="AA612" s="285">
        <f>U612*Y612%</f>
        <v>478.44</v>
      </c>
      <c r="AB612" s="277"/>
      <c r="AC612" s="277"/>
      <c r="AD612" s="277"/>
      <c r="AE612" s="277"/>
      <c r="AF612" s="277"/>
      <c r="AG612" s="277"/>
      <c r="AH612" s="277"/>
      <c r="AI612" s="277"/>
      <c r="AJ612" s="277"/>
      <c r="AK612" s="277"/>
      <c r="AL612" s="277"/>
      <c r="AM612" s="285">
        <f>T612*AK612%</f>
        <v>0</v>
      </c>
      <c r="AN612" s="277"/>
      <c r="AO612" s="277"/>
      <c r="AP612" s="277"/>
      <c r="AQ612" s="284">
        <f t="shared" si="506"/>
        <v>1913.76</v>
      </c>
      <c r="AR612" s="277">
        <f t="shared" si="507"/>
        <v>20</v>
      </c>
      <c r="AS612" s="285">
        <f t="shared" si="508"/>
        <v>2392.2000000000003</v>
      </c>
      <c r="AT612" s="280">
        <f t="shared" si="509"/>
        <v>2392.2000000000003</v>
      </c>
      <c r="AU612" s="277"/>
      <c r="AV612" s="277">
        <v>100</v>
      </c>
      <c r="AW612" s="277">
        <f t="shared" si="510"/>
        <v>0</v>
      </c>
      <c r="AX612" s="277"/>
      <c r="AY612" s="285"/>
      <c r="AZ612" s="280"/>
      <c r="BA612" s="284">
        <f t="shared" si="511"/>
        <v>2392.2000000000003</v>
      </c>
      <c r="BB612" s="363">
        <f t="shared" si="512"/>
        <v>16266.96</v>
      </c>
      <c r="BC612" s="284">
        <f t="shared" si="513"/>
        <v>16266.96</v>
      </c>
      <c r="BD612" s="286">
        <f t="shared" si="514"/>
        <v>16266.96</v>
      </c>
      <c r="BE612" s="286"/>
    </row>
    <row r="613" spans="1:66" s="301" customFormat="1" ht="21.75" customHeight="1" x14ac:dyDescent="0.25">
      <c r="A613" s="289"/>
      <c r="B613" s="293" t="s">
        <v>253</v>
      </c>
      <c r="C613" s="438">
        <v>2</v>
      </c>
      <c r="D613" s="292"/>
      <c r="E613" s="292"/>
      <c r="F613" s="292"/>
      <c r="G613" s="292"/>
      <c r="H613" s="292">
        <v>1</v>
      </c>
      <c r="I613" s="292"/>
      <c r="J613" s="292"/>
      <c r="K613" s="292"/>
      <c r="L613" s="439"/>
      <c r="M613" s="294">
        <f t="shared" si="499"/>
        <v>3028</v>
      </c>
      <c r="N613" s="429">
        <f t="shared" si="500"/>
        <v>2</v>
      </c>
      <c r="O613" s="440">
        <v>1.32</v>
      </c>
      <c r="P613" s="430">
        <v>1</v>
      </c>
      <c r="Q613" s="439"/>
      <c r="R613" s="294">
        <f t="shared" si="501"/>
        <v>174</v>
      </c>
      <c r="S613" s="294">
        <f t="shared" si="502"/>
        <v>45.942528735632187</v>
      </c>
      <c r="T613" s="441">
        <f t="shared" si="503"/>
        <v>7994</v>
      </c>
      <c r="U613" s="297">
        <f t="shared" si="504"/>
        <v>15988</v>
      </c>
      <c r="V613" s="439">
        <v>0</v>
      </c>
      <c r="W613" s="298"/>
      <c r="X613" s="442">
        <f t="shared" si="505"/>
        <v>0</v>
      </c>
      <c r="Y613" s="439"/>
      <c r="Z613" s="439"/>
      <c r="AA613" s="439"/>
      <c r="AB613" s="439"/>
      <c r="AC613" s="439"/>
      <c r="AD613" s="439"/>
      <c r="AE613" s="439"/>
      <c r="AF613" s="439"/>
      <c r="AG613" s="439"/>
      <c r="AH613" s="439"/>
      <c r="AI613" s="439"/>
      <c r="AJ613" s="439"/>
      <c r="AK613" s="366"/>
      <c r="AL613" s="439"/>
      <c r="AM613" s="298">
        <f>T613*AK613%</f>
        <v>0</v>
      </c>
      <c r="AN613" s="439"/>
      <c r="AO613" s="439"/>
      <c r="AP613" s="439"/>
      <c r="AQ613" s="297">
        <f t="shared" si="506"/>
        <v>0</v>
      </c>
      <c r="AR613" s="293">
        <f t="shared" si="507"/>
        <v>20</v>
      </c>
      <c r="AS613" s="298">
        <f t="shared" si="508"/>
        <v>1598.8000000000002</v>
      </c>
      <c r="AT613" s="294">
        <f t="shared" si="509"/>
        <v>3197.6000000000004</v>
      </c>
      <c r="AU613" s="293"/>
      <c r="AV613" s="293">
        <v>100</v>
      </c>
      <c r="AW613" s="293">
        <f t="shared" si="510"/>
        <v>0</v>
      </c>
      <c r="AX613" s="293"/>
      <c r="AY613" s="298"/>
      <c r="AZ613" s="431"/>
      <c r="BA613" s="297">
        <f t="shared" si="511"/>
        <v>3197.6000000000004</v>
      </c>
      <c r="BB613" s="443">
        <f t="shared" si="512"/>
        <v>9592.7999999999993</v>
      </c>
      <c r="BC613" s="297">
        <f t="shared" si="513"/>
        <v>19185.599999999999</v>
      </c>
      <c r="BD613" s="466">
        <f t="shared" si="514"/>
        <v>9592.7999999999993</v>
      </c>
      <c r="BE613" s="299"/>
    </row>
    <row r="614" spans="1:66" s="287" customFormat="1" ht="9.75" customHeight="1" x14ac:dyDescent="0.25">
      <c r="A614" s="276"/>
      <c r="B614" s="277"/>
      <c r="C614" s="425"/>
      <c r="D614" s="279"/>
      <c r="E614" s="279"/>
      <c r="F614" s="279"/>
      <c r="G614" s="279"/>
      <c r="H614" s="279"/>
      <c r="I614" s="279"/>
      <c r="J614" s="279"/>
      <c r="K614" s="279"/>
      <c r="L614" s="277"/>
      <c r="M614" s="283"/>
      <c r="N614" s="277"/>
      <c r="O614" s="277"/>
      <c r="P614" s="277"/>
      <c r="Q614" s="277"/>
      <c r="R614" s="283"/>
      <c r="S614" s="283"/>
      <c r="T614" s="425"/>
      <c r="U614" s="307"/>
      <c r="V614" s="277"/>
      <c r="W614" s="277"/>
      <c r="X614" s="277"/>
      <c r="Y614" s="277"/>
      <c r="Z614" s="277"/>
      <c r="AA614" s="277"/>
      <c r="AB614" s="277"/>
      <c r="AC614" s="277"/>
      <c r="AD614" s="277"/>
      <c r="AE614" s="277"/>
      <c r="AF614" s="277"/>
      <c r="AG614" s="277"/>
      <c r="AH614" s="277"/>
      <c r="AI614" s="277"/>
      <c r="AJ614" s="277"/>
      <c r="AK614" s="277"/>
      <c r="AL614" s="277"/>
      <c r="AM614" s="277"/>
      <c r="AN614" s="277"/>
      <c r="AO614" s="277"/>
      <c r="AP614" s="277"/>
      <c r="AQ614" s="284">
        <f t="shared" si="506"/>
        <v>0</v>
      </c>
      <c r="AR614" s="277"/>
      <c r="AS614" s="277"/>
      <c r="AT614" s="283"/>
      <c r="AU614" s="277"/>
      <c r="AV614" s="277"/>
      <c r="AW614" s="277"/>
      <c r="AX614" s="277"/>
      <c r="AY614" s="277"/>
      <c r="AZ614" s="283"/>
      <c r="BA614" s="370"/>
      <c r="BB614" s="307"/>
      <c r="BC614" s="370"/>
      <c r="BD614" s="286"/>
      <c r="BE614" s="286"/>
    </row>
    <row r="615" spans="1:66" s="316" customFormat="1" ht="14.25" x14ac:dyDescent="0.25">
      <c r="A615" s="306"/>
      <c r="B615" s="372" t="s">
        <v>229</v>
      </c>
      <c r="C615" s="308">
        <f>SUM(C608:C614)</f>
        <v>10</v>
      </c>
      <c r="D615" s="309"/>
      <c r="E615" s="309"/>
      <c r="F615" s="309"/>
      <c r="G615" s="309"/>
      <c r="H615" s="309"/>
      <c r="I615" s="309"/>
      <c r="J615" s="309"/>
      <c r="K615" s="309"/>
      <c r="L615" s="309"/>
      <c r="M615" s="310"/>
      <c r="N615" s="309"/>
      <c r="O615" s="309"/>
      <c r="P615" s="309"/>
      <c r="Q615" s="309"/>
      <c r="R615" s="310"/>
      <c r="S615" s="310"/>
      <c r="T615" s="349">
        <f>U615</f>
        <v>121434</v>
      </c>
      <c r="U615" s="329">
        <f>SUM(U608:U614)</f>
        <v>121434</v>
      </c>
      <c r="V615" s="309"/>
      <c r="W615" s="329"/>
      <c r="X615" s="329">
        <f>SUM(X608:X614)</f>
        <v>15757.48</v>
      </c>
      <c r="Y615" s="329"/>
      <c r="Z615" s="329">
        <f>SUM(Z608:Z614)</f>
        <v>0</v>
      </c>
      <c r="AA615" s="329">
        <f>SUM(AA608:AA614)</f>
        <v>1025.76</v>
      </c>
      <c r="AB615" s="329"/>
      <c r="AC615" s="329"/>
      <c r="AD615" s="329">
        <f>SUM(AD608:AD614)</f>
        <v>1704.7862068965519</v>
      </c>
      <c r="AE615" s="329"/>
      <c r="AF615" s="329">
        <f>SUM(AF608:AF614)</f>
        <v>0</v>
      </c>
      <c r="AG615" s="329">
        <f>SUM(AG608:AG614)</f>
        <v>5966.751724137931</v>
      </c>
      <c r="AH615" s="329"/>
      <c r="AI615" s="329">
        <f>SUM(AI608:AI614)</f>
        <v>0</v>
      </c>
      <c r="AJ615" s="329">
        <f>SUM(AJ608:AJ614)</f>
        <v>4811.8965517241377</v>
      </c>
      <c r="AK615" s="309"/>
      <c r="AL615" s="309">
        <f>SUM(AL608:AL614)</f>
        <v>0</v>
      </c>
      <c r="AM615" s="309">
        <f>SUM(AM608:AM614)</f>
        <v>12563.7</v>
      </c>
      <c r="AN615" s="329"/>
      <c r="AO615" s="329">
        <f>SUM(AO608:AO614)</f>
        <v>0</v>
      </c>
      <c r="AP615" s="329">
        <f>SUM(AP608:AP614)</f>
        <v>0</v>
      </c>
      <c r="AQ615" s="329">
        <f>SUM(AQ608:AQ614)</f>
        <v>41830.374482758627</v>
      </c>
      <c r="AR615" s="329"/>
      <c r="AS615" s="329">
        <f>SUM(AS608:AS614)</f>
        <v>15511.400000000001</v>
      </c>
      <c r="AT615" s="329">
        <f>SUM(AT608:AT614)</f>
        <v>24286.800000000003</v>
      </c>
      <c r="AU615" s="329">
        <f>SUM(AU608:AU614)</f>
        <v>2</v>
      </c>
      <c r="AV615" s="329"/>
      <c r="AW615" s="329">
        <f>SUM(AW608:AW614)</f>
        <v>27940</v>
      </c>
      <c r="AX615" s="329"/>
      <c r="AY615" s="329">
        <f>SUM(AY608:AY614)</f>
        <v>0</v>
      </c>
      <c r="AZ615" s="329">
        <f>SUM(AZ608:AZ614)</f>
        <v>0</v>
      </c>
      <c r="BA615" s="329">
        <f>SUM(BA608:BA614)</f>
        <v>52226.799999999996</v>
      </c>
      <c r="BB615" s="329">
        <f>BC615/C615</f>
        <v>21549.117448275862</v>
      </c>
      <c r="BC615" s="329">
        <f>SUM(BC608:BC614)</f>
        <v>215491.17448275862</v>
      </c>
      <c r="BD615" s="286">
        <f>BC615/C615</f>
        <v>21549.117448275862</v>
      </c>
      <c r="BE615" s="286"/>
      <c r="BN615" s="316" t="e">
        <f>BC615+BC622+#REF!</f>
        <v>#REF!</v>
      </c>
    </row>
    <row r="616" spans="1:66" s="374" customFormat="1" ht="22.5" customHeight="1" x14ac:dyDescent="0.25">
      <c r="A616" s="373"/>
      <c r="B616" s="361" t="s">
        <v>254</v>
      </c>
      <c r="C616" s="335"/>
      <c r="D616" s="335"/>
      <c r="E616" s="335"/>
      <c r="F616" s="335"/>
      <c r="G616" s="335"/>
      <c r="H616" s="335"/>
      <c r="I616" s="335"/>
      <c r="J616" s="335"/>
      <c r="K616" s="335"/>
      <c r="L616" s="335"/>
      <c r="M616" s="335"/>
      <c r="N616" s="335"/>
      <c r="O616" s="335"/>
      <c r="P616" s="335"/>
      <c r="Q616" s="335"/>
      <c r="R616" s="335"/>
      <c r="S616" s="335"/>
      <c r="T616" s="335"/>
      <c r="U616" s="335"/>
      <c r="V616" s="335"/>
      <c r="W616" s="335"/>
      <c r="X616" s="335"/>
      <c r="Y616" s="335"/>
      <c r="Z616" s="335"/>
      <c r="AA616" s="335"/>
      <c r="AB616" s="335"/>
      <c r="AC616" s="335"/>
      <c r="AD616" s="335"/>
      <c r="AE616" s="335"/>
      <c r="AF616" s="335"/>
      <c r="AG616" s="335"/>
      <c r="AH616" s="335"/>
      <c r="AI616" s="335"/>
      <c r="AJ616" s="335"/>
      <c r="AK616" s="335"/>
      <c r="AL616" s="335"/>
      <c r="AM616" s="335"/>
      <c r="AN616" s="335"/>
      <c r="AO616" s="335"/>
      <c r="AP616" s="335"/>
      <c r="AQ616" s="335"/>
      <c r="AR616" s="335"/>
      <c r="AS616" s="335"/>
      <c r="AT616" s="335"/>
      <c r="AU616" s="335"/>
      <c r="AV616" s="335"/>
      <c r="AW616" s="335"/>
      <c r="AX616" s="335"/>
      <c r="AY616" s="335"/>
      <c r="AZ616" s="335"/>
      <c r="BA616" s="335"/>
      <c r="BB616" s="335"/>
      <c r="BC616" s="362"/>
      <c r="BD616" s="286"/>
      <c r="BE616" s="286"/>
    </row>
    <row r="617" spans="1:66" x14ac:dyDescent="0.25">
      <c r="A617" s="344"/>
      <c r="B617" s="288" t="s">
        <v>255</v>
      </c>
      <c r="C617" s="278">
        <f>'[4]ФОТ2014 общ (2)'!$C$83</f>
        <v>9</v>
      </c>
      <c r="D617" s="279"/>
      <c r="E617" s="279"/>
      <c r="F617" s="279"/>
      <c r="G617" s="279"/>
      <c r="H617" s="279">
        <v>1</v>
      </c>
      <c r="I617" s="279"/>
      <c r="J617" s="279"/>
      <c r="K617" s="279"/>
      <c r="L617" s="277">
        <v>3</v>
      </c>
      <c r="M617" s="280">
        <f>$M$569</f>
        <v>3028</v>
      </c>
      <c r="N617" s="281">
        <f>N$244</f>
        <v>2</v>
      </c>
      <c r="O617" s="277">
        <v>1.25</v>
      </c>
      <c r="P617" s="282">
        <f>P$244</f>
        <v>1.58</v>
      </c>
      <c r="Q617" s="277"/>
      <c r="R617" s="280">
        <f>$R$565</f>
        <v>174</v>
      </c>
      <c r="S617" s="280">
        <f>T617/(R617/1)</f>
        <v>68.741379310344826</v>
      </c>
      <c r="T617" s="425">
        <f>ROUND(M617*N617*O617*P617,0)</f>
        <v>11961</v>
      </c>
      <c r="U617" s="284">
        <f>T617*C617</f>
        <v>107649</v>
      </c>
      <c r="V617" s="277">
        <v>12</v>
      </c>
      <c r="W617" s="285"/>
      <c r="X617" s="285">
        <f>U617*V617%</f>
        <v>12917.88</v>
      </c>
      <c r="Y617" s="277">
        <v>4</v>
      </c>
      <c r="Z617" s="285"/>
      <c r="AA617" s="285">
        <f>U617*Y617%</f>
        <v>4305.96</v>
      </c>
      <c r="AB617" s="277">
        <v>20</v>
      </c>
      <c r="AC617" s="277"/>
      <c r="AD617" s="340">
        <f>SUM([3]ночн.празд!P14)</f>
        <v>3409.5724137931038</v>
      </c>
      <c r="AE617" s="341">
        <v>35</v>
      </c>
      <c r="AF617" s="340"/>
      <c r="AG617" s="340">
        <f>SUM([3]ночн.празд!Q14:Q14)</f>
        <v>11933.503448275862</v>
      </c>
      <c r="AH617" s="341">
        <v>200</v>
      </c>
      <c r="AI617" s="340"/>
      <c r="AJ617" s="340">
        <f>SUM([3]ночн.празд!N14:O14)</f>
        <v>9623.7931034482754</v>
      </c>
      <c r="AK617" s="277">
        <f>(7+25+15+7+10+20+15+15+10)/9</f>
        <v>13.777777777777779</v>
      </c>
      <c r="AL617" s="277"/>
      <c r="AM617" s="277">
        <f>9*T617*AK617%</f>
        <v>14831.64</v>
      </c>
      <c r="AN617" s="277"/>
      <c r="AO617" s="277"/>
      <c r="AP617" s="285"/>
      <c r="AQ617" s="284">
        <f>X617+AA617+AD617+AG617+AJ617+AM617+AP617</f>
        <v>57022.348965517238</v>
      </c>
      <c r="AR617" s="277">
        <f>AR$29</f>
        <v>20</v>
      </c>
      <c r="AS617" s="277">
        <f>AT617/C617</f>
        <v>2392.2000000000003</v>
      </c>
      <c r="AT617" s="280">
        <f>(U617)*AR617%</f>
        <v>21529.800000000003</v>
      </c>
      <c r="AU617" s="277"/>
      <c r="AV617" s="277">
        <v>100</v>
      </c>
      <c r="AW617" s="277">
        <f>AU617*T617</f>
        <v>0</v>
      </c>
      <c r="AX617" s="277"/>
      <c r="AY617" s="277"/>
      <c r="AZ617" s="280"/>
      <c r="BA617" s="284">
        <f>AT617+AW617+AZ617</f>
        <v>21529.800000000003</v>
      </c>
      <c r="BB617" s="284">
        <f>BC617/C617</f>
        <v>20689.016551724137</v>
      </c>
      <c r="BC617" s="284">
        <f>BA617+AQ617+U617</f>
        <v>186201.14896551723</v>
      </c>
      <c r="BD617" s="286">
        <f>BC617/C617</f>
        <v>20689.016551724137</v>
      </c>
      <c r="BE617" s="286"/>
    </row>
    <row r="618" spans="1:66" s="377" customFormat="1" x14ac:dyDescent="0.25">
      <c r="A618" s="375"/>
      <c r="B618" s="290" t="s">
        <v>249</v>
      </c>
      <c r="C618" s="376">
        <v>1</v>
      </c>
      <c r="D618" s="292"/>
      <c r="E618" s="292"/>
      <c r="F618" s="292"/>
      <c r="G618" s="292"/>
      <c r="H618" s="292">
        <v>1</v>
      </c>
      <c r="I618" s="292"/>
      <c r="J618" s="292"/>
      <c r="K618" s="292"/>
      <c r="L618" s="293">
        <v>4</v>
      </c>
      <c r="M618" s="294">
        <f>$M$569</f>
        <v>3028</v>
      </c>
      <c r="N618" s="429">
        <f>N$244</f>
        <v>2</v>
      </c>
      <c r="O618" s="293">
        <v>1.43</v>
      </c>
      <c r="P618" s="295">
        <f>P$244</f>
        <v>1.58</v>
      </c>
      <c r="Q618" s="293"/>
      <c r="R618" s="294">
        <f>$R$565</f>
        <v>174</v>
      </c>
      <c r="S618" s="294">
        <f>T618/(R618/1)</f>
        <v>78.637931034482762</v>
      </c>
      <c r="T618" s="291">
        <f>ROUND(M618*N618*O618*P618,0)</f>
        <v>13683</v>
      </c>
      <c r="U618" s="297">
        <f>T618*C618</f>
        <v>13683</v>
      </c>
      <c r="V618" s="293">
        <v>16</v>
      </c>
      <c r="W618" s="298"/>
      <c r="X618" s="298">
        <f>U618*V618%</f>
        <v>2189.2800000000002</v>
      </c>
      <c r="Y618" s="277">
        <v>4</v>
      </c>
      <c r="Z618" s="285"/>
      <c r="AA618" s="285">
        <f>U618*Y618%</f>
        <v>547.32000000000005</v>
      </c>
      <c r="AB618" s="293"/>
      <c r="AC618" s="293"/>
      <c r="AD618" s="298"/>
      <c r="AE618" s="293"/>
      <c r="AF618" s="298"/>
      <c r="AG618" s="298"/>
      <c r="AH618" s="293"/>
      <c r="AI618" s="298"/>
      <c r="AJ618" s="298"/>
      <c r="AK618" s="293"/>
      <c r="AL618" s="293"/>
      <c r="AM618" s="293">
        <f>6*T618*AK618%</f>
        <v>0</v>
      </c>
      <c r="AN618" s="293"/>
      <c r="AO618" s="293"/>
      <c r="AP618" s="298"/>
      <c r="AQ618" s="297">
        <f>X618+AA618+AD618+AG618+AJ618+AM618+AP618</f>
        <v>2736.6000000000004</v>
      </c>
      <c r="AR618" s="293">
        <f>AR$29</f>
        <v>20</v>
      </c>
      <c r="AS618" s="293">
        <f>AT618/C618</f>
        <v>2736.6000000000004</v>
      </c>
      <c r="AT618" s="294">
        <f>(U618)*AR618%</f>
        <v>2736.6000000000004</v>
      </c>
      <c r="AU618" s="293"/>
      <c r="AV618" s="293">
        <v>100</v>
      </c>
      <c r="AW618" s="293">
        <f>AU618*T618</f>
        <v>0</v>
      </c>
      <c r="AX618" s="293"/>
      <c r="AY618" s="293"/>
      <c r="AZ618" s="294"/>
      <c r="BA618" s="297">
        <f>AT618+AW618+AZ618</f>
        <v>2736.6000000000004</v>
      </c>
      <c r="BB618" s="297">
        <f>BC618/C618</f>
        <v>19156.2</v>
      </c>
      <c r="BC618" s="297">
        <f>BA618+AQ618+U618</f>
        <v>19156.2</v>
      </c>
      <c r="BD618" s="299">
        <f>BC618/C618</f>
        <v>19156.2</v>
      </c>
      <c r="BE618" s="299"/>
    </row>
    <row r="619" spans="1:66" ht="31.5" customHeight="1" x14ac:dyDescent="0.25">
      <c r="A619" s="344"/>
      <c r="B619" s="277" t="s">
        <v>292</v>
      </c>
      <c r="C619" s="278">
        <v>1</v>
      </c>
      <c r="D619" s="279"/>
      <c r="E619" s="279"/>
      <c r="F619" s="279"/>
      <c r="G619" s="279"/>
      <c r="H619" s="279"/>
      <c r="I619" s="279">
        <v>1</v>
      </c>
      <c r="J619" s="279"/>
      <c r="K619" s="279"/>
      <c r="L619" s="277">
        <v>4</v>
      </c>
      <c r="M619" s="280">
        <f>$M$569</f>
        <v>3028</v>
      </c>
      <c r="N619" s="281">
        <f>N$244</f>
        <v>2</v>
      </c>
      <c r="O619" s="277">
        <v>1.43</v>
      </c>
      <c r="P619" s="282">
        <f>P$244</f>
        <v>1.58</v>
      </c>
      <c r="Q619" s="277"/>
      <c r="R619" s="280">
        <f>$R$565</f>
        <v>174</v>
      </c>
      <c r="S619" s="280">
        <f>T619/(R619/1)</f>
        <v>78.637931034482762</v>
      </c>
      <c r="T619" s="425">
        <f>ROUND(M619*N619*O619*P619,0)</f>
        <v>13683</v>
      </c>
      <c r="U619" s="284">
        <f>T619*C619</f>
        <v>13683</v>
      </c>
      <c r="V619" s="277">
        <v>16</v>
      </c>
      <c r="W619" s="285"/>
      <c r="X619" s="285">
        <f>U619*V619%</f>
        <v>2189.2800000000002</v>
      </c>
      <c r="Y619" s="277"/>
      <c r="Z619" s="277"/>
      <c r="AA619" s="277"/>
      <c r="AB619" s="277"/>
      <c r="AC619" s="277"/>
      <c r="AD619" s="277"/>
      <c r="AE619" s="277"/>
      <c r="AF619" s="277"/>
      <c r="AG619" s="277"/>
      <c r="AH619" s="277"/>
      <c r="AI619" s="277"/>
      <c r="AJ619" s="277"/>
      <c r="AK619" s="277"/>
      <c r="AL619" s="277"/>
      <c r="AM619" s="277">
        <f>T619*AK619%</f>
        <v>0</v>
      </c>
      <c r="AN619" s="277"/>
      <c r="AO619" s="277"/>
      <c r="AP619" s="277"/>
      <c r="AQ619" s="284">
        <f>X619+AA619+AD619+AG619+AJ619+AM619+AP619</f>
        <v>2189.2800000000002</v>
      </c>
      <c r="AR619" s="277">
        <f>AR$29</f>
        <v>20</v>
      </c>
      <c r="AS619" s="285">
        <f>AT619/C619</f>
        <v>2736.6000000000004</v>
      </c>
      <c r="AT619" s="280">
        <f>(U619)*AR619%</f>
        <v>2736.6000000000004</v>
      </c>
      <c r="AU619" s="339"/>
      <c r="AV619" s="277">
        <v>100</v>
      </c>
      <c r="AW619" s="277">
        <f>AU619*T619</f>
        <v>0</v>
      </c>
      <c r="AX619" s="277"/>
      <c r="AY619" s="285"/>
      <c r="AZ619" s="280"/>
      <c r="BA619" s="284">
        <f>AT619+AW619+AZ619</f>
        <v>2736.6000000000004</v>
      </c>
      <c r="BB619" s="284">
        <f>BC619/C619</f>
        <v>18608.88</v>
      </c>
      <c r="BC619" s="284">
        <f>BA619+AQ619+U619</f>
        <v>18608.88</v>
      </c>
      <c r="BD619" s="286">
        <f>BC619/C619</f>
        <v>18608.88</v>
      </c>
      <c r="BE619" s="286"/>
      <c r="BF619" s="241">
        <f>IF(D619=1,BC619,0)</f>
        <v>0</v>
      </c>
      <c r="BG619" s="241">
        <f>IF(E619=1,BC619,0)</f>
        <v>0</v>
      </c>
      <c r="BH619" s="251">
        <f>IF(F619=1,BC619,0)</f>
        <v>0</v>
      </c>
      <c r="BI619" s="241">
        <f>IF(G619=1,BC619,0)</f>
        <v>0</v>
      </c>
      <c r="BJ619" s="251">
        <f>IF(H619=1,BC619,0)</f>
        <v>0</v>
      </c>
      <c r="BK619" s="251">
        <f>IF(I619=1,BC619,0)</f>
        <v>18608.88</v>
      </c>
      <c r="BL619" s="251">
        <f>IF(J619=1,BC619,0)</f>
        <v>0</v>
      </c>
      <c r="BM619" s="241">
        <f>IF(K619=1,BC619,0)</f>
        <v>0</v>
      </c>
    </row>
    <row r="620" spans="1:66" ht="28.5" x14ac:dyDescent="0.25">
      <c r="A620" s="344"/>
      <c r="B620" s="288" t="s">
        <v>256</v>
      </c>
      <c r="C620" s="278">
        <v>1</v>
      </c>
      <c r="D620" s="279"/>
      <c r="E620" s="279"/>
      <c r="F620" s="279"/>
      <c r="G620" s="279"/>
      <c r="H620" s="279">
        <v>1</v>
      </c>
      <c r="I620" s="279"/>
      <c r="J620" s="279"/>
      <c r="K620" s="279"/>
      <c r="L620" s="277">
        <v>5</v>
      </c>
      <c r="M620" s="280">
        <f>$M$569</f>
        <v>3028</v>
      </c>
      <c r="N620" s="281">
        <f>N$244</f>
        <v>2</v>
      </c>
      <c r="O620" s="277">
        <v>1.67</v>
      </c>
      <c r="P620" s="282">
        <f>P$244</f>
        <v>1.58</v>
      </c>
      <c r="Q620" s="277"/>
      <c r="R620" s="280">
        <f>$R$565</f>
        <v>174</v>
      </c>
      <c r="S620" s="280">
        <f>T620/(R620/1)</f>
        <v>91.833333333333329</v>
      </c>
      <c r="T620" s="425">
        <f>ROUND(M620*N620*O620*P620,0)</f>
        <v>15979</v>
      </c>
      <c r="U620" s="284">
        <f>T620*C620</f>
        <v>15979</v>
      </c>
      <c r="V620" s="277">
        <v>20</v>
      </c>
      <c r="W620" s="285"/>
      <c r="X620" s="285">
        <f>U620*V620%</f>
        <v>3195.8</v>
      </c>
      <c r="Y620" s="277"/>
      <c r="Z620" s="277"/>
      <c r="AA620" s="277"/>
      <c r="AB620" s="277"/>
      <c r="AC620" s="277"/>
      <c r="AD620" s="285"/>
      <c r="AE620" s="277"/>
      <c r="AF620" s="277"/>
      <c r="AG620" s="285"/>
      <c r="AH620" s="277"/>
      <c r="AI620" s="277"/>
      <c r="AJ620" s="285"/>
      <c r="AK620" s="277">
        <v>7</v>
      </c>
      <c r="AL620" s="277"/>
      <c r="AM620" s="277">
        <f>T620*AK620%</f>
        <v>1118.5300000000002</v>
      </c>
      <c r="AN620" s="277"/>
      <c r="AO620" s="277"/>
      <c r="AP620" s="285"/>
      <c r="AQ620" s="284">
        <f>X620+AA620+AD620+AG620+AJ620+AM620+AP620</f>
        <v>4314.33</v>
      </c>
      <c r="AR620" s="277">
        <f>AR$29</f>
        <v>20</v>
      </c>
      <c r="AS620" s="277">
        <f>AT620/C620</f>
        <v>3195.8</v>
      </c>
      <c r="AT620" s="280">
        <f>(U620)*AR620%</f>
        <v>3195.8</v>
      </c>
      <c r="AU620" s="277"/>
      <c r="AV620" s="277">
        <v>100</v>
      </c>
      <c r="AW620" s="277">
        <f>AU620*T620</f>
        <v>0</v>
      </c>
      <c r="AX620" s="277"/>
      <c r="AY620" s="277"/>
      <c r="AZ620" s="280"/>
      <c r="BA620" s="284">
        <f>AT620+AW620+AZ620</f>
        <v>3195.8</v>
      </c>
      <c r="BB620" s="284">
        <f>BC620/C620</f>
        <v>23489.13</v>
      </c>
      <c r="BC620" s="284">
        <f>BA620+AQ620+U620</f>
        <v>23489.13</v>
      </c>
      <c r="BD620" s="286">
        <f>BC620/C620</f>
        <v>23489.13</v>
      </c>
      <c r="BE620" s="286"/>
    </row>
    <row r="621" spans="1:66" s="287" customFormat="1" ht="6" customHeight="1" x14ac:dyDescent="0.25">
      <c r="A621" s="276"/>
      <c r="B621" s="277"/>
      <c r="C621" s="425"/>
      <c r="D621" s="279"/>
      <c r="E621" s="279"/>
      <c r="F621" s="279"/>
      <c r="G621" s="279"/>
      <c r="H621" s="279"/>
      <c r="I621" s="279"/>
      <c r="J621" s="279"/>
      <c r="K621" s="279"/>
      <c r="L621" s="277"/>
      <c r="M621" s="283"/>
      <c r="N621" s="277"/>
      <c r="O621" s="277"/>
      <c r="P621" s="277"/>
      <c r="Q621" s="277"/>
      <c r="R621" s="283"/>
      <c r="S621" s="283"/>
      <c r="T621" s="425"/>
      <c r="U621" s="284"/>
      <c r="V621" s="277"/>
      <c r="W621" s="277"/>
      <c r="X621" s="277"/>
      <c r="Y621" s="277"/>
      <c r="Z621" s="277"/>
      <c r="AA621" s="277"/>
      <c r="AB621" s="277"/>
      <c r="AC621" s="277"/>
      <c r="AD621" s="277"/>
      <c r="AE621" s="277"/>
      <c r="AF621" s="277"/>
      <c r="AG621" s="277"/>
      <c r="AH621" s="277"/>
      <c r="AI621" s="277"/>
      <c r="AJ621" s="277"/>
      <c r="AK621" s="277"/>
      <c r="AL621" s="277"/>
      <c r="AM621" s="277"/>
      <c r="AN621" s="277"/>
      <c r="AO621" s="277"/>
      <c r="AP621" s="277"/>
      <c r="AQ621" s="284">
        <f>X621+AA621+AD621+AG621+AJ621+AM621+AP621</f>
        <v>0</v>
      </c>
      <c r="AR621" s="277"/>
      <c r="AS621" s="277"/>
      <c r="AT621" s="280"/>
      <c r="AU621" s="277"/>
      <c r="AV621" s="277"/>
      <c r="AW621" s="277"/>
      <c r="AX621" s="277"/>
      <c r="AY621" s="277"/>
      <c r="AZ621" s="280"/>
      <c r="BA621" s="284"/>
      <c r="BB621" s="284"/>
      <c r="BC621" s="284"/>
      <c r="BD621" s="286"/>
      <c r="BE621" s="286"/>
    </row>
    <row r="622" spans="1:66" s="316" customFormat="1" ht="20.25" customHeight="1" x14ac:dyDescent="0.25">
      <c r="A622" s="306"/>
      <c r="B622" s="372" t="s">
        <v>229</v>
      </c>
      <c r="C622" s="329">
        <f>SUM(C617:C621)</f>
        <v>12</v>
      </c>
      <c r="D622" s="309"/>
      <c r="E622" s="309"/>
      <c r="F622" s="309"/>
      <c r="G622" s="309"/>
      <c r="H622" s="309"/>
      <c r="I622" s="309"/>
      <c r="J622" s="309"/>
      <c r="K622" s="309"/>
      <c r="L622" s="309"/>
      <c r="M622" s="310"/>
      <c r="N622" s="309"/>
      <c r="O622" s="309"/>
      <c r="P622" s="309"/>
      <c r="Q622" s="309"/>
      <c r="R622" s="310"/>
      <c r="S622" s="310"/>
      <c r="T622" s="349">
        <f>U622</f>
        <v>150994</v>
      </c>
      <c r="U622" s="329">
        <f>SUM(U617:U621)</f>
        <v>150994</v>
      </c>
      <c r="V622" s="309"/>
      <c r="W622" s="329"/>
      <c r="X622" s="329">
        <f>SUM(X617:X621)</f>
        <v>20492.239999999998</v>
      </c>
      <c r="Y622" s="329"/>
      <c r="Z622" s="329"/>
      <c r="AA622" s="329">
        <f>SUM(AA617:AA621)</f>
        <v>4853.28</v>
      </c>
      <c r="AB622" s="329"/>
      <c r="AC622" s="329"/>
      <c r="AD622" s="329">
        <f>SUM(AD617:AD621)</f>
        <v>3409.5724137931038</v>
      </c>
      <c r="AE622" s="329"/>
      <c r="AF622" s="329"/>
      <c r="AG622" s="329">
        <f>SUM(AG617:AG621)</f>
        <v>11933.503448275862</v>
      </c>
      <c r="AH622" s="329"/>
      <c r="AI622" s="329"/>
      <c r="AJ622" s="329">
        <f>SUM(AJ617:AJ621)</f>
        <v>9623.7931034482754</v>
      </c>
      <c r="AK622" s="309"/>
      <c r="AL622" s="309"/>
      <c r="AM622" s="309">
        <f>SUM(AM617:AM621)</f>
        <v>15950.17</v>
      </c>
      <c r="AN622" s="329"/>
      <c r="AO622" s="329"/>
      <c r="AP622" s="329">
        <f>SUM(AP617:AP621)</f>
        <v>0</v>
      </c>
      <c r="AQ622" s="329">
        <f>SUM(AQ617:AQ621)</f>
        <v>66262.558965517237</v>
      </c>
      <c r="AR622" s="329"/>
      <c r="AS622" s="329">
        <f>SUM(AS617:AS621)</f>
        <v>11061.2</v>
      </c>
      <c r="AT622" s="329">
        <f>SUM(AT617:AT621)</f>
        <v>30198.799999999999</v>
      </c>
      <c r="AU622" s="329">
        <f>SUM(AU617:AU621)</f>
        <v>0</v>
      </c>
      <c r="AV622" s="329"/>
      <c r="AW622" s="329">
        <f>SUM(AW617:AW621)</f>
        <v>0</v>
      </c>
      <c r="AX622" s="329"/>
      <c r="AY622" s="329">
        <f>SUM(AY617:AY621)</f>
        <v>0</v>
      </c>
      <c r="AZ622" s="329">
        <f>SUM(AZ617:AZ621)</f>
        <v>0</v>
      </c>
      <c r="BA622" s="329">
        <f>SUM(BA617:BA621)</f>
        <v>30198.799999999999</v>
      </c>
      <c r="BB622" s="329">
        <f>BC622/C622</f>
        <v>20621.279913793103</v>
      </c>
      <c r="BC622" s="329">
        <f>SUM(BC617:BC621)</f>
        <v>247455.35896551725</v>
      </c>
      <c r="BD622" s="286">
        <f>BC622/C622</f>
        <v>20621.279913793103</v>
      </c>
      <c r="BE622" s="286"/>
    </row>
    <row r="623" spans="1:66" s="316" customFormat="1" ht="42.75" x14ac:dyDescent="0.25">
      <c r="A623" s="306"/>
      <c r="B623" s="307" t="s">
        <v>257</v>
      </c>
      <c r="C623" s="329">
        <f>C593+C604+C615+C622</f>
        <v>51</v>
      </c>
      <c r="D623" s="309"/>
      <c r="E623" s="309"/>
      <c r="F623" s="309"/>
      <c r="G623" s="309"/>
      <c r="H623" s="309"/>
      <c r="I623" s="309"/>
      <c r="J623" s="309"/>
      <c r="K623" s="309"/>
      <c r="L623" s="309"/>
      <c r="M623" s="310"/>
      <c r="N623" s="309"/>
      <c r="O623" s="309"/>
      <c r="P623" s="309"/>
      <c r="Q623" s="309"/>
      <c r="R623" s="310"/>
      <c r="S623" s="310"/>
      <c r="T623" s="349">
        <f>U623</f>
        <v>717804</v>
      </c>
      <c r="U623" s="329">
        <f>U593+U604+U615+U622</f>
        <v>717804</v>
      </c>
      <c r="V623" s="309"/>
      <c r="W623" s="329"/>
      <c r="X623" s="329">
        <f>X593+X604+X615+X622</f>
        <v>113819</v>
      </c>
      <c r="Y623" s="329"/>
      <c r="Z623" s="329">
        <f>Z593+Z604+Z615+Z622</f>
        <v>0</v>
      </c>
      <c r="AA623" s="329">
        <f>AA593+AA604+AA615+AA622</f>
        <v>18930.32</v>
      </c>
      <c r="AB623" s="329"/>
      <c r="AC623" s="329"/>
      <c r="AD623" s="329">
        <f>AD593+AD604+AD615+AD622</f>
        <v>11292.266666666666</v>
      </c>
      <c r="AE623" s="329"/>
      <c r="AF623" s="329">
        <f>AF593+AF604+AF615+AF622</f>
        <v>0</v>
      </c>
      <c r="AG623" s="329">
        <f>AG593+AG604+AG615+AG622</f>
        <v>39522.933333333334</v>
      </c>
      <c r="AH623" s="329"/>
      <c r="AI623" s="329">
        <f>AI593+AI604+AI615+AI622</f>
        <v>0</v>
      </c>
      <c r="AJ623" s="329">
        <f>AJ593+AJ604+AJ615+AJ622</f>
        <v>28255.988505747126</v>
      </c>
      <c r="AK623" s="329"/>
      <c r="AL623" s="329">
        <f>AL593+AL604+AL615+AL622</f>
        <v>0</v>
      </c>
      <c r="AM623" s="329">
        <f>AM593+AM604+AM615+AM622</f>
        <v>54220.639999999999</v>
      </c>
      <c r="AN623" s="329"/>
      <c r="AO623" s="329">
        <f>AO593+AO604+AO615+AO622</f>
        <v>0</v>
      </c>
      <c r="AP623" s="329">
        <f>AP593+AP604+AP615+AP622</f>
        <v>5541.25</v>
      </c>
      <c r="AQ623" s="329">
        <f>AQ593+AQ604+AQ615+AQ622</f>
        <v>271582.39850574714</v>
      </c>
      <c r="AR623" s="329"/>
      <c r="AS623" s="329">
        <f>AS593+AS604+AS615+AS622</f>
        <v>71843.600000000006</v>
      </c>
      <c r="AT623" s="329">
        <f>AT593+AT604+AT615+AT622</f>
        <v>143560.80000000002</v>
      </c>
      <c r="AU623" s="329">
        <f>AU593+AU604+AU615+AU622</f>
        <v>5</v>
      </c>
      <c r="AV623" s="329"/>
      <c r="AW623" s="329">
        <f>AW593+AW604+AW615+AW622</f>
        <v>71285</v>
      </c>
      <c r="AX623" s="329"/>
      <c r="AY623" s="329">
        <f>AY593+AY604+AY615+AY622</f>
        <v>-408.56400000000031</v>
      </c>
      <c r="AZ623" s="329">
        <f>AZ593+AZ604+AZ615+AZ622</f>
        <v>0</v>
      </c>
      <c r="BA623" s="329">
        <f>BA593+BA604+BA615+BA622</f>
        <v>214845.8</v>
      </c>
      <c r="BB623" s="329">
        <f>BB593+BB604+BB615+BB622</f>
        <v>395699.44132758619</v>
      </c>
      <c r="BC623" s="329">
        <f>BC593+BC604+BC615+BC622</f>
        <v>1204232.1985057471</v>
      </c>
      <c r="BD623" s="286">
        <f>BC623/C623</f>
        <v>23612.396049132298</v>
      </c>
      <c r="BE623" s="286"/>
      <c r="BF623" s="379">
        <f t="shared" ref="BF623:BM623" si="515">BF593+BF615+BF622</f>
        <v>0</v>
      </c>
      <c r="BG623" s="379">
        <f t="shared" si="515"/>
        <v>0</v>
      </c>
      <c r="BH623" s="379">
        <f t="shared" si="515"/>
        <v>0</v>
      </c>
      <c r="BI623" s="379">
        <f t="shared" si="515"/>
        <v>0</v>
      </c>
      <c r="BJ623" s="379">
        <f t="shared" si="515"/>
        <v>60004.56</v>
      </c>
      <c r="BK623" s="379">
        <f t="shared" si="515"/>
        <v>0</v>
      </c>
      <c r="BL623" s="379">
        <f t="shared" si="515"/>
        <v>0</v>
      </c>
      <c r="BM623" s="379">
        <f t="shared" si="515"/>
        <v>0</v>
      </c>
    </row>
    <row r="624" spans="1:66" s="287" customFormat="1" ht="27" customHeight="1" x14ac:dyDescent="0.25">
      <c r="A624" s="380"/>
      <c r="B624" s="274"/>
      <c r="C624" s="381"/>
      <c r="M624" s="382"/>
      <c r="R624" s="382"/>
      <c r="S624" s="382"/>
      <c r="T624" s="323"/>
      <c r="U624" s="323"/>
      <c r="X624" s="323"/>
      <c r="Y624" s="323"/>
      <c r="Z624" s="323"/>
      <c r="AA624" s="323"/>
      <c r="AB624" s="323"/>
      <c r="AC624" s="323"/>
      <c r="AD624" s="323"/>
      <c r="AE624" s="323"/>
      <c r="AF624" s="323"/>
      <c r="AG624" s="323"/>
      <c r="AH624" s="323"/>
      <c r="AI624" s="323"/>
      <c r="AJ624" s="323"/>
      <c r="AK624" s="323"/>
      <c r="AL624" s="323"/>
      <c r="AM624" s="323"/>
      <c r="AN624" s="323"/>
      <c r="AO624" s="323"/>
      <c r="AP624" s="323"/>
      <c r="AQ624" s="323"/>
      <c r="AT624" s="382"/>
      <c r="AZ624" s="382"/>
      <c r="BA624" s="323"/>
      <c r="BB624" s="323"/>
      <c r="BC624" s="323"/>
      <c r="BD624" s="286"/>
      <c r="BE624" s="286"/>
    </row>
    <row r="625" spans="1:65" s="275" customFormat="1" ht="26.45" customHeight="1" x14ac:dyDescent="0.25">
      <c r="A625" s="270" t="s">
        <v>258</v>
      </c>
      <c r="B625" s="271" t="s">
        <v>99</v>
      </c>
      <c r="C625" s="272"/>
      <c r="D625" s="272"/>
      <c r="E625" s="272"/>
      <c r="F625" s="272"/>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272"/>
      <c r="AC625" s="272"/>
      <c r="AD625" s="272"/>
      <c r="AE625" s="272"/>
      <c r="AF625" s="272"/>
      <c r="AG625" s="272"/>
      <c r="AH625" s="272"/>
      <c r="AI625" s="272"/>
      <c r="AJ625" s="272"/>
      <c r="AK625" s="272"/>
      <c r="AL625" s="272"/>
      <c r="AM625" s="272"/>
      <c r="AN625" s="272"/>
      <c r="AO625" s="272"/>
      <c r="AP625" s="272"/>
      <c r="AQ625" s="272"/>
      <c r="AR625" s="272"/>
      <c r="AS625" s="272"/>
      <c r="AT625" s="272"/>
      <c r="AU625" s="272"/>
      <c r="AV625" s="272"/>
      <c r="AW625" s="272"/>
      <c r="AX625" s="272"/>
      <c r="AY625" s="272"/>
      <c r="AZ625" s="272"/>
      <c r="BA625" s="272"/>
      <c r="BB625" s="272"/>
      <c r="BC625" s="273"/>
      <c r="BD625" s="286"/>
      <c r="BE625" s="286"/>
    </row>
    <row r="626" spans="1:65" s="388" customFormat="1" ht="22.15" customHeight="1" x14ac:dyDescent="0.25">
      <c r="A626" s="383"/>
      <c r="B626" s="384" t="s">
        <v>259</v>
      </c>
      <c r="C626" s="385"/>
      <c r="D626" s="384"/>
      <c r="E626" s="384"/>
      <c r="F626" s="384"/>
      <c r="G626" s="384"/>
      <c r="H626" s="384"/>
      <c r="I626" s="384"/>
      <c r="J626" s="384"/>
      <c r="K626" s="384"/>
      <c r="L626" s="384"/>
      <c r="M626" s="386"/>
      <c r="N626" s="384"/>
      <c r="O626" s="384"/>
      <c r="P626" s="384"/>
      <c r="Q626" s="384"/>
      <c r="R626" s="386"/>
      <c r="S626" s="386"/>
      <c r="T626" s="385"/>
      <c r="U626" s="384"/>
      <c r="V626" s="384"/>
      <c r="W626" s="384"/>
      <c r="X626" s="384"/>
      <c r="Y626" s="384"/>
      <c r="Z626" s="384"/>
      <c r="AA626" s="384"/>
      <c r="AB626" s="384"/>
      <c r="AC626" s="384"/>
      <c r="AD626" s="384"/>
      <c r="AE626" s="384"/>
      <c r="AF626" s="384"/>
      <c r="AG626" s="384"/>
      <c r="AH626" s="384"/>
      <c r="AI626" s="384"/>
      <c r="AJ626" s="384"/>
      <c r="AK626" s="384"/>
      <c r="AL626" s="384"/>
      <c r="AM626" s="384"/>
      <c r="AN626" s="384"/>
      <c r="AO626" s="384"/>
      <c r="AP626" s="384"/>
      <c r="AQ626" s="387"/>
      <c r="AR626" s="384"/>
      <c r="AS626" s="384"/>
      <c r="AT626" s="386"/>
      <c r="AU626" s="384"/>
      <c r="AV626" s="384"/>
      <c r="AW626" s="384"/>
      <c r="AX626" s="384"/>
      <c r="AY626" s="384"/>
      <c r="AZ626" s="386"/>
      <c r="BA626" s="384"/>
      <c r="BB626" s="384"/>
      <c r="BC626" s="387"/>
      <c r="BD626" s="286"/>
      <c r="BE626" s="286"/>
    </row>
    <row r="627" spans="1:65" s="287" customFormat="1" x14ac:dyDescent="0.25">
      <c r="A627" s="276"/>
      <c r="B627" s="277" t="s">
        <v>260</v>
      </c>
      <c r="C627" s="425">
        <f>1</f>
        <v>1</v>
      </c>
      <c r="D627" s="279"/>
      <c r="E627" s="279"/>
      <c r="F627" s="279"/>
      <c r="G627" s="279"/>
      <c r="H627" s="279"/>
      <c r="I627" s="279"/>
      <c r="J627" s="279">
        <v>1</v>
      </c>
      <c r="K627" s="279"/>
      <c r="L627" s="277"/>
      <c r="M627" s="280">
        <f>$M$569</f>
        <v>3028</v>
      </c>
      <c r="N627" s="281">
        <f>N$244</f>
        <v>2</v>
      </c>
      <c r="O627" s="282">
        <v>2.35</v>
      </c>
      <c r="P627" s="282">
        <f>P$244</f>
        <v>1.58</v>
      </c>
      <c r="Q627" s="282"/>
      <c r="R627" s="280">
        <f>$R$565</f>
        <v>174</v>
      </c>
      <c r="S627" s="280">
        <f>T627/(R627/1)</f>
        <v>129.22988505747125</v>
      </c>
      <c r="T627" s="425">
        <f>ROUND(M627*N627*O627*P627,0)</f>
        <v>22486</v>
      </c>
      <c r="U627" s="284">
        <f>T627*C627</f>
        <v>22486</v>
      </c>
      <c r="V627" s="277">
        <v>30</v>
      </c>
      <c r="W627" s="285"/>
      <c r="X627" s="285">
        <f>U627*V627%</f>
        <v>6745.8</v>
      </c>
      <c r="Y627" s="277"/>
      <c r="Z627" s="277"/>
      <c r="AA627" s="277"/>
      <c r="AB627" s="277"/>
      <c r="AC627" s="277"/>
      <c r="AD627" s="277"/>
      <c r="AE627" s="277"/>
      <c r="AF627" s="277"/>
      <c r="AG627" s="277"/>
      <c r="AH627" s="277"/>
      <c r="AI627" s="277"/>
      <c r="AJ627" s="277"/>
      <c r="AK627" s="277">
        <v>15</v>
      </c>
      <c r="AL627" s="277"/>
      <c r="AM627" s="285">
        <f>T627*AK627%*1</f>
        <v>3372.9</v>
      </c>
      <c r="AN627" s="277"/>
      <c r="AO627" s="277"/>
      <c r="AP627" s="277"/>
      <c r="AQ627" s="284">
        <f t="shared" ref="AQ627:AQ633" si="516">X627+AA627+AD627+AG627+AJ627+AM627+AP627</f>
        <v>10118.700000000001</v>
      </c>
      <c r="AR627" s="277">
        <f>AR$29</f>
        <v>20</v>
      </c>
      <c r="AS627" s="277">
        <f>AT627/C627</f>
        <v>4497.2</v>
      </c>
      <c r="AT627" s="280">
        <f>(U627)*AR627%</f>
        <v>4497.2</v>
      </c>
      <c r="AU627" s="277"/>
      <c r="AV627" s="277">
        <v>100</v>
      </c>
      <c r="AW627" s="277">
        <f>AU627*T627</f>
        <v>0</v>
      </c>
      <c r="AX627" s="277"/>
      <c r="AY627" s="277"/>
      <c r="AZ627" s="280"/>
      <c r="BA627" s="284">
        <f>AT627+AW627+AZ627</f>
        <v>4497.2</v>
      </c>
      <c r="BB627" s="284">
        <f>BC627/C627</f>
        <v>37101.9</v>
      </c>
      <c r="BC627" s="284">
        <f>BA627+AQ627+U627</f>
        <v>37101.9</v>
      </c>
      <c r="BD627" s="286">
        <f>BC627/C627</f>
        <v>37101.9</v>
      </c>
      <c r="BE627" s="286"/>
      <c r="BF627" s="251">
        <f>IF(D627=1,BC627,0)</f>
        <v>0</v>
      </c>
      <c r="BG627" s="251">
        <f>IF(E627=1,BC627,0)</f>
        <v>0</v>
      </c>
      <c r="BH627" s="251">
        <f>IF(F627=1,BC627,0)</f>
        <v>0</v>
      </c>
      <c r="BI627" s="251">
        <f>IF(G627=1,BC627,0)</f>
        <v>0</v>
      </c>
      <c r="BJ627" s="251">
        <f>IF(H627=1,BC627,0)</f>
        <v>0</v>
      </c>
      <c r="BK627" s="251">
        <f>IF(I627=1,BC627,0)</f>
        <v>0</v>
      </c>
      <c r="BL627" s="251">
        <f>IF(J627=1,BC627,0)</f>
        <v>37101.9</v>
      </c>
      <c r="BM627" s="251">
        <f>IF(K627=1,BC627,0)</f>
        <v>0</v>
      </c>
    </row>
    <row r="628" spans="1:65" s="287" customFormat="1" x14ac:dyDescent="0.25">
      <c r="A628" s="276"/>
      <c r="B628" s="288" t="s">
        <v>238</v>
      </c>
      <c r="C628" s="425">
        <v>2</v>
      </c>
      <c r="D628" s="279"/>
      <c r="E628" s="279"/>
      <c r="F628" s="279"/>
      <c r="G628" s="279"/>
      <c r="H628" s="279"/>
      <c r="I628" s="279"/>
      <c r="J628" s="279">
        <v>1</v>
      </c>
      <c r="K628" s="279"/>
      <c r="L628" s="277"/>
      <c r="M628" s="280">
        <f>$M$569</f>
        <v>3028</v>
      </c>
      <c r="N628" s="281">
        <f>N$244</f>
        <v>2</v>
      </c>
      <c r="O628" s="282">
        <v>1.8</v>
      </c>
      <c r="P628" s="282">
        <f>P$244</f>
        <v>1.58</v>
      </c>
      <c r="Q628" s="282"/>
      <c r="R628" s="280">
        <f>$R$565</f>
        <v>174</v>
      </c>
      <c r="S628" s="280">
        <f>T628/(R628/1)</f>
        <v>98.982758620689651</v>
      </c>
      <c r="T628" s="425">
        <f>ROUND(M628*N628*O628*P628,0)</f>
        <v>17223</v>
      </c>
      <c r="U628" s="284">
        <f>T628*C628</f>
        <v>34446</v>
      </c>
      <c r="V628" s="277">
        <v>20</v>
      </c>
      <c r="W628" s="285"/>
      <c r="X628" s="285">
        <f>U628*V628%</f>
        <v>6889.2000000000007</v>
      </c>
      <c r="Y628" s="277"/>
      <c r="Z628" s="277"/>
      <c r="AA628" s="277"/>
      <c r="AB628" s="277"/>
      <c r="AC628" s="277"/>
      <c r="AD628" s="277"/>
      <c r="AE628" s="277"/>
      <c r="AF628" s="277"/>
      <c r="AG628" s="277"/>
      <c r="AH628" s="277"/>
      <c r="AI628" s="277"/>
      <c r="AJ628" s="277"/>
      <c r="AK628" s="277">
        <f>(15+15)/2</f>
        <v>15</v>
      </c>
      <c r="AL628" s="277"/>
      <c r="AM628" s="342">
        <f>2*T628*AK628%*1</f>
        <v>5166.8999999999996</v>
      </c>
      <c r="AN628" s="277"/>
      <c r="AO628" s="277"/>
      <c r="AP628" s="277"/>
      <c r="AQ628" s="284">
        <f t="shared" si="516"/>
        <v>12056.1</v>
      </c>
      <c r="AR628" s="277">
        <f>AR$29</f>
        <v>20</v>
      </c>
      <c r="AS628" s="285">
        <f>AT628/C628</f>
        <v>3444.6000000000004</v>
      </c>
      <c r="AT628" s="280">
        <f>(U628)*AR628%</f>
        <v>6889.2000000000007</v>
      </c>
      <c r="AU628" s="277"/>
      <c r="AV628" s="277">
        <v>100</v>
      </c>
      <c r="AW628" s="277">
        <f>AU628*T628</f>
        <v>0</v>
      </c>
      <c r="AX628" s="277"/>
      <c r="AY628" s="285"/>
      <c r="AZ628" s="280"/>
      <c r="BA628" s="284">
        <f>AT628+AW628+AZ628</f>
        <v>6889.2000000000007</v>
      </c>
      <c r="BB628" s="284">
        <f>BC628/C628</f>
        <v>26695.65</v>
      </c>
      <c r="BC628" s="284">
        <f>BA628+AQ628+U628</f>
        <v>53391.3</v>
      </c>
      <c r="BD628" s="286">
        <f>BC628/C628</f>
        <v>26695.65</v>
      </c>
      <c r="BE628" s="286"/>
      <c r="BF628" s="251">
        <f>IF(D628=1,BC628,0)</f>
        <v>0</v>
      </c>
      <c r="BG628" s="251">
        <f>IF(E628=1,BC628,0)</f>
        <v>0</v>
      </c>
      <c r="BH628" s="251">
        <f>IF(F628=1,BC628,0)</f>
        <v>0</v>
      </c>
      <c r="BI628" s="251">
        <f>IF(G628=1,BC628,0)</f>
        <v>0</v>
      </c>
      <c r="BJ628" s="251">
        <f>IF(H628=1,BC628,0)</f>
        <v>0</v>
      </c>
      <c r="BK628" s="251">
        <f>IF(I628=1,BC628,0)</f>
        <v>0</v>
      </c>
      <c r="BL628" s="251">
        <f>IF(J628=1,BC628,0)</f>
        <v>53391.3</v>
      </c>
      <c r="BM628" s="251">
        <f>IF(K628=1,BC628,0)</f>
        <v>0</v>
      </c>
    </row>
    <row r="629" spans="1:65" s="287" customFormat="1" ht="28.5" x14ac:dyDescent="0.25">
      <c r="A629" s="276"/>
      <c r="B629" s="288" t="s">
        <v>261</v>
      </c>
      <c r="C629" s="278">
        <v>1</v>
      </c>
      <c r="D629" s="279"/>
      <c r="E629" s="279"/>
      <c r="F629" s="279"/>
      <c r="G629" s="279"/>
      <c r="H629" s="279">
        <v>1</v>
      </c>
      <c r="I629" s="279"/>
      <c r="J629" s="279"/>
      <c r="K629" s="279"/>
      <c r="L629" s="277"/>
      <c r="M629" s="280">
        <f>$M$569</f>
        <v>3028</v>
      </c>
      <c r="N629" s="281">
        <f>N$244</f>
        <v>2</v>
      </c>
      <c r="O629" s="282">
        <v>1.32</v>
      </c>
      <c r="P629" s="282">
        <f>P$244</f>
        <v>1.58</v>
      </c>
      <c r="Q629" s="282"/>
      <c r="R629" s="280">
        <f>$R$565</f>
        <v>174</v>
      </c>
      <c r="S629" s="280">
        <f>T629/(R629/1)</f>
        <v>72.58620689655173</v>
      </c>
      <c r="T629" s="425">
        <f>ROUND(M629*N629*O629*P629,0)</f>
        <v>12630</v>
      </c>
      <c r="U629" s="284">
        <f>T629*C629</f>
        <v>12630</v>
      </c>
      <c r="V629" s="277">
        <v>12</v>
      </c>
      <c r="W629" s="285"/>
      <c r="X629" s="285">
        <f>U629*V629%</f>
        <v>1515.6</v>
      </c>
      <c r="Y629" s="277"/>
      <c r="Z629" s="277"/>
      <c r="AA629" s="277"/>
      <c r="AB629" s="277"/>
      <c r="AC629" s="277"/>
      <c r="AD629" s="277"/>
      <c r="AE629" s="277"/>
      <c r="AF629" s="277"/>
      <c r="AG629" s="277"/>
      <c r="AH629" s="277"/>
      <c r="AI629" s="277"/>
      <c r="AJ629" s="277"/>
      <c r="AK629" s="277">
        <v>20</v>
      </c>
      <c r="AL629" s="277"/>
      <c r="AM629" s="342">
        <f>1*T629*AK629%*1</f>
        <v>2526</v>
      </c>
      <c r="AN629" s="277"/>
      <c r="AO629" s="277"/>
      <c r="AP629" s="277"/>
      <c r="AQ629" s="284">
        <f>X629+AA629+AD629+AG629+AJ629+AM629+AP629</f>
        <v>4041.6</v>
      </c>
      <c r="AR629" s="277">
        <f>AR$29</f>
        <v>20</v>
      </c>
      <c r="AS629" s="285">
        <f>AT629/C629</f>
        <v>2526</v>
      </c>
      <c r="AT629" s="280">
        <f>(U629)*AR629%</f>
        <v>2526</v>
      </c>
      <c r="AU629" s="277"/>
      <c r="AV629" s="277">
        <v>100</v>
      </c>
      <c r="AW629" s="277">
        <f>AU629*T629</f>
        <v>0</v>
      </c>
      <c r="AX629" s="277"/>
      <c r="AY629" s="285"/>
      <c r="AZ629" s="280"/>
      <c r="BA629" s="284">
        <f>AT629+AW629+AZ629</f>
        <v>2526</v>
      </c>
      <c r="BB629" s="284">
        <f>BC629/C629</f>
        <v>19197.599999999999</v>
      </c>
      <c r="BC629" s="284">
        <f>BA629+AQ629+U629</f>
        <v>19197.599999999999</v>
      </c>
      <c r="BD629" s="286">
        <f>BC629/C629</f>
        <v>19197.599999999999</v>
      </c>
      <c r="BE629" s="286"/>
      <c r="BF629" s="251">
        <f>IF(D629=1,BC629,0)</f>
        <v>0</v>
      </c>
      <c r="BG629" s="251">
        <f>IF(E629=1,BC629,0)</f>
        <v>0</v>
      </c>
      <c r="BH629" s="251">
        <f>IF(F629=1,BC629,0)</f>
        <v>0</v>
      </c>
      <c r="BI629" s="251">
        <f>IF(G629=1,BC629,0)</f>
        <v>0</v>
      </c>
      <c r="BJ629" s="251">
        <f>IF(H629=1,BC629,0)</f>
        <v>19197.599999999999</v>
      </c>
      <c r="BK629" s="251">
        <f>IF(I629=1,BC629,0)</f>
        <v>0</v>
      </c>
      <c r="BL629" s="251">
        <f>IF(J629=1,BC629,0)</f>
        <v>0</v>
      </c>
      <c r="BM629" s="251">
        <f>IF(K629=1,BC629,0)</f>
        <v>0</v>
      </c>
    </row>
    <row r="630" spans="1:65" s="287" customFormat="1" ht="28.5" x14ac:dyDescent="0.25">
      <c r="A630" s="276"/>
      <c r="B630" s="288" t="s">
        <v>262</v>
      </c>
      <c r="C630" s="278">
        <f>4</f>
        <v>4</v>
      </c>
      <c r="D630" s="279"/>
      <c r="E630" s="279"/>
      <c r="F630" s="279"/>
      <c r="G630" s="279"/>
      <c r="H630" s="279">
        <v>1</v>
      </c>
      <c r="I630" s="279"/>
      <c r="J630" s="279"/>
      <c r="K630" s="279"/>
      <c r="L630" s="277"/>
      <c r="M630" s="280">
        <f>$M$569</f>
        <v>3028</v>
      </c>
      <c r="N630" s="281">
        <f>N$244</f>
        <v>2</v>
      </c>
      <c r="O630" s="282">
        <v>1.2</v>
      </c>
      <c r="P630" s="282">
        <f>P$244</f>
        <v>1.58</v>
      </c>
      <c r="Q630" s="282"/>
      <c r="R630" s="280">
        <f>$R$565</f>
        <v>174</v>
      </c>
      <c r="S630" s="280">
        <f>T630/(R630/1)</f>
        <v>65.988505747126439</v>
      </c>
      <c r="T630" s="425">
        <f>ROUND(M630*N630*O630*P630,0)</f>
        <v>11482</v>
      </c>
      <c r="U630" s="284">
        <f>T630*C630</f>
        <v>45928</v>
      </c>
      <c r="V630" s="277">
        <v>12</v>
      </c>
      <c r="W630" s="285"/>
      <c r="X630" s="285">
        <f>U630*V630%</f>
        <v>5511.36</v>
      </c>
      <c r="Y630" s="277"/>
      <c r="Z630" s="277"/>
      <c r="AA630" s="277"/>
      <c r="AB630" s="277"/>
      <c r="AC630" s="277"/>
      <c r="AD630" s="277"/>
      <c r="AE630" s="277"/>
      <c r="AF630" s="277"/>
      <c r="AG630" s="277"/>
      <c r="AH630" s="277"/>
      <c r="AI630" s="277"/>
      <c r="AJ630" s="277"/>
      <c r="AK630" s="277">
        <f>(15+20+10+10)/4</f>
        <v>13.75</v>
      </c>
      <c r="AL630" s="277"/>
      <c r="AM630" s="342">
        <f>4*T630*AK630%*1</f>
        <v>6315.1</v>
      </c>
      <c r="AN630" s="277"/>
      <c r="AO630" s="277"/>
      <c r="AP630" s="277"/>
      <c r="AQ630" s="284">
        <f t="shared" si="516"/>
        <v>11826.46</v>
      </c>
      <c r="AR630" s="277">
        <f>AR$29</f>
        <v>20</v>
      </c>
      <c r="AS630" s="285">
        <f>AT630/C630</f>
        <v>2296.4</v>
      </c>
      <c r="AT630" s="280">
        <f>(U630)*AR630%</f>
        <v>9185.6</v>
      </c>
      <c r="AU630" s="277"/>
      <c r="AV630" s="277">
        <v>100</v>
      </c>
      <c r="AW630" s="277">
        <f>AU630*T630</f>
        <v>0</v>
      </c>
      <c r="AX630" s="277"/>
      <c r="AY630" s="285"/>
      <c r="AZ630" s="280"/>
      <c r="BA630" s="284">
        <f>AT630+AW630+AZ630</f>
        <v>9185.6</v>
      </c>
      <c r="BB630" s="284">
        <f>BC630/C630</f>
        <v>16735.014999999999</v>
      </c>
      <c r="BC630" s="284">
        <f>BA630+AQ630+U630</f>
        <v>66940.06</v>
      </c>
      <c r="BD630" s="286">
        <f>BC630/C630</f>
        <v>16735.014999999999</v>
      </c>
      <c r="BE630" s="286"/>
      <c r="BF630" s="251">
        <f>IF(D630=1,BC630,0)</f>
        <v>0</v>
      </c>
      <c r="BG630" s="251">
        <f>IF(E630=1,BC630,0)</f>
        <v>0</v>
      </c>
      <c r="BH630" s="251">
        <f>IF(F630=1,BC630,0)</f>
        <v>0</v>
      </c>
      <c r="BI630" s="251">
        <f>IF(G630=1,BC630,0)</f>
        <v>0</v>
      </c>
      <c r="BJ630" s="251">
        <f>IF(H630=1,BC630,0)</f>
        <v>66940.06</v>
      </c>
      <c r="BK630" s="251">
        <f>IF(I630=1,BC630,0)</f>
        <v>0</v>
      </c>
      <c r="BL630" s="251">
        <f>IF(J630=1,BC630,0)</f>
        <v>0</v>
      </c>
      <c r="BM630" s="251">
        <f>IF(K630=1,BC630,0)</f>
        <v>0</v>
      </c>
    </row>
    <row r="631" spans="1:65" s="301" customFormat="1" ht="28.5" x14ac:dyDescent="0.25">
      <c r="A631" s="289"/>
      <c r="B631" s="290" t="s">
        <v>262</v>
      </c>
      <c r="C631" s="376">
        <v>6</v>
      </c>
      <c r="D631" s="292"/>
      <c r="E631" s="292"/>
      <c r="F631" s="292"/>
      <c r="G631" s="292"/>
      <c r="H631" s="292"/>
      <c r="I631" s="292">
        <v>1</v>
      </c>
      <c r="J631" s="292"/>
      <c r="K631" s="292"/>
      <c r="L631" s="293"/>
      <c r="M631" s="294">
        <f>$M$569</f>
        <v>3028</v>
      </c>
      <c r="N631" s="429">
        <f>N$244</f>
        <v>2</v>
      </c>
      <c r="O631" s="295">
        <v>1.2</v>
      </c>
      <c r="P631" s="295">
        <f>P$244</f>
        <v>1.58</v>
      </c>
      <c r="Q631" s="295"/>
      <c r="R631" s="294">
        <f>$R$565</f>
        <v>174</v>
      </c>
      <c r="S631" s="294">
        <f>T631/(R631/1)</f>
        <v>65.988505747126439</v>
      </c>
      <c r="T631" s="291">
        <f>ROUND(M631*N631*O631*P631,0)</f>
        <v>11482</v>
      </c>
      <c r="U631" s="297">
        <f>T631*C631</f>
        <v>68892</v>
      </c>
      <c r="V631" s="293">
        <v>12</v>
      </c>
      <c r="W631" s="298"/>
      <c r="X631" s="298">
        <f>U631*V631%</f>
        <v>8267.0399999999991</v>
      </c>
      <c r="Y631" s="293"/>
      <c r="Z631" s="293"/>
      <c r="AA631" s="293"/>
      <c r="AB631" s="293"/>
      <c r="AC631" s="293"/>
      <c r="AD631" s="293"/>
      <c r="AE631" s="293"/>
      <c r="AF631" s="293"/>
      <c r="AG631" s="293"/>
      <c r="AH631" s="293"/>
      <c r="AI631" s="293"/>
      <c r="AJ631" s="293"/>
      <c r="AK631" s="277">
        <f>(10+10)/2</f>
        <v>10</v>
      </c>
      <c r="AL631" s="293"/>
      <c r="AM631" s="298">
        <f>2*T631*AK631%</f>
        <v>2296.4</v>
      </c>
      <c r="AN631" s="293"/>
      <c r="AO631" s="293"/>
      <c r="AP631" s="293"/>
      <c r="AQ631" s="297">
        <f t="shared" si="516"/>
        <v>10563.439999999999</v>
      </c>
      <c r="AR631" s="293">
        <f>AR$29</f>
        <v>20</v>
      </c>
      <c r="AS631" s="298">
        <f>AT631/C631</f>
        <v>2296.4</v>
      </c>
      <c r="AT631" s="294">
        <f>(U631)*AR631%</f>
        <v>13778.400000000001</v>
      </c>
      <c r="AU631" s="293"/>
      <c r="AV631" s="293">
        <v>100</v>
      </c>
      <c r="AW631" s="293">
        <f>AU631*T631</f>
        <v>0</v>
      </c>
      <c r="AX631" s="293"/>
      <c r="AY631" s="298"/>
      <c r="AZ631" s="294"/>
      <c r="BA631" s="297">
        <f>AT631+AW631+AZ631</f>
        <v>13778.400000000001</v>
      </c>
      <c r="BB631" s="297">
        <f>BC631/C631</f>
        <v>15538.973333333333</v>
      </c>
      <c r="BC631" s="297">
        <f>BA631+AQ631+U631</f>
        <v>93233.84</v>
      </c>
      <c r="BD631" s="299">
        <f>BC631/C631</f>
        <v>15538.973333333333</v>
      </c>
      <c r="BE631" s="299"/>
      <c r="BF631" s="300">
        <f>IF(D631=1,BC631,0)</f>
        <v>0</v>
      </c>
      <c r="BG631" s="300">
        <f>IF(E631=1,BC631,0)</f>
        <v>0</v>
      </c>
      <c r="BH631" s="300">
        <f>IF(F631=1,BC631,0)</f>
        <v>0</v>
      </c>
      <c r="BI631" s="300">
        <f>IF(G631=1,BC631,0)</f>
        <v>0</v>
      </c>
      <c r="BJ631" s="300">
        <f>IF(H631=1,BC631,0)</f>
        <v>0</v>
      </c>
      <c r="BK631" s="300">
        <f>IF(I631=1,BC631,0)</f>
        <v>93233.84</v>
      </c>
      <c r="BL631" s="300">
        <f>IF(J631=1,BC631,0)</f>
        <v>0</v>
      </c>
      <c r="BM631" s="300">
        <f>IF(K631=1,BC631,0)</f>
        <v>0</v>
      </c>
    </row>
    <row r="632" spans="1:65" s="301" customFormat="1" x14ac:dyDescent="0.25">
      <c r="A632" s="289"/>
      <c r="B632" s="290"/>
      <c r="C632" s="291"/>
      <c r="D632" s="292"/>
      <c r="E632" s="292"/>
      <c r="F632" s="292"/>
      <c r="G632" s="292"/>
      <c r="H632" s="292"/>
      <c r="I632" s="292"/>
      <c r="J632" s="292"/>
      <c r="K632" s="292"/>
      <c r="L632" s="293"/>
      <c r="M632" s="294"/>
      <c r="N632" s="429"/>
      <c r="O632" s="430"/>
      <c r="P632" s="430"/>
      <c r="Q632" s="295"/>
      <c r="R632" s="294"/>
      <c r="S632" s="294"/>
      <c r="T632" s="291"/>
      <c r="U632" s="297"/>
      <c r="V632" s="293"/>
      <c r="W632" s="298"/>
      <c r="X632" s="298"/>
      <c r="Y632" s="293"/>
      <c r="Z632" s="293"/>
      <c r="AA632" s="293"/>
      <c r="AB632" s="293"/>
      <c r="AC632" s="293"/>
      <c r="AD632" s="293"/>
      <c r="AE632" s="293"/>
      <c r="AF632" s="293"/>
      <c r="AG632" s="293"/>
      <c r="AH632" s="293"/>
      <c r="AI632" s="293"/>
      <c r="AJ632" s="293"/>
      <c r="AK632" s="277"/>
      <c r="AL632" s="293"/>
      <c r="AM632" s="298"/>
      <c r="AN632" s="293"/>
      <c r="AO632" s="293"/>
      <c r="AP632" s="293"/>
      <c r="AQ632" s="297"/>
      <c r="AR632" s="293"/>
      <c r="AS632" s="298"/>
      <c r="AT632" s="294"/>
      <c r="AU632" s="293"/>
      <c r="AV632" s="293"/>
      <c r="AW632" s="293"/>
      <c r="AX632" s="431"/>
      <c r="AY632" s="431"/>
      <c r="AZ632" s="431"/>
      <c r="BA632" s="297"/>
      <c r="BB632" s="297"/>
      <c r="BC632" s="297"/>
      <c r="BD632" s="463"/>
      <c r="BE632" s="299"/>
      <c r="BF632" s="300"/>
      <c r="BG632" s="300"/>
      <c r="BH632" s="300"/>
      <c r="BI632" s="300"/>
      <c r="BJ632" s="300"/>
      <c r="BK632" s="300"/>
      <c r="BL632" s="300"/>
      <c r="BM632" s="300"/>
    </row>
    <row r="633" spans="1:65" s="287" customFormat="1" x14ac:dyDescent="0.25">
      <c r="A633" s="276"/>
      <c r="B633" s="288"/>
      <c r="C633" s="425"/>
      <c r="D633" s="279"/>
      <c r="E633" s="279"/>
      <c r="F633" s="279"/>
      <c r="G633" s="279"/>
      <c r="H633" s="279"/>
      <c r="I633" s="279"/>
      <c r="J633" s="279"/>
      <c r="K633" s="279"/>
      <c r="L633" s="277"/>
      <c r="M633" s="280"/>
      <c r="N633" s="281"/>
      <c r="O633" s="282"/>
      <c r="P633" s="282"/>
      <c r="Q633" s="282"/>
      <c r="R633" s="283"/>
      <c r="S633" s="280"/>
      <c r="T633" s="425"/>
      <c r="U633" s="284"/>
      <c r="V633" s="277"/>
      <c r="W633" s="285"/>
      <c r="X633" s="285"/>
      <c r="Y633" s="277"/>
      <c r="Z633" s="277"/>
      <c r="AA633" s="277"/>
      <c r="AB633" s="277"/>
      <c r="AC633" s="277"/>
      <c r="AD633" s="285"/>
      <c r="AE633" s="277"/>
      <c r="AF633" s="285"/>
      <c r="AG633" s="285"/>
      <c r="AH633" s="277"/>
      <c r="AI633" s="285"/>
      <c r="AJ633" s="285"/>
      <c r="AK633" s="277"/>
      <c r="AL633" s="277"/>
      <c r="AM633" s="277"/>
      <c r="AN633" s="277"/>
      <c r="AO633" s="277"/>
      <c r="AP633" s="277"/>
      <c r="AQ633" s="284">
        <f t="shared" si="516"/>
        <v>0</v>
      </c>
      <c r="AR633" s="277"/>
      <c r="AS633" s="285"/>
      <c r="AT633" s="280"/>
      <c r="AU633" s="277"/>
      <c r="AV633" s="277"/>
      <c r="AW633" s="277"/>
      <c r="AX633" s="277"/>
      <c r="AY633" s="285"/>
      <c r="AZ633" s="280"/>
      <c r="BA633" s="284"/>
      <c r="BB633" s="284"/>
      <c r="BC633" s="284"/>
      <c r="BD633" s="286"/>
      <c r="BE633" s="286"/>
      <c r="BF633" s="251"/>
      <c r="BG633" s="251"/>
      <c r="BH633" s="251"/>
      <c r="BI633" s="251"/>
      <c r="BJ633" s="251"/>
      <c r="BK633" s="251"/>
      <c r="BL633" s="251"/>
      <c r="BM633" s="251"/>
    </row>
    <row r="634" spans="1:65" s="316" customFormat="1" ht="20.25" customHeight="1" x14ac:dyDescent="0.25">
      <c r="A634" s="306"/>
      <c r="B634" s="372" t="s">
        <v>229</v>
      </c>
      <c r="C634" s="329">
        <f>SUM(C627:C633)</f>
        <v>14</v>
      </c>
      <c r="D634" s="309"/>
      <c r="E634" s="309"/>
      <c r="F634" s="309"/>
      <c r="G634" s="309"/>
      <c r="H634" s="309"/>
      <c r="I634" s="309"/>
      <c r="J634" s="309"/>
      <c r="K634" s="309"/>
      <c r="L634" s="309"/>
      <c r="M634" s="310"/>
      <c r="N634" s="309"/>
      <c r="O634" s="309"/>
      <c r="P634" s="309"/>
      <c r="Q634" s="309"/>
      <c r="R634" s="310"/>
      <c r="S634" s="310"/>
      <c r="T634" s="349">
        <f>U634</f>
        <v>184382</v>
      </c>
      <c r="U634" s="312">
        <f>SUM(U627:U633)</f>
        <v>184382</v>
      </c>
      <c r="V634" s="309"/>
      <c r="W634" s="309"/>
      <c r="X634" s="312">
        <f>SUM(X627:X633)</f>
        <v>28929</v>
      </c>
      <c r="Y634" s="312"/>
      <c r="Z634" s="312"/>
      <c r="AA634" s="312">
        <f>SUM(AA627:AA633)</f>
        <v>0</v>
      </c>
      <c r="AB634" s="312"/>
      <c r="AC634" s="312"/>
      <c r="AD634" s="312">
        <f>SUM(AD627:AD633)</f>
        <v>0</v>
      </c>
      <c r="AE634" s="312"/>
      <c r="AF634" s="312"/>
      <c r="AG634" s="312">
        <f>SUM(AG627:AG633)</f>
        <v>0</v>
      </c>
      <c r="AH634" s="312"/>
      <c r="AI634" s="312"/>
      <c r="AJ634" s="312">
        <f>SUM(AJ627:AJ633)</f>
        <v>0</v>
      </c>
      <c r="AK634" s="312"/>
      <c r="AL634" s="312"/>
      <c r="AM634" s="312">
        <f>SUM(AM627:AM633)</f>
        <v>19677.300000000003</v>
      </c>
      <c r="AN634" s="312"/>
      <c r="AO634" s="312"/>
      <c r="AP634" s="312">
        <f>SUM(AP627:AP633)</f>
        <v>0</v>
      </c>
      <c r="AQ634" s="312">
        <f>SUM(AQ627:AQ633)</f>
        <v>48606.3</v>
      </c>
      <c r="AR634" s="312"/>
      <c r="AS634" s="312">
        <f>SUM(AS627:AS633)</f>
        <v>15060.599999999999</v>
      </c>
      <c r="AT634" s="312">
        <f>SUM(AT627:AT633)</f>
        <v>36876.400000000001</v>
      </c>
      <c r="AU634" s="312">
        <f>SUM(AU627:AU633)</f>
        <v>0</v>
      </c>
      <c r="AV634" s="312"/>
      <c r="AW634" s="312">
        <f>SUM(AW627:AW633)</f>
        <v>0</v>
      </c>
      <c r="AX634" s="312"/>
      <c r="AY634" s="312">
        <f>SUM(AY627:AY633)</f>
        <v>0</v>
      </c>
      <c r="AZ634" s="312">
        <f>SUM(AZ627:AZ633)</f>
        <v>0</v>
      </c>
      <c r="BA634" s="312">
        <f>SUM(BA627:BA633)</f>
        <v>36876.400000000001</v>
      </c>
      <c r="BB634" s="312">
        <f>BC634/C634</f>
        <v>19276.05</v>
      </c>
      <c r="BC634" s="312">
        <f>SUM(BC627:BC633)</f>
        <v>269864.7</v>
      </c>
      <c r="BD634" s="286">
        <f>BC634/C634</f>
        <v>19276.05</v>
      </c>
      <c r="BE634" s="286"/>
    </row>
    <row r="635" spans="1:65" s="287" customFormat="1" ht="97.5" customHeight="1" x14ac:dyDescent="0.25">
      <c r="A635" s="380"/>
      <c r="B635" s="274"/>
      <c r="C635" s="258"/>
      <c r="D635" s="274"/>
      <c r="E635" s="274"/>
      <c r="F635" s="274"/>
      <c r="G635" s="274"/>
      <c r="H635" s="274"/>
      <c r="I635" s="274"/>
      <c r="J635" s="274"/>
      <c r="K635" s="274"/>
      <c r="L635" s="274"/>
      <c r="M635" s="389"/>
      <c r="N635" s="390"/>
      <c r="O635" s="390"/>
      <c r="P635" s="390"/>
      <c r="Q635" s="390"/>
      <c r="R635" s="391"/>
      <c r="S635" s="392"/>
      <c r="T635" s="258"/>
      <c r="U635" s="274"/>
      <c r="V635" s="274"/>
      <c r="W635" s="371"/>
      <c r="X635" s="371"/>
      <c r="Y635" s="274"/>
      <c r="Z635" s="274"/>
      <c r="AA635" s="274"/>
      <c r="AB635" s="274"/>
      <c r="AC635" s="274"/>
      <c r="AD635" s="371"/>
      <c r="AE635" s="274"/>
      <c r="AF635" s="371"/>
      <c r="AG635" s="371"/>
      <c r="AH635" s="274"/>
      <c r="AI635" s="371"/>
      <c r="AJ635" s="371"/>
      <c r="AK635" s="274"/>
      <c r="AL635" s="274"/>
      <c r="AM635" s="274"/>
      <c r="AN635" s="274"/>
      <c r="AO635" s="274"/>
      <c r="AP635" s="274"/>
      <c r="AQ635" s="274"/>
      <c r="AR635" s="274"/>
      <c r="AS635" s="371"/>
      <c r="AT635" s="389"/>
      <c r="AU635" s="274"/>
      <c r="AV635" s="274"/>
      <c r="AW635" s="274"/>
      <c r="AX635" s="274"/>
      <c r="AY635" s="371"/>
      <c r="AZ635" s="389"/>
      <c r="BA635" s="274"/>
      <c r="BB635" s="274"/>
      <c r="BC635" s="274"/>
      <c r="BD635" s="286"/>
      <c r="BE635" s="286"/>
      <c r="BF635" s="251"/>
      <c r="BG635" s="251"/>
      <c r="BH635" s="251"/>
      <c r="BI635" s="251"/>
      <c r="BJ635" s="251"/>
      <c r="BK635" s="251"/>
      <c r="BL635" s="251"/>
      <c r="BM635" s="251"/>
    </row>
    <row r="636" spans="1:65" s="275" customFormat="1" ht="26.45" customHeight="1" x14ac:dyDescent="0.25">
      <c r="A636" s="270" t="s">
        <v>263</v>
      </c>
      <c r="B636" s="324" t="s">
        <v>264</v>
      </c>
      <c r="C636" s="272"/>
      <c r="D636" s="272"/>
      <c r="E636" s="272"/>
      <c r="F636" s="272"/>
      <c r="G636" s="272"/>
      <c r="H636" s="272"/>
      <c r="I636" s="272"/>
      <c r="J636" s="272"/>
      <c r="K636" s="272"/>
      <c r="L636" s="272"/>
      <c r="M636" s="272"/>
      <c r="N636" s="272"/>
      <c r="O636" s="272"/>
      <c r="P636" s="272"/>
      <c r="Q636" s="272"/>
      <c r="R636" s="272"/>
      <c r="S636" s="272"/>
      <c r="T636" s="272"/>
      <c r="U636" s="272"/>
      <c r="V636" s="272"/>
      <c r="W636" s="272"/>
      <c r="X636" s="272"/>
      <c r="Y636" s="272"/>
      <c r="Z636" s="272"/>
      <c r="AA636" s="272"/>
      <c r="AB636" s="272"/>
      <c r="AC636" s="272"/>
      <c r="AD636" s="272"/>
      <c r="AE636" s="272"/>
      <c r="AF636" s="272"/>
      <c r="AG636" s="272"/>
      <c r="AH636" s="272"/>
      <c r="AI636" s="272"/>
      <c r="AJ636" s="272"/>
      <c r="AK636" s="272"/>
      <c r="AL636" s="272"/>
      <c r="AM636" s="272"/>
      <c r="AN636" s="272"/>
      <c r="AO636" s="272"/>
      <c r="AP636" s="272"/>
      <c r="AQ636" s="272"/>
      <c r="AR636" s="272"/>
      <c r="AS636" s="272"/>
      <c r="AT636" s="272"/>
      <c r="AU636" s="272"/>
      <c r="AV636" s="272"/>
      <c r="AW636" s="272"/>
      <c r="AX636" s="272"/>
      <c r="AY636" s="272"/>
      <c r="AZ636" s="272"/>
      <c r="BA636" s="272"/>
      <c r="BB636" s="272"/>
      <c r="BC636" s="273"/>
      <c r="BD636" s="286"/>
      <c r="BE636" s="286"/>
    </row>
    <row r="637" spans="1:65" s="377" customFormat="1" x14ac:dyDescent="0.25">
      <c r="A637" s="375"/>
      <c r="B637" s="288" t="s">
        <v>265</v>
      </c>
      <c r="C637" s="376">
        <v>1</v>
      </c>
      <c r="D637" s="292"/>
      <c r="E637" s="292"/>
      <c r="F637" s="292"/>
      <c r="G637" s="292"/>
      <c r="H637" s="292"/>
      <c r="I637" s="292">
        <v>1</v>
      </c>
      <c r="J637" s="292"/>
      <c r="K637" s="292"/>
      <c r="L637" s="293"/>
      <c r="M637" s="280">
        <f>$M$569</f>
        <v>3028</v>
      </c>
      <c r="N637" s="281">
        <f>N$29</f>
        <v>2</v>
      </c>
      <c r="O637" s="293">
        <v>1.9</v>
      </c>
      <c r="P637" s="295">
        <f>P$244</f>
        <v>1.58</v>
      </c>
      <c r="Q637" s="293"/>
      <c r="R637" s="294">
        <f>$R$565</f>
        <v>174</v>
      </c>
      <c r="S637" s="294">
        <f>T637/(R637/1)</f>
        <v>104.48275862068965</v>
      </c>
      <c r="T637" s="291">
        <f>ROUND(M637*N637*O637*P637,0)</f>
        <v>18180</v>
      </c>
      <c r="U637" s="297">
        <f>T637*C637</f>
        <v>18180</v>
      </c>
      <c r="V637" s="293">
        <v>20</v>
      </c>
      <c r="W637" s="298"/>
      <c r="X637" s="298">
        <f>U637*V637%</f>
        <v>3636</v>
      </c>
      <c r="Y637" s="293"/>
      <c r="Z637" s="293"/>
      <c r="AA637" s="293"/>
      <c r="AB637" s="293"/>
      <c r="AC637" s="293"/>
      <c r="AD637" s="293"/>
      <c r="AE637" s="293"/>
      <c r="AF637" s="293"/>
      <c r="AG637" s="293"/>
      <c r="AH637" s="293"/>
      <c r="AI637" s="293"/>
      <c r="AJ637" s="293"/>
      <c r="AK637" s="293">
        <v>15</v>
      </c>
      <c r="AL637" s="293"/>
      <c r="AM637" s="298">
        <f>T637*AK637%</f>
        <v>2727</v>
      </c>
      <c r="AN637" s="293"/>
      <c r="AO637" s="293"/>
      <c r="AP637" s="293"/>
      <c r="AQ637" s="297">
        <f>X637+AA637+AD637+AG637+AJ637+AM637+AP637</f>
        <v>6363</v>
      </c>
      <c r="AR637" s="293">
        <v>20</v>
      </c>
      <c r="AS637" s="298">
        <f>AT637/C637</f>
        <v>3636</v>
      </c>
      <c r="AT637" s="294">
        <f>(U637)*AR637%</f>
        <v>3636</v>
      </c>
      <c r="AU637" s="293"/>
      <c r="AV637" s="293">
        <v>100</v>
      </c>
      <c r="AW637" s="293">
        <f>AU637*T637</f>
        <v>0</v>
      </c>
      <c r="AX637" s="293"/>
      <c r="AY637" s="298"/>
      <c r="AZ637" s="294"/>
      <c r="BA637" s="297">
        <f>AT637+AW637+AZ637</f>
        <v>3636</v>
      </c>
      <c r="BB637" s="297">
        <f t="shared" ref="BB637:BB644" si="517">BC637/C637</f>
        <v>28179</v>
      </c>
      <c r="BC637" s="297">
        <f>BA637+AQ637+U637</f>
        <v>28179</v>
      </c>
      <c r="BD637" s="299">
        <f t="shared" ref="BD637:BD644" si="518">BC637/C637</f>
        <v>28179</v>
      </c>
      <c r="BE637" s="299"/>
      <c r="BF637" s="377">
        <f>IF(D637=1,BC637,0)</f>
        <v>0</v>
      </c>
      <c r="BG637" s="377">
        <f>IF(E637=1,BC637,0)</f>
        <v>0</v>
      </c>
      <c r="BH637" s="377">
        <f>IF(F637=1,BC637,0)</f>
        <v>0</v>
      </c>
      <c r="BI637" s="377">
        <f>IF(G637=1,BC637,0)</f>
        <v>0</v>
      </c>
      <c r="BJ637" s="300">
        <f>IF(H637=1,BC637,0)</f>
        <v>0</v>
      </c>
      <c r="BK637" s="300">
        <f>IF(I637=1,BC637,0)</f>
        <v>28179</v>
      </c>
      <c r="BL637" s="300">
        <f>IF(J637=1,BC637,0)</f>
        <v>0</v>
      </c>
      <c r="BM637" s="377">
        <f>IF(K637=1,BC637,0)</f>
        <v>0</v>
      </c>
    </row>
    <row r="638" spans="1:65" ht="45.75" customHeight="1" x14ac:dyDescent="0.25">
      <c r="A638" s="344"/>
      <c r="B638" s="288" t="s">
        <v>266</v>
      </c>
      <c r="C638" s="393">
        <v>2.25</v>
      </c>
      <c r="D638" s="279"/>
      <c r="E638" s="279"/>
      <c r="F638" s="279"/>
      <c r="G638" s="279"/>
      <c r="H638" s="279"/>
      <c r="I638" s="279">
        <v>1</v>
      </c>
      <c r="J638" s="279"/>
      <c r="K638" s="279"/>
      <c r="L638" s="277">
        <v>4</v>
      </c>
      <c r="M638" s="280">
        <f>$M$569</f>
        <v>3028</v>
      </c>
      <c r="N638" s="281">
        <f>N$29</f>
        <v>2</v>
      </c>
      <c r="O638" s="277">
        <v>1.43</v>
      </c>
      <c r="P638" s="282">
        <v>1.58</v>
      </c>
      <c r="Q638" s="277"/>
      <c r="R638" s="280">
        <f>$R$565</f>
        <v>174</v>
      </c>
      <c r="S638" s="280">
        <f>T638/(R638/1)</f>
        <v>78.637931034482762</v>
      </c>
      <c r="T638" s="425">
        <f>ROUND(M638*N638*O638*P638,0)</f>
        <v>13683</v>
      </c>
      <c r="U638" s="284">
        <f>T638*C638</f>
        <v>30786.75</v>
      </c>
      <c r="V638" s="277">
        <v>16</v>
      </c>
      <c r="W638" s="285"/>
      <c r="X638" s="285">
        <f>U638*V638%</f>
        <v>4925.88</v>
      </c>
      <c r="Y638" s="277"/>
      <c r="Z638" s="277"/>
      <c r="AA638" s="277"/>
      <c r="AB638" s="277"/>
      <c r="AC638" s="277"/>
      <c r="AD638" s="277"/>
      <c r="AE638" s="277"/>
      <c r="AF638" s="277"/>
      <c r="AG638" s="277"/>
      <c r="AH638" s="277"/>
      <c r="AI638" s="277"/>
      <c r="AJ638" s="277"/>
      <c r="AK638" s="277">
        <v>7</v>
      </c>
      <c r="AL638" s="277"/>
      <c r="AM638" s="285">
        <f>T638*AK638%</f>
        <v>957.81000000000006</v>
      </c>
      <c r="AN638" s="277"/>
      <c r="AO638" s="277"/>
      <c r="AP638" s="277"/>
      <c r="AQ638" s="284">
        <f>X638+AA638+AD638+AG638+AJ638+AM638+AP638</f>
        <v>5883.6900000000005</v>
      </c>
      <c r="AR638" s="277">
        <v>20</v>
      </c>
      <c r="AS638" s="285">
        <f>AT638/C638</f>
        <v>2736.6000000000004</v>
      </c>
      <c r="AT638" s="280">
        <f>(U638)*AR638%</f>
        <v>6157.35</v>
      </c>
      <c r="AU638" s="339">
        <v>1</v>
      </c>
      <c r="AV638" s="277">
        <v>100</v>
      </c>
      <c r="AW638" s="277">
        <f>AU638*T638</f>
        <v>13683</v>
      </c>
      <c r="AX638" s="277"/>
      <c r="AY638" s="285"/>
      <c r="AZ638" s="280"/>
      <c r="BA638" s="284">
        <f>AT638+AW638+AZ638</f>
        <v>19840.349999999999</v>
      </c>
      <c r="BB638" s="284">
        <f t="shared" si="517"/>
        <v>25115.906666666666</v>
      </c>
      <c r="BC638" s="284">
        <f>BA638+AQ638+U638</f>
        <v>56510.79</v>
      </c>
      <c r="BD638" s="286">
        <f t="shared" si="518"/>
        <v>25115.906666666666</v>
      </c>
      <c r="BE638" s="286"/>
      <c r="BF638" s="241">
        <f>IF(D638=1,BC638,0)</f>
        <v>0</v>
      </c>
      <c r="BG638" s="241">
        <f>IF(E638=1,BC638,0)</f>
        <v>0</v>
      </c>
      <c r="BH638" s="251">
        <f>IF(F638=1,BC638,0)</f>
        <v>0</v>
      </c>
      <c r="BI638" s="241">
        <f>IF(G638=1,BC638,0)</f>
        <v>0</v>
      </c>
      <c r="BJ638" s="251">
        <f>IF(H638=1,BC638,0)</f>
        <v>0</v>
      </c>
      <c r="BK638" s="251">
        <f>IF(I638=1,BC638,0)</f>
        <v>56510.79</v>
      </c>
      <c r="BL638" s="251">
        <f>IF(J638=1,BC638,0)</f>
        <v>0</v>
      </c>
      <c r="BM638" s="241">
        <f>IF(K638=1,BC638,0)</f>
        <v>0</v>
      </c>
    </row>
    <row r="639" spans="1:65" x14ac:dyDescent="0.25">
      <c r="A639" s="344"/>
      <c r="B639" s="288" t="s">
        <v>240</v>
      </c>
      <c r="C639" s="393">
        <v>0.25</v>
      </c>
      <c r="D639" s="279"/>
      <c r="E639" s="279"/>
      <c r="F639" s="279"/>
      <c r="G639" s="279"/>
      <c r="H639" s="279"/>
      <c r="I639" s="279">
        <v>1</v>
      </c>
      <c r="J639" s="279"/>
      <c r="K639" s="279"/>
      <c r="L639" s="277">
        <v>4</v>
      </c>
      <c r="M639" s="280">
        <f>$M$569</f>
        <v>3028</v>
      </c>
      <c r="N639" s="281">
        <f>N$29</f>
        <v>2</v>
      </c>
      <c r="O639" s="277">
        <v>1.43</v>
      </c>
      <c r="P639" s="282">
        <v>1.58</v>
      </c>
      <c r="Q639" s="277"/>
      <c r="R639" s="280">
        <f>$R$565</f>
        <v>174</v>
      </c>
      <c r="S639" s="280">
        <f>T639/(R639/1)</f>
        <v>78.637931034482762</v>
      </c>
      <c r="T639" s="425">
        <f>ROUND(M639*N639*O639*P639,0)</f>
        <v>13683</v>
      </c>
      <c r="U639" s="284">
        <f>T639*C639</f>
        <v>3420.75</v>
      </c>
      <c r="V639" s="277">
        <v>16</v>
      </c>
      <c r="W639" s="285"/>
      <c r="X639" s="285">
        <f>U639*V639%</f>
        <v>547.32000000000005</v>
      </c>
      <c r="Y639" s="277">
        <v>4</v>
      </c>
      <c r="Z639" s="285"/>
      <c r="AA639" s="285">
        <f>U639*Y639%</f>
        <v>136.83000000000001</v>
      </c>
      <c r="AB639" s="277"/>
      <c r="AC639" s="277"/>
      <c r="AD639" s="277"/>
      <c r="AE639" s="277"/>
      <c r="AF639" s="277"/>
      <c r="AG639" s="277"/>
      <c r="AH639" s="277"/>
      <c r="AI639" s="277"/>
      <c r="AJ639" s="277"/>
      <c r="AK639" s="277"/>
      <c r="AL639" s="277"/>
      <c r="AM639" s="285">
        <f>T639*AK639%</f>
        <v>0</v>
      </c>
      <c r="AN639" s="277"/>
      <c r="AO639" s="277"/>
      <c r="AP639" s="277"/>
      <c r="AQ639" s="284">
        <f>X639+AA639+AD639+AG639+AJ639+AM639+AP639</f>
        <v>684.15000000000009</v>
      </c>
      <c r="AR639" s="277">
        <v>20</v>
      </c>
      <c r="AS639" s="285">
        <f>AT639/C639</f>
        <v>2736.6000000000004</v>
      </c>
      <c r="AT639" s="280">
        <f>(U639)*AR639%</f>
        <v>684.15000000000009</v>
      </c>
      <c r="AU639" s="339"/>
      <c r="AV639" s="277">
        <v>100</v>
      </c>
      <c r="AW639" s="277">
        <f>AU639*T639</f>
        <v>0</v>
      </c>
      <c r="AX639" s="277"/>
      <c r="AY639" s="285"/>
      <c r="AZ639" s="280"/>
      <c r="BA639" s="284">
        <f>AT639+AW639+AZ639</f>
        <v>684.15000000000009</v>
      </c>
      <c r="BB639" s="284">
        <f t="shared" si="517"/>
        <v>19156.2</v>
      </c>
      <c r="BC639" s="284">
        <f>BA639+AQ639+U639</f>
        <v>4789.05</v>
      </c>
      <c r="BD639" s="286">
        <f t="shared" si="518"/>
        <v>19156.2</v>
      </c>
      <c r="BE639" s="286"/>
      <c r="BF639" s="241">
        <f>IF(D639=1,BC639,0)</f>
        <v>0</v>
      </c>
      <c r="BG639" s="241">
        <f>IF(E639=1,BC639,0)</f>
        <v>0</v>
      </c>
      <c r="BH639" s="251">
        <f>IF(F639=1,BC639,0)</f>
        <v>0</v>
      </c>
      <c r="BI639" s="241">
        <f>IF(G639=1,BC639,0)</f>
        <v>0</v>
      </c>
      <c r="BJ639" s="251">
        <f>IF(H639=1,BC639,0)</f>
        <v>0</v>
      </c>
      <c r="BK639" s="251">
        <f>IF(I639=1,BC639,0)</f>
        <v>4789.05</v>
      </c>
      <c r="BL639" s="251">
        <f>IF(J639=1,BC639,0)</f>
        <v>0</v>
      </c>
      <c r="BM639" s="241">
        <f>IF(K639=1,BC639,0)</f>
        <v>0</v>
      </c>
    </row>
    <row r="640" spans="1:65" x14ac:dyDescent="0.25">
      <c r="A640" s="344"/>
      <c r="B640" s="288" t="s">
        <v>267</v>
      </c>
      <c r="C640" s="393">
        <v>1</v>
      </c>
      <c r="D640" s="279"/>
      <c r="E640" s="279"/>
      <c r="F640" s="279"/>
      <c r="G640" s="279"/>
      <c r="H640" s="279"/>
      <c r="I640" s="279">
        <v>1</v>
      </c>
      <c r="J640" s="279"/>
      <c r="K640" s="279"/>
      <c r="L640" s="277"/>
      <c r="M640" s="280">
        <f>$M$569</f>
        <v>3028</v>
      </c>
      <c r="N640" s="281">
        <f>N$29</f>
        <v>2</v>
      </c>
      <c r="O640" s="339">
        <v>1.95</v>
      </c>
      <c r="P640" s="282">
        <v>1</v>
      </c>
      <c r="Q640" s="277"/>
      <c r="R640" s="280">
        <f>$R$565</f>
        <v>174</v>
      </c>
      <c r="S640" s="280">
        <f>T640/(R640/1)</f>
        <v>67.867816091954026</v>
      </c>
      <c r="T640" s="425">
        <f>ROUND(M640*N640*O640*P640,0)</f>
        <v>11809</v>
      </c>
      <c r="U640" s="284">
        <f>T640*C640</f>
        <v>11809</v>
      </c>
      <c r="V640" s="277"/>
      <c r="W640" s="285"/>
      <c r="X640" s="285">
        <f>U640*V640%</f>
        <v>0</v>
      </c>
      <c r="Y640" s="277"/>
      <c r="Z640" s="277"/>
      <c r="AA640" s="277"/>
      <c r="AB640" s="277"/>
      <c r="AC640" s="277"/>
      <c r="AD640" s="277"/>
      <c r="AE640" s="277"/>
      <c r="AF640" s="277"/>
      <c r="AG640" s="277"/>
      <c r="AH640" s="277"/>
      <c r="AI640" s="277"/>
      <c r="AJ640" s="277"/>
      <c r="AK640" s="277"/>
      <c r="AL640" s="277"/>
      <c r="AM640" s="285">
        <f>T640*AK640%</f>
        <v>0</v>
      </c>
      <c r="AN640" s="277">
        <v>25</v>
      </c>
      <c r="AO640" s="285"/>
      <c r="AP640" s="285">
        <f>U640*AN640%</f>
        <v>2952.25</v>
      </c>
      <c r="AQ640" s="284">
        <f>X640+AA640+AD640+AG640+AJ640+AM640+AP640</f>
        <v>2952.25</v>
      </c>
      <c r="AR640" s="277">
        <v>20</v>
      </c>
      <c r="AS640" s="285">
        <f>AT640/C640</f>
        <v>2361.8000000000002</v>
      </c>
      <c r="AT640" s="280">
        <f>(U640)*AR640%</f>
        <v>2361.8000000000002</v>
      </c>
      <c r="AU640" s="339"/>
      <c r="AV640" s="277">
        <v>100</v>
      </c>
      <c r="AW640" s="277">
        <f>AU640*T640</f>
        <v>0</v>
      </c>
      <c r="AX640" s="277"/>
      <c r="AY640" s="285"/>
      <c r="AZ640" s="280"/>
      <c r="BA640" s="284">
        <f>AT640+AW640+AZ640</f>
        <v>2361.8000000000002</v>
      </c>
      <c r="BB640" s="284">
        <f t="shared" si="517"/>
        <v>17123.05</v>
      </c>
      <c r="BC640" s="284">
        <f>BA640+AQ640+U640</f>
        <v>17123.05</v>
      </c>
      <c r="BD640" s="286">
        <f t="shared" si="518"/>
        <v>17123.05</v>
      </c>
      <c r="BE640" s="286"/>
      <c r="BF640" s="241">
        <f>IF(D640=1,BC640,0)</f>
        <v>0</v>
      </c>
      <c r="BG640" s="241">
        <f>IF(E640=1,BC640,0)</f>
        <v>0</v>
      </c>
      <c r="BH640" s="251">
        <f>IF(F640=1,BC640,0)</f>
        <v>0</v>
      </c>
      <c r="BI640" s="241">
        <f>IF(G640=1,BC640,0)</f>
        <v>0</v>
      </c>
      <c r="BJ640" s="251">
        <f>IF(H640=1,BC640,0)</f>
        <v>0</v>
      </c>
      <c r="BK640" s="251">
        <f>IF(I640=1,BC640,0)</f>
        <v>17123.05</v>
      </c>
      <c r="BL640" s="251">
        <f>IF(J640=1,BC640,0)</f>
        <v>0</v>
      </c>
      <c r="BM640" s="241">
        <f>IF(K640=1,BC640,0)</f>
        <v>0</v>
      </c>
    </row>
    <row r="641" spans="1:65" x14ac:dyDescent="0.25">
      <c r="A641" s="344"/>
      <c r="B641" s="288"/>
      <c r="C641" s="393"/>
      <c r="D641" s="279"/>
      <c r="E641" s="279"/>
      <c r="F641" s="279"/>
      <c r="G641" s="279"/>
      <c r="H641" s="279"/>
      <c r="I641" s="279"/>
      <c r="J641" s="279"/>
      <c r="K641" s="279"/>
      <c r="L641" s="277"/>
      <c r="M641" s="280"/>
      <c r="N641" s="281"/>
      <c r="O641" s="277"/>
      <c r="P641" s="282"/>
      <c r="Q641" s="277"/>
      <c r="R641" s="280"/>
      <c r="S641" s="280"/>
      <c r="T641" s="425"/>
      <c r="U641" s="284"/>
      <c r="V641" s="277"/>
      <c r="W641" s="285"/>
      <c r="X641" s="285"/>
      <c r="Y641" s="277"/>
      <c r="Z641" s="277"/>
      <c r="AA641" s="277"/>
      <c r="AB641" s="277"/>
      <c r="AC641" s="277"/>
      <c r="AD641" s="277"/>
      <c r="AE641" s="277"/>
      <c r="AF641" s="277"/>
      <c r="AG641" s="277"/>
      <c r="AH641" s="277"/>
      <c r="AI641" s="277"/>
      <c r="AJ641" s="277"/>
      <c r="AK641" s="277"/>
      <c r="AL641" s="277"/>
      <c r="AM641" s="285"/>
      <c r="AN641" s="277"/>
      <c r="AO641" s="277"/>
      <c r="AP641" s="285"/>
      <c r="AQ641" s="284"/>
      <c r="AR641" s="277"/>
      <c r="AS641" s="285"/>
      <c r="AT641" s="280"/>
      <c r="AU641" s="339"/>
      <c r="AV641" s="277"/>
      <c r="AW641" s="277"/>
      <c r="AX641" s="277"/>
      <c r="AY641" s="285"/>
      <c r="AZ641" s="280"/>
      <c r="BA641" s="284"/>
      <c r="BB641" s="284"/>
      <c r="BC641" s="284"/>
      <c r="BD641" s="286"/>
      <c r="BE641" s="286"/>
      <c r="BH641" s="251"/>
      <c r="BJ641" s="251"/>
      <c r="BK641" s="251"/>
      <c r="BL641" s="251"/>
    </row>
    <row r="642" spans="1:65" s="316" customFormat="1" ht="14.25" x14ac:dyDescent="0.25">
      <c r="A642" s="306"/>
      <c r="B642" s="372" t="s">
        <v>229</v>
      </c>
      <c r="C642" s="329">
        <f>SUM(C637:C640)</f>
        <v>4.5</v>
      </c>
      <c r="D642" s="309"/>
      <c r="E642" s="309"/>
      <c r="F642" s="309"/>
      <c r="G642" s="309"/>
      <c r="H642" s="309"/>
      <c r="I642" s="309"/>
      <c r="J642" s="309"/>
      <c r="K642" s="309"/>
      <c r="L642" s="309"/>
      <c r="M642" s="310"/>
      <c r="N642" s="309"/>
      <c r="O642" s="309"/>
      <c r="P642" s="309"/>
      <c r="Q642" s="309"/>
      <c r="R642" s="310"/>
      <c r="S642" s="310"/>
      <c r="T642" s="349">
        <f>U642</f>
        <v>64196.5</v>
      </c>
      <c r="U642" s="329">
        <f>SUM(U637:U640)</f>
        <v>64196.5</v>
      </c>
      <c r="V642" s="309"/>
      <c r="W642" s="309"/>
      <c r="X642" s="329">
        <f>SUM(X637:X640)</f>
        <v>9109.2000000000007</v>
      </c>
      <c r="Y642" s="329"/>
      <c r="Z642" s="329"/>
      <c r="AA642" s="329">
        <f>SUM(AA637:AA640)</f>
        <v>136.83000000000001</v>
      </c>
      <c r="AB642" s="329"/>
      <c r="AC642" s="329"/>
      <c r="AD642" s="329">
        <f>SUM(AD637:AD640)</f>
        <v>0</v>
      </c>
      <c r="AE642" s="329"/>
      <c r="AF642" s="329"/>
      <c r="AG642" s="329">
        <f>SUM(AG637:AG640)</f>
        <v>0</v>
      </c>
      <c r="AH642" s="329"/>
      <c r="AI642" s="329"/>
      <c r="AJ642" s="329">
        <f>SUM(AJ637:AJ640)</f>
        <v>0</v>
      </c>
      <c r="AK642" s="329"/>
      <c r="AL642" s="329"/>
      <c r="AM642" s="329">
        <f>SUM(AM637:AM640)</f>
        <v>3684.81</v>
      </c>
      <c r="AN642" s="329"/>
      <c r="AO642" s="329"/>
      <c r="AP642" s="329">
        <f>SUM(AP637:AP640)</f>
        <v>2952.25</v>
      </c>
      <c r="AQ642" s="329">
        <f>SUM(AQ637:AQ640)</f>
        <v>15883.09</v>
      </c>
      <c r="AR642" s="329"/>
      <c r="AS642" s="329">
        <f>SUM(AS637:AS640)</f>
        <v>11471</v>
      </c>
      <c r="AT642" s="329">
        <f>SUM(AT637:AT640)</f>
        <v>12839.3</v>
      </c>
      <c r="AU642" s="329">
        <f>SUM(AU637:AU640)</f>
        <v>1</v>
      </c>
      <c r="AV642" s="329"/>
      <c r="AW642" s="329">
        <f>SUM(AW637:AW640)</f>
        <v>13683</v>
      </c>
      <c r="AX642" s="329"/>
      <c r="AY642" s="329">
        <f>SUM(AY637:AY640)</f>
        <v>0</v>
      </c>
      <c r="AZ642" s="329">
        <f>SUM(AZ637:AZ640)</f>
        <v>0</v>
      </c>
      <c r="BA642" s="329">
        <f>SUM(BA637:BA640)</f>
        <v>26522.3</v>
      </c>
      <c r="BB642" s="329">
        <f t="shared" si="517"/>
        <v>23689.308888888892</v>
      </c>
      <c r="BC642" s="329">
        <f>SUM(BC637:BC640)</f>
        <v>106601.89000000001</v>
      </c>
      <c r="BD642" s="286">
        <f t="shared" si="518"/>
        <v>23689.308888888892</v>
      </c>
      <c r="BE642" s="323"/>
    </row>
    <row r="643" spans="1:65" s="316" customFormat="1" ht="14.25" x14ac:dyDescent="0.25">
      <c r="A643" s="306"/>
      <c r="B643" s="372"/>
      <c r="C643" s="329"/>
      <c r="D643" s="309"/>
      <c r="E643" s="309"/>
      <c r="F643" s="309"/>
      <c r="G643" s="309"/>
      <c r="H643" s="309"/>
      <c r="I643" s="309"/>
      <c r="J643" s="309"/>
      <c r="K643" s="309"/>
      <c r="L643" s="309"/>
      <c r="M643" s="310"/>
      <c r="N643" s="309"/>
      <c r="O643" s="309"/>
      <c r="P643" s="309"/>
      <c r="Q643" s="309"/>
      <c r="R643" s="310"/>
      <c r="S643" s="310"/>
      <c r="T643" s="349"/>
      <c r="U643" s="329"/>
      <c r="V643" s="309"/>
      <c r="W643" s="30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29"/>
      <c r="AY643" s="329"/>
      <c r="AZ643" s="329"/>
      <c r="BA643" s="329"/>
      <c r="BB643" s="329"/>
      <c r="BC643" s="329"/>
      <c r="BD643" s="286"/>
      <c r="BE643" s="323"/>
    </row>
    <row r="644" spans="1:65" s="316" customFormat="1" ht="14.25" x14ac:dyDescent="0.25">
      <c r="A644" s="306"/>
      <c r="B644" s="307" t="s">
        <v>229</v>
      </c>
      <c r="C644" s="329">
        <f>+C634+C642</f>
        <v>18.5</v>
      </c>
      <c r="D644" s="309"/>
      <c r="E644" s="309"/>
      <c r="F644" s="309"/>
      <c r="G644" s="309"/>
      <c r="H644" s="309"/>
      <c r="I644" s="309"/>
      <c r="J644" s="309"/>
      <c r="K644" s="309"/>
      <c r="L644" s="309"/>
      <c r="M644" s="310"/>
      <c r="N644" s="309"/>
      <c r="O644" s="309"/>
      <c r="P644" s="309"/>
      <c r="Q644" s="309"/>
      <c r="R644" s="310"/>
      <c r="S644" s="310"/>
      <c r="T644" s="349">
        <f>U644</f>
        <v>248578.5</v>
      </c>
      <c r="U644" s="329">
        <f>+U634+U642</f>
        <v>248578.5</v>
      </c>
      <c r="V644" s="309"/>
      <c r="W644" s="309"/>
      <c r="X644" s="329">
        <f>+X634+X642</f>
        <v>38038.199999999997</v>
      </c>
      <c r="Y644" s="329"/>
      <c r="Z644" s="329"/>
      <c r="AA644" s="329">
        <f>+AA634+AA642</f>
        <v>136.83000000000001</v>
      </c>
      <c r="AB644" s="329"/>
      <c r="AC644" s="329"/>
      <c r="AD644" s="329">
        <f>+AD634+AD642</f>
        <v>0</v>
      </c>
      <c r="AE644" s="329"/>
      <c r="AF644" s="329"/>
      <c r="AG644" s="329">
        <f>+AG634+AG642</f>
        <v>0</v>
      </c>
      <c r="AH644" s="329"/>
      <c r="AI644" s="329"/>
      <c r="AJ644" s="329">
        <f>+AJ634+AJ642</f>
        <v>0</v>
      </c>
      <c r="AK644" s="329"/>
      <c r="AL644" s="329"/>
      <c r="AM644" s="329">
        <f>+AM634+AM642</f>
        <v>23362.110000000004</v>
      </c>
      <c r="AN644" s="329"/>
      <c r="AO644" s="329"/>
      <c r="AP644" s="329">
        <f>+AP634+AP642</f>
        <v>2952.25</v>
      </c>
      <c r="AQ644" s="329">
        <f>+AQ634+AQ642</f>
        <v>64489.39</v>
      </c>
      <c r="AR644" s="329"/>
      <c r="AS644" s="329">
        <f>+AS634+AS642</f>
        <v>26531.599999999999</v>
      </c>
      <c r="AT644" s="329">
        <f>+AT634+AT642</f>
        <v>49715.7</v>
      </c>
      <c r="AU644" s="329">
        <f>+AU634+AU642</f>
        <v>1</v>
      </c>
      <c r="AV644" s="329"/>
      <c r="AW644" s="329">
        <f>+AW634+AW642</f>
        <v>13683</v>
      </c>
      <c r="AX644" s="329"/>
      <c r="AY644" s="329">
        <f>+AY634+AY642</f>
        <v>0</v>
      </c>
      <c r="AZ644" s="329">
        <f>+AZ634+AZ642</f>
        <v>0</v>
      </c>
      <c r="BA644" s="329">
        <f>+BA634+BA642</f>
        <v>63398.7</v>
      </c>
      <c r="BB644" s="329">
        <f t="shared" si="517"/>
        <v>20349.545405405406</v>
      </c>
      <c r="BC644" s="329">
        <f>+BC634+BC642</f>
        <v>376466.59</v>
      </c>
      <c r="BD644" s="286">
        <f t="shared" si="518"/>
        <v>20349.545405405406</v>
      </c>
      <c r="BE644" s="323"/>
      <c r="BF644" s="315">
        <f t="shared" ref="BF644:BM644" si="519">SUM(BF627:BF642)</f>
        <v>0</v>
      </c>
      <c r="BG644" s="315">
        <f t="shared" si="519"/>
        <v>0</v>
      </c>
      <c r="BH644" s="315">
        <f t="shared" si="519"/>
        <v>0</v>
      </c>
      <c r="BI644" s="315">
        <f t="shared" si="519"/>
        <v>0</v>
      </c>
      <c r="BJ644" s="315">
        <f t="shared" si="519"/>
        <v>86137.66</v>
      </c>
      <c r="BK644" s="315">
        <f t="shared" si="519"/>
        <v>199835.72999999998</v>
      </c>
      <c r="BL644" s="315">
        <f t="shared" si="519"/>
        <v>90493.200000000012</v>
      </c>
      <c r="BM644" s="315">
        <f t="shared" si="519"/>
        <v>0</v>
      </c>
    </row>
    <row r="645" spans="1:65" s="287" customFormat="1" ht="14.25" x14ac:dyDescent="0.25">
      <c r="A645" s="276"/>
      <c r="B645" s="277"/>
      <c r="C645" s="394"/>
      <c r="D645" s="395"/>
      <c r="E645" s="395"/>
      <c r="F645" s="395"/>
      <c r="G645" s="395"/>
      <c r="H645" s="395"/>
      <c r="I645" s="395"/>
      <c r="J645" s="395"/>
      <c r="K645" s="395"/>
      <c r="L645" s="395"/>
      <c r="M645" s="396"/>
      <c r="N645" s="395"/>
      <c r="O645" s="395"/>
      <c r="P645" s="395"/>
      <c r="Q645" s="395"/>
      <c r="R645" s="396"/>
      <c r="S645" s="396"/>
      <c r="T645" s="395"/>
      <c r="U645" s="394"/>
      <c r="V645" s="395"/>
      <c r="W645" s="395"/>
      <c r="X645" s="394"/>
      <c r="Y645" s="394"/>
      <c r="Z645" s="394"/>
      <c r="AA645" s="394"/>
      <c r="AB645" s="394"/>
      <c r="AC645" s="394"/>
      <c r="AD645" s="394"/>
      <c r="AE645" s="394"/>
      <c r="AF645" s="394"/>
      <c r="AG645" s="394"/>
      <c r="AH645" s="394"/>
      <c r="AI645" s="394"/>
      <c r="AJ645" s="394"/>
      <c r="AK645" s="394"/>
      <c r="AL645" s="394"/>
      <c r="AM645" s="394"/>
      <c r="AN645" s="394"/>
      <c r="AO645" s="394"/>
      <c r="AP645" s="394"/>
      <c r="AQ645" s="394"/>
      <c r="AR645" s="394"/>
      <c r="AS645" s="394"/>
      <c r="AT645" s="394"/>
      <c r="AU645" s="394"/>
      <c r="AV645" s="394"/>
      <c r="AW645" s="394"/>
      <c r="AX645" s="394"/>
      <c r="AY645" s="394"/>
      <c r="AZ645" s="394"/>
      <c r="BA645" s="394"/>
      <c r="BB645" s="394"/>
      <c r="BC645" s="394"/>
      <c r="BD645" s="323"/>
      <c r="BE645" s="323"/>
      <c r="BF645" s="323"/>
      <c r="BG645" s="323"/>
      <c r="BH645" s="323"/>
      <c r="BI645" s="323"/>
      <c r="BJ645" s="323"/>
      <c r="BK645" s="323"/>
      <c r="BL645" s="323"/>
      <c r="BM645" s="323"/>
    </row>
    <row r="646" spans="1:65" s="275" customFormat="1" ht="26.45" hidden="1" customHeight="1" x14ac:dyDescent="0.25">
      <c r="A646" s="270" t="s">
        <v>263</v>
      </c>
      <c r="B646" s="324" t="s">
        <v>281</v>
      </c>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2"/>
      <c r="AY646" s="272"/>
      <c r="AZ646" s="272"/>
      <c r="BA646" s="272"/>
      <c r="BB646" s="272"/>
      <c r="BC646" s="273"/>
      <c r="BD646" s="274"/>
      <c r="BE646" s="274"/>
    </row>
    <row r="647" spans="1:65" ht="28.5" hidden="1" customHeight="1" x14ac:dyDescent="0.25">
      <c r="A647" s="344"/>
      <c r="B647" s="277" t="s">
        <v>265</v>
      </c>
      <c r="C647" s="278"/>
      <c r="D647" s="279"/>
      <c r="E647" s="279"/>
      <c r="F647" s="279"/>
      <c r="G647" s="279"/>
      <c r="H647" s="279"/>
      <c r="I647" s="279"/>
      <c r="J647" s="279"/>
      <c r="K647" s="397"/>
      <c r="L647" s="277"/>
      <c r="M647" s="461"/>
      <c r="N647" s="281"/>
      <c r="O647" s="277"/>
      <c r="P647" s="282"/>
      <c r="Q647" s="277"/>
      <c r="R647" s="280">
        <f>$R$565</f>
        <v>174</v>
      </c>
      <c r="S647" s="280">
        <f>T647/(R647/3)</f>
        <v>0</v>
      </c>
      <c r="T647" s="425">
        <f>ROUND(M647*N647*O647*P647,0)</f>
        <v>0</v>
      </c>
      <c r="U647" s="284">
        <f>T647*C647</f>
        <v>0</v>
      </c>
      <c r="V647" s="277">
        <v>0</v>
      </c>
      <c r="W647" s="285"/>
      <c r="X647" s="285">
        <f>U647*V647%</f>
        <v>0</v>
      </c>
      <c r="Y647" s="277"/>
      <c r="Z647" s="277"/>
      <c r="AA647" s="277"/>
      <c r="AB647" s="277"/>
      <c r="AC647" s="277"/>
      <c r="AD647" s="277"/>
      <c r="AE647" s="277"/>
      <c r="AF647" s="277"/>
      <c r="AG647" s="277"/>
      <c r="AH647" s="277"/>
      <c r="AI647" s="277"/>
      <c r="AJ647" s="277"/>
      <c r="AK647" s="277"/>
      <c r="AL647" s="277"/>
      <c r="AM647" s="277"/>
      <c r="AN647" s="277"/>
      <c r="AO647" s="277"/>
      <c r="AP647" s="277"/>
      <c r="AQ647" s="284">
        <f>X647+AA647+AD647+AG647+AJ647+AM647+AP647</f>
        <v>0</v>
      </c>
      <c r="AR647" s="277">
        <v>0</v>
      </c>
      <c r="AS647" s="285" t="e">
        <f>AT647/C647</f>
        <v>#DIV/0!</v>
      </c>
      <c r="AT647" s="280">
        <f>(U647)*AR647%</f>
        <v>0</v>
      </c>
      <c r="AU647" s="277"/>
      <c r="AV647" s="277">
        <v>100</v>
      </c>
      <c r="AW647" s="277">
        <f>AU647*T647</f>
        <v>0</v>
      </c>
      <c r="AX647" s="277"/>
      <c r="AY647" s="285"/>
      <c r="AZ647" s="280"/>
      <c r="BA647" s="284">
        <f>AT647+AW647+AZ647</f>
        <v>0</v>
      </c>
      <c r="BB647" s="284" t="e">
        <f>BC647/C647</f>
        <v>#DIV/0!</v>
      </c>
      <c r="BC647" s="284">
        <f>BA647+AQ647+U647</f>
        <v>0</v>
      </c>
      <c r="BD647" s="286" t="e">
        <f>BC647/C647</f>
        <v>#DIV/0!</v>
      </c>
      <c r="BE647" s="286"/>
      <c r="BF647" s="241">
        <f>IF(D647=1,BC647,0)</f>
        <v>0</v>
      </c>
      <c r="BG647" s="241">
        <f>IF(E647=1,BC647,0)</f>
        <v>0</v>
      </c>
      <c r="BH647" s="241">
        <f>IF(F647=1,BC647,0)</f>
        <v>0</v>
      </c>
      <c r="BI647" s="241">
        <f>IF(G647=1,BC647,0)</f>
        <v>0</v>
      </c>
      <c r="BJ647" s="251">
        <f>IF(H647=1,BC647,0)</f>
        <v>0</v>
      </c>
      <c r="BK647" s="251">
        <f>IF(I647=1,BC647,0)</f>
        <v>0</v>
      </c>
      <c r="BL647" s="251">
        <f>IF(J647=1,BC647,0)</f>
        <v>0</v>
      </c>
      <c r="BM647" s="241">
        <f>IF(K647=1,BC647,0)</f>
        <v>0</v>
      </c>
    </row>
    <row r="648" spans="1:65" s="287" customFormat="1" hidden="1" x14ac:dyDescent="0.25">
      <c r="A648" s="276"/>
      <c r="B648" s="288" t="s">
        <v>240</v>
      </c>
      <c r="C648" s="278"/>
      <c r="D648" s="279"/>
      <c r="E648" s="279"/>
      <c r="F648" s="328"/>
      <c r="G648" s="328"/>
      <c r="H648" s="279"/>
      <c r="I648" s="328"/>
      <c r="J648" s="328"/>
      <c r="K648" s="279"/>
      <c r="L648" s="277"/>
      <c r="M648" s="461"/>
      <c r="N648" s="281"/>
      <c r="O648" s="277"/>
      <c r="P648" s="282"/>
      <c r="Q648" s="277"/>
      <c r="R648" s="280">
        <f>$R$565</f>
        <v>174</v>
      </c>
      <c r="S648" s="280">
        <f>T648/(R648/3)</f>
        <v>0</v>
      </c>
      <c r="T648" s="425">
        <f>ROUND(M648*N648*O648*P648,0)</f>
        <v>0</v>
      </c>
      <c r="U648" s="284">
        <f>T648*C648</f>
        <v>0</v>
      </c>
      <c r="V648" s="277"/>
      <c r="W648" s="285"/>
      <c r="X648" s="285">
        <f>U648*V648%</f>
        <v>0</v>
      </c>
      <c r="Y648" s="277"/>
      <c r="Z648" s="285"/>
      <c r="AA648" s="285">
        <f>U648*Y648%</f>
        <v>0</v>
      </c>
      <c r="AB648" s="277"/>
      <c r="AC648" s="277"/>
      <c r="AD648" s="277"/>
      <c r="AE648" s="277"/>
      <c r="AF648" s="277"/>
      <c r="AG648" s="277"/>
      <c r="AH648" s="277"/>
      <c r="AI648" s="277"/>
      <c r="AJ648" s="277"/>
      <c r="AK648" s="277"/>
      <c r="AL648" s="277"/>
      <c r="AM648" s="285"/>
      <c r="AN648" s="277"/>
      <c r="AO648" s="277"/>
      <c r="AP648" s="285">
        <f>U648*AN648%</f>
        <v>0</v>
      </c>
      <c r="AQ648" s="284">
        <f>X648+AA648+AD648+AG648+AJ648+AM648+AP648</f>
        <v>0</v>
      </c>
      <c r="AR648" s="277"/>
      <c r="AS648" s="277" t="e">
        <f>AT648/C648</f>
        <v>#DIV/0!</v>
      </c>
      <c r="AT648" s="280">
        <f>(U648)*AR648%</f>
        <v>0</v>
      </c>
      <c r="AU648" s="277"/>
      <c r="AV648" s="277">
        <v>100</v>
      </c>
      <c r="AW648" s="277">
        <f>AU648*T648</f>
        <v>0</v>
      </c>
      <c r="AX648" s="277"/>
      <c r="AY648" s="277"/>
      <c r="AZ648" s="283"/>
      <c r="BA648" s="284">
        <f>AT648+AW648+AZ648</f>
        <v>0</v>
      </c>
      <c r="BB648" s="284" t="e">
        <f>BC648/C648</f>
        <v>#DIV/0!</v>
      </c>
      <c r="BC648" s="284">
        <f>BA648+AQ648+U648</f>
        <v>0</v>
      </c>
      <c r="BD648" s="286" t="e">
        <f>BC648/C648</f>
        <v>#DIV/0!</v>
      </c>
      <c r="BE648" s="286"/>
      <c r="BF648" s="241">
        <f>IF(D648=1,BC648,0)</f>
        <v>0</v>
      </c>
      <c r="BG648" s="241">
        <f>IF(E648=1,BC648,0)</f>
        <v>0</v>
      </c>
      <c r="BH648" s="241">
        <f>IF(F648=1,BC648,0)</f>
        <v>0</v>
      </c>
      <c r="BI648" s="241">
        <f>IF(G648=1,BC648,0)</f>
        <v>0</v>
      </c>
      <c r="BJ648" s="251">
        <f>IF(H648=1,BC648,0)</f>
        <v>0</v>
      </c>
      <c r="BK648" s="241">
        <f>IF(I648=1,BC648,0)</f>
        <v>0</v>
      </c>
      <c r="BL648" s="241">
        <f>IF(J648=1,BC648,0)</f>
        <v>0</v>
      </c>
      <c r="BM648" s="241">
        <f>IF(K648=1,BC648,0)</f>
        <v>0</v>
      </c>
    </row>
    <row r="649" spans="1:65" s="287" customFormat="1" hidden="1" x14ac:dyDescent="0.25">
      <c r="A649" s="276"/>
      <c r="B649" s="288" t="s">
        <v>217</v>
      </c>
      <c r="C649" s="393"/>
      <c r="D649" s="279"/>
      <c r="E649" s="279"/>
      <c r="F649" s="279"/>
      <c r="G649" s="279"/>
      <c r="H649" s="279"/>
      <c r="I649" s="279"/>
      <c r="J649" s="279"/>
      <c r="K649" s="279"/>
      <c r="L649" s="277"/>
      <c r="M649" s="461"/>
      <c r="N649" s="281"/>
      <c r="O649" s="282"/>
      <c r="P649" s="282"/>
      <c r="Q649" s="282"/>
      <c r="R649" s="280">
        <f>$R$565</f>
        <v>174</v>
      </c>
      <c r="S649" s="280">
        <f>T649/(R649/1)</f>
        <v>0</v>
      </c>
      <c r="T649" s="425">
        <f>ROUND(M649*N649*O649*P649,0)</f>
        <v>0</v>
      </c>
      <c r="U649" s="284">
        <f>T649*C649</f>
        <v>0</v>
      </c>
      <c r="V649" s="277"/>
      <c r="W649" s="285"/>
      <c r="X649" s="285">
        <f>U649*V649%</f>
        <v>0</v>
      </c>
      <c r="Y649" s="277"/>
      <c r="Z649" s="277"/>
      <c r="AA649" s="277"/>
      <c r="AB649" s="277"/>
      <c r="AC649" s="277"/>
      <c r="AD649" s="277"/>
      <c r="AE649" s="277"/>
      <c r="AF649" s="277"/>
      <c r="AG649" s="277"/>
      <c r="AH649" s="277"/>
      <c r="AI649" s="277"/>
      <c r="AJ649" s="277"/>
      <c r="AK649" s="277"/>
      <c r="AL649" s="277"/>
      <c r="AM649" s="277"/>
      <c r="AN649" s="277"/>
      <c r="AO649" s="277"/>
      <c r="AP649" s="277"/>
      <c r="AQ649" s="284">
        <f>X649+AA649+AD649+AG649+AJ649+AM649+AP649</f>
        <v>0</v>
      </c>
      <c r="AR649" s="277"/>
      <c r="AS649" s="277" t="e">
        <f>AT649/C649</f>
        <v>#DIV/0!</v>
      </c>
      <c r="AT649" s="280">
        <f>(U649)*AR649%</f>
        <v>0</v>
      </c>
      <c r="AU649" s="282"/>
      <c r="AV649" s="277">
        <v>100</v>
      </c>
      <c r="AW649" s="277">
        <f>AU649*T649</f>
        <v>0</v>
      </c>
      <c r="AX649" s="277"/>
      <c r="AY649" s="277"/>
      <c r="AZ649" s="280"/>
      <c r="BA649" s="284">
        <f>AT649+AW649+AZ649</f>
        <v>0</v>
      </c>
      <c r="BB649" s="284" t="e">
        <f>BC649/C649</f>
        <v>#DIV/0!</v>
      </c>
      <c r="BC649" s="284">
        <f>BA649+AQ649+U649</f>
        <v>0</v>
      </c>
      <c r="BD649" s="286" t="e">
        <f>BC649/C649</f>
        <v>#DIV/0!</v>
      </c>
      <c r="BE649" s="286"/>
      <c r="BF649" s="251">
        <f>IF(D649=1,BC649,0)</f>
        <v>0</v>
      </c>
      <c r="BG649" s="251">
        <f>IF(E649=1,BC649,0)</f>
        <v>0</v>
      </c>
      <c r="BH649" s="251">
        <f>IF(F649=1,BC649,0)</f>
        <v>0</v>
      </c>
      <c r="BI649" s="251">
        <f>IF(G649=1,BC649,0)</f>
        <v>0</v>
      </c>
      <c r="BJ649" s="251">
        <f>IF(H649=1,BC649,0)</f>
        <v>0</v>
      </c>
      <c r="BK649" s="251">
        <f>IF(I649=1,BC649,0)</f>
        <v>0</v>
      </c>
      <c r="BL649" s="251">
        <f>IF(J649=1,BC649,0)</f>
        <v>0</v>
      </c>
      <c r="BM649" s="251">
        <f>IF(K649=1,BC649,0)</f>
        <v>0</v>
      </c>
    </row>
    <row r="650" spans="1:65" ht="21" hidden="1" customHeight="1" x14ac:dyDescent="0.25">
      <c r="A650" s="344"/>
      <c r="B650" s="288" t="s">
        <v>243</v>
      </c>
      <c r="C650" s="393"/>
      <c r="D650" s="279"/>
      <c r="E650" s="279"/>
      <c r="F650" s="328"/>
      <c r="G650" s="328"/>
      <c r="H650" s="279"/>
      <c r="I650" s="328"/>
      <c r="J650" s="328"/>
      <c r="K650" s="279"/>
      <c r="L650" s="277"/>
      <c r="M650" s="461"/>
      <c r="N650" s="281"/>
      <c r="O650" s="277"/>
      <c r="P650" s="282"/>
      <c r="Q650" s="277"/>
      <c r="R650" s="280">
        <f>$R$565</f>
        <v>174</v>
      </c>
      <c r="S650" s="280">
        <f>T650/(R650/3)</f>
        <v>0</v>
      </c>
      <c r="T650" s="425">
        <f>ROUND(M650*N650*O650*P650,0)</f>
        <v>0</v>
      </c>
      <c r="U650" s="284">
        <f>T650*C650</f>
        <v>0</v>
      </c>
      <c r="V650" s="277"/>
      <c r="W650" s="285"/>
      <c r="X650" s="285">
        <f>U650*V650%</f>
        <v>0</v>
      </c>
      <c r="Y650" s="277"/>
      <c r="Z650" s="277"/>
      <c r="AA650" s="277"/>
      <c r="AB650" s="345"/>
      <c r="AC650" s="345"/>
      <c r="AD650" s="345"/>
      <c r="AE650" s="345"/>
      <c r="AF650" s="345"/>
      <c r="AG650" s="345"/>
      <c r="AH650" s="345"/>
      <c r="AI650" s="345"/>
      <c r="AJ650" s="345"/>
      <c r="AK650" s="277"/>
      <c r="AL650" s="285"/>
      <c r="AM650" s="285"/>
      <c r="AN650" s="277"/>
      <c r="AO650" s="285"/>
      <c r="AP650" s="285">
        <f>U650*AN650%</f>
        <v>0</v>
      </c>
      <c r="AQ650" s="284">
        <f>X650+AA650+AD650+AG650+AJ650+AM650+AP650</f>
        <v>0</v>
      </c>
      <c r="AR650" s="277"/>
      <c r="AS650" s="277" t="e">
        <f>AT650/C650</f>
        <v>#DIV/0!</v>
      </c>
      <c r="AT650" s="280">
        <f>(U650)*AR650%</f>
        <v>0</v>
      </c>
      <c r="AU650" s="282"/>
      <c r="AV650" s="277">
        <v>100</v>
      </c>
      <c r="AW650" s="277">
        <f>AU650*T650</f>
        <v>0</v>
      </c>
      <c r="AX650" s="277"/>
      <c r="AY650" s="277"/>
      <c r="AZ650" s="304"/>
      <c r="BA650" s="284">
        <f>AT650+AW650+AZ650</f>
        <v>0</v>
      </c>
      <c r="BB650" s="284" t="e">
        <f>BC650/C650</f>
        <v>#DIV/0!</v>
      </c>
      <c r="BC650" s="284">
        <f>BA650+AQ650+U650</f>
        <v>0</v>
      </c>
      <c r="BD650" s="286" t="e">
        <f>BC650/C650</f>
        <v>#DIV/0!</v>
      </c>
      <c r="BE650" s="286"/>
      <c r="BF650" s="251">
        <f>IF(D650=1,BC650,0)</f>
        <v>0</v>
      </c>
      <c r="BG650" s="251">
        <f>IF(E650=1,BC650,0)</f>
        <v>0</v>
      </c>
      <c r="BH650" s="251">
        <f>IF(F650=1,BC650,0)</f>
        <v>0</v>
      </c>
      <c r="BI650" s="251">
        <f>IF(G650=1,BC650,0)</f>
        <v>0</v>
      </c>
      <c r="BJ650" s="251">
        <f>IF(H650=1,BC650,0)</f>
        <v>0</v>
      </c>
      <c r="BK650" s="251">
        <f>IF(I650=1,BC650,0)</f>
        <v>0</v>
      </c>
      <c r="BL650" s="251">
        <f>IF(J650=1,BC650,0)</f>
        <v>0</v>
      </c>
      <c r="BM650" s="251">
        <f>IF(K650=1,BC650,0)</f>
        <v>0</v>
      </c>
    </row>
    <row r="651" spans="1:65" s="316" customFormat="1" ht="18.75" hidden="1" customHeight="1" x14ac:dyDescent="0.25">
      <c r="A651" s="306"/>
      <c r="B651" s="307" t="s">
        <v>229</v>
      </c>
      <c r="C651" s="329">
        <f>SUM(C647:C650)</f>
        <v>0</v>
      </c>
      <c r="D651" s="309"/>
      <c r="E651" s="309"/>
      <c r="F651" s="309"/>
      <c r="G651" s="309"/>
      <c r="H651" s="309"/>
      <c r="I651" s="309"/>
      <c r="J651" s="309"/>
      <c r="K651" s="309"/>
      <c r="L651" s="309"/>
      <c r="M651" s="310"/>
      <c r="N651" s="309"/>
      <c r="O651" s="309"/>
      <c r="P651" s="309"/>
      <c r="Q651" s="309"/>
      <c r="R651" s="310"/>
      <c r="S651" s="310"/>
      <c r="T651" s="349">
        <f>U651</f>
        <v>0</v>
      </c>
      <c r="U651" s="329">
        <f>SUM(U647:U650)</f>
        <v>0</v>
      </c>
      <c r="V651" s="309"/>
      <c r="W651" s="309"/>
      <c r="X651" s="329">
        <f>SUM(X647:X650)</f>
        <v>0</v>
      </c>
      <c r="Y651" s="329"/>
      <c r="Z651" s="329"/>
      <c r="AA651" s="329">
        <f>SUM(AA647:AA650)</f>
        <v>0</v>
      </c>
      <c r="AB651" s="329"/>
      <c r="AC651" s="329"/>
      <c r="AD651" s="329">
        <f>SUM(AD647:AD650)</f>
        <v>0</v>
      </c>
      <c r="AE651" s="329"/>
      <c r="AF651" s="329"/>
      <c r="AG651" s="329">
        <f>SUM(AG647:AG650)</f>
        <v>0</v>
      </c>
      <c r="AH651" s="329"/>
      <c r="AI651" s="329"/>
      <c r="AJ651" s="329">
        <f>SUM(AJ647:AJ650)</f>
        <v>0</v>
      </c>
      <c r="AK651" s="329"/>
      <c r="AL651" s="329"/>
      <c r="AM651" s="329">
        <f>SUM(AM647:AM650)</f>
        <v>0</v>
      </c>
      <c r="AN651" s="329"/>
      <c r="AO651" s="329"/>
      <c r="AP651" s="329">
        <f>SUM(AP647:AP650)</f>
        <v>0</v>
      </c>
      <c r="AQ651" s="329">
        <f>SUM(AQ647:AQ650)</f>
        <v>0</v>
      </c>
      <c r="AR651" s="329"/>
      <c r="AS651" s="329" t="e">
        <f>SUM(AS647:AS650)</f>
        <v>#DIV/0!</v>
      </c>
      <c r="AT651" s="329">
        <f>SUM(AT647:AT650)</f>
        <v>0</v>
      </c>
      <c r="AU651" s="329">
        <f>SUM(AU647:AU650)</f>
        <v>0</v>
      </c>
      <c r="AV651" s="329"/>
      <c r="AW651" s="329">
        <f>SUM(AW647:AW650)</f>
        <v>0</v>
      </c>
      <c r="AX651" s="329"/>
      <c r="AY651" s="329">
        <f>SUM(AY647:AY650)</f>
        <v>0</v>
      </c>
      <c r="AZ651" s="329">
        <f>SUM(AZ647:AZ650)</f>
        <v>0</v>
      </c>
      <c r="BA651" s="329">
        <f>SUM(BA647:BA650)</f>
        <v>0</v>
      </c>
      <c r="BB651" s="329" t="e">
        <f>BC651/C651</f>
        <v>#DIV/0!</v>
      </c>
      <c r="BC651" s="329">
        <f>SUM(BC647:BC650)</f>
        <v>0</v>
      </c>
      <c r="BD651" s="286" t="e">
        <f>BC651/C651</f>
        <v>#DIV/0!</v>
      </c>
      <c r="BE651" s="323"/>
    </row>
    <row r="652" spans="1:65" s="316" customFormat="1" ht="18.75" hidden="1" customHeight="1" x14ac:dyDescent="0.25">
      <c r="A652" s="306"/>
      <c r="B652" s="307"/>
      <c r="C652" s="329"/>
      <c r="D652" s="309"/>
      <c r="E652" s="309"/>
      <c r="F652" s="309"/>
      <c r="G652" s="309"/>
      <c r="H652" s="309"/>
      <c r="I652" s="309"/>
      <c r="J652" s="309"/>
      <c r="K652" s="309"/>
      <c r="L652" s="309"/>
      <c r="M652" s="310"/>
      <c r="N652" s="309"/>
      <c r="O652" s="309"/>
      <c r="P652" s="309"/>
      <c r="Q652" s="309"/>
      <c r="R652" s="310"/>
      <c r="S652" s="310"/>
      <c r="T652" s="311"/>
      <c r="U652" s="329"/>
      <c r="V652" s="309"/>
      <c r="W652" s="309"/>
      <c r="X652" s="329"/>
      <c r="Y652" s="329"/>
      <c r="Z652" s="329"/>
      <c r="AA652" s="329"/>
      <c r="AB652" s="329"/>
      <c r="AC652" s="329"/>
      <c r="AD652" s="329"/>
      <c r="AE652" s="329"/>
      <c r="AF652" s="329"/>
      <c r="AG652" s="329"/>
      <c r="AH652" s="329"/>
      <c r="AI652" s="329"/>
      <c r="AJ652" s="329"/>
      <c r="AK652" s="329"/>
      <c r="AL652" s="329"/>
      <c r="AM652" s="329"/>
      <c r="AN652" s="329"/>
      <c r="AO652" s="329"/>
      <c r="AP652" s="329"/>
      <c r="AQ652" s="329"/>
      <c r="AR652" s="329"/>
      <c r="AS652" s="329"/>
      <c r="AT652" s="329"/>
      <c r="AU652" s="329"/>
      <c r="AV652" s="329"/>
      <c r="AW652" s="329"/>
      <c r="AX652" s="329"/>
      <c r="AY652" s="329"/>
      <c r="AZ652" s="329"/>
      <c r="BA652" s="329"/>
      <c r="BB652" s="329"/>
      <c r="BC652" s="329"/>
      <c r="BD652" s="323"/>
      <c r="BE652" s="323"/>
    </row>
    <row r="653" spans="1:65" s="316" customFormat="1" ht="18.75" customHeight="1" x14ac:dyDescent="0.25">
      <c r="A653" s="306"/>
      <c r="B653" s="307"/>
      <c r="C653" s="329"/>
      <c r="D653" s="309"/>
      <c r="E653" s="309"/>
      <c r="F653" s="309"/>
      <c r="G653" s="309"/>
      <c r="H653" s="309"/>
      <c r="I653" s="309"/>
      <c r="J653" s="309"/>
      <c r="K653" s="309"/>
      <c r="L653" s="309"/>
      <c r="M653" s="310"/>
      <c r="N653" s="309"/>
      <c r="O653" s="309"/>
      <c r="P653" s="309"/>
      <c r="Q653" s="309"/>
      <c r="R653" s="310"/>
      <c r="S653" s="310"/>
      <c r="T653" s="311"/>
      <c r="U653" s="329"/>
      <c r="V653" s="309"/>
      <c r="W653" s="309"/>
      <c r="X653" s="329"/>
      <c r="Y653" s="329"/>
      <c r="Z653" s="329"/>
      <c r="AA653" s="329"/>
      <c r="AB653" s="329"/>
      <c r="AC653" s="329"/>
      <c r="AD653" s="329"/>
      <c r="AE653" s="329"/>
      <c r="AF653" s="329"/>
      <c r="AG653" s="329"/>
      <c r="AH653" s="329"/>
      <c r="AI653" s="329"/>
      <c r="AJ653" s="329"/>
      <c r="AK653" s="329"/>
      <c r="AL653" s="329"/>
      <c r="AM653" s="329"/>
      <c r="AN653" s="329"/>
      <c r="AO653" s="329"/>
      <c r="AP653" s="329"/>
      <c r="AQ653" s="329"/>
      <c r="AR653" s="329"/>
      <c r="AS653" s="329"/>
      <c r="AT653" s="329"/>
      <c r="AU653" s="329"/>
      <c r="AV653" s="329"/>
      <c r="AW653" s="329"/>
      <c r="AX653" s="329"/>
      <c r="AY653" s="329"/>
      <c r="AZ653" s="329"/>
      <c r="BA653" s="329"/>
      <c r="BB653" s="329"/>
      <c r="BC653" s="329"/>
      <c r="BD653" s="323"/>
      <c r="BE653" s="323"/>
    </row>
    <row r="654" spans="1:65" s="316" customFormat="1" ht="35.25" customHeight="1" thickBot="1" x14ac:dyDescent="0.3">
      <c r="A654" s="398"/>
      <c r="B654" s="399" t="s">
        <v>268</v>
      </c>
      <c r="C654" s="400">
        <f>C582+C623+C644+C651</f>
        <v>88.5</v>
      </c>
      <c r="D654" s="401"/>
      <c r="E654" s="401"/>
      <c r="F654" s="401"/>
      <c r="G654" s="401"/>
      <c r="H654" s="401"/>
      <c r="I654" s="401"/>
      <c r="J654" s="401"/>
      <c r="K654" s="401"/>
      <c r="L654" s="401"/>
      <c r="M654" s="402"/>
      <c r="N654" s="401"/>
      <c r="O654" s="401"/>
      <c r="P654" s="401"/>
      <c r="Q654" s="401"/>
      <c r="R654" s="402"/>
      <c r="S654" s="402"/>
      <c r="T654" s="349">
        <f>U654</f>
        <v>1395685.5</v>
      </c>
      <c r="U654" s="403">
        <f>U582+U623+U644+U651</f>
        <v>1395685.5</v>
      </c>
      <c r="V654" s="403"/>
      <c r="W654" s="403">
        <f>W582+W623+W644+W651</f>
        <v>0</v>
      </c>
      <c r="X654" s="403">
        <f>X582+X623+X644+X651</f>
        <v>240700.79999999999</v>
      </c>
      <c r="Y654" s="403"/>
      <c r="Z654" s="403">
        <f>Z582+Z623+Z644+Z651</f>
        <v>0</v>
      </c>
      <c r="AA654" s="403">
        <f>AA582+AA623+AA644+AA651</f>
        <v>19067.150000000001</v>
      </c>
      <c r="AB654" s="403"/>
      <c r="AC654" s="403"/>
      <c r="AD654" s="403">
        <f>AD582+AD623+AD644+AD651</f>
        <v>11292.266666666666</v>
      </c>
      <c r="AE654" s="403"/>
      <c r="AF654" s="403">
        <f>AF582+AF623+AF644+AF651</f>
        <v>0</v>
      </c>
      <c r="AG654" s="403">
        <f>AG582+AG623+AG644+AG651</f>
        <v>39522.933333333334</v>
      </c>
      <c r="AH654" s="403"/>
      <c r="AI654" s="403">
        <f>AI582+AI623+AI644+AI651</f>
        <v>0</v>
      </c>
      <c r="AJ654" s="403">
        <f>AJ582+AJ623+AJ644+AJ651</f>
        <v>28255.988505747126</v>
      </c>
      <c r="AK654" s="403"/>
      <c r="AL654" s="403">
        <f>AL582+AL623+AL644+AL651</f>
        <v>0</v>
      </c>
      <c r="AM654" s="403">
        <f>AM582+AM623+AM644+AM651</f>
        <v>105564.28</v>
      </c>
      <c r="AN654" s="403"/>
      <c r="AO654" s="403">
        <f>AO582+AO623+AO644+AO651</f>
        <v>0</v>
      </c>
      <c r="AP654" s="403">
        <f>AP582+AP623+AP644+AP651</f>
        <v>8493.5</v>
      </c>
      <c r="AQ654" s="403">
        <f>AQ582+AQ623+AQ644+AQ651</f>
        <v>452896.91850574716</v>
      </c>
      <c r="AR654" s="403"/>
      <c r="AS654" s="403" t="e">
        <f>AS582+AS623+AS644+AS651</f>
        <v>#DIV/0!</v>
      </c>
      <c r="AT654" s="403">
        <f>AT582+AT623+AT644+AT651</f>
        <v>270525.5</v>
      </c>
      <c r="AU654" s="403">
        <f>AU582+AU623+AU644+AU651</f>
        <v>7</v>
      </c>
      <c r="AV654" s="403"/>
      <c r="AW654" s="403">
        <f>AW582+AW623+AW644+AW651</f>
        <v>106019</v>
      </c>
      <c r="AX654" s="403"/>
      <c r="AY654" s="403">
        <f>AY582+AY623+AY644+AY651</f>
        <v>1642.2879999999996</v>
      </c>
      <c r="AZ654" s="403">
        <f>AZ582+AZ623+AZ644+AZ651</f>
        <v>0</v>
      </c>
      <c r="BA654" s="403">
        <f>BA582+BA623+BA644+BA651</f>
        <v>376544.5</v>
      </c>
      <c r="BB654" s="403" t="e">
        <f>BB582+BB623+BB644+BB651</f>
        <v>#DIV/0!</v>
      </c>
      <c r="BC654" s="403">
        <f>BC582+BC623+BC644+BC651</f>
        <v>2225126.9185057469</v>
      </c>
      <c r="BD654" s="286">
        <f>BC654/C654</f>
        <v>25142.677045262677</v>
      </c>
      <c r="BE654" s="323"/>
    </row>
    <row r="655" spans="1:65" s="239" customFormat="1" ht="15" customHeight="1" x14ac:dyDescent="0.25">
      <c r="A655" s="467"/>
      <c r="M655" s="240"/>
      <c r="R655" s="240"/>
      <c r="S655" s="240"/>
      <c r="U655" s="419"/>
      <c r="V655" s="419"/>
      <c r="W655" s="419"/>
      <c r="X655" s="419"/>
      <c r="Y655" s="419"/>
      <c r="Z655" s="419"/>
      <c r="AA655" s="419"/>
      <c r="AB655" s="419"/>
      <c r="AC655" s="419"/>
      <c r="AD655" s="419"/>
      <c r="AE655" s="419"/>
      <c r="AF655" s="419"/>
      <c r="AG655" s="419"/>
      <c r="AH655" s="419"/>
      <c r="AI655" s="419"/>
      <c r="AJ655" s="419"/>
      <c r="AK655" s="419"/>
      <c r="AL655" s="419"/>
      <c r="AM655" s="419"/>
      <c r="AN655" s="419"/>
      <c r="AO655" s="419"/>
      <c r="AP655" s="419"/>
      <c r="AQ655" s="419"/>
      <c r="AR655" s="419"/>
      <c r="AS655" s="419"/>
      <c r="AT655" s="242"/>
      <c r="AU655" s="241"/>
      <c r="AV655" s="241"/>
      <c r="AW655" s="241"/>
      <c r="AX655" s="241"/>
      <c r="AY655" s="241"/>
      <c r="AZ655" s="242"/>
      <c r="BA655" s="251">
        <f>AT654+AW654+AZ654</f>
        <v>376544.5</v>
      </c>
      <c r="BB655" s="241"/>
      <c r="BC655" s="241"/>
    </row>
    <row r="656" spans="1:65" s="239" customFormat="1" x14ac:dyDescent="0.25">
      <c r="A656" s="467"/>
      <c r="M656" s="240"/>
      <c r="R656" s="240"/>
      <c r="S656" s="240"/>
      <c r="AT656" s="242"/>
      <c r="AU656" s="241"/>
      <c r="AV656" s="241"/>
      <c r="AW656" s="241"/>
      <c r="AX656" s="241"/>
      <c r="AY656" s="241"/>
      <c r="AZ656" s="242"/>
      <c r="BA656" s="241"/>
      <c r="BB656" s="241"/>
      <c r="BC656" s="241"/>
    </row>
    <row r="657" spans="2:71" ht="16.5" x14ac:dyDescent="0.25">
      <c r="D657" s="241"/>
      <c r="E657" s="241"/>
      <c r="F657" s="241"/>
      <c r="G657" s="241"/>
      <c r="H657" s="241"/>
      <c r="I657" s="241"/>
      <c r="J657" s="241"/>
      <c r="K657" s="241"/>
      <c r="S657" s="120"/>
      <c r="T657" s="404"/>
      <c r="U657" s="120" t="s">
        <v>296</v>
      </c>
      <c r="V657" s="405"/>
      <c r="W657" s="405"/>
      <c r="AT657" s="462">
        <f>C654</f>
        <v>88.5</v>
      </c>
      <c r="AZ657" s="407"/>
      <c r="BA657" s="251">
        <f>BC657/AT657/1</f>
        <v>25142.677045262677</v>
      </c>
      <c r="BC657" s="251">
        <f>BC654</f>
        <v>2225126.9185057469</v>
      </c>
      <c r="BD657" s="251"/>
      <c r="BE657" s="251"/>
      <c r="BF657" s="241">
        <f>BC657/12</f>
        <v>185427.24320881223</v>
      </c>
      <c r="BH657" s="252">
        <f>BA654/2</f>
        <v>188272.25</v>
      </c>
    </row>
    <row r="658" spans="2:71" ht="17.25" x14ac:dyDescent="0.3">
      <c r="D658" s="241"/>
      <c r="E658" s="241"/>
      <c r="F658" s="241"/>
      <c r="G658" s="241"/>
      <c r="H658" s="241"/>
      <c r="I658" s="241"/>
      <c r="J658" s="241"/>
      <c r="K658" s="241"/>
      <c r="S658" s="148"/>
      <c r="T658" s="408"/>
      <c r="U658" s="148"/>
      <c r="V658" s="409" t="s">
        <v>270</v>
      </c>
      <c r="W658" s="410"/>
      <c r="AT658" s="462"/>
    </row>
    <row r="659" spans="2:71" ht="17.25" x14ac:dyDescent="0.3">
      <c r="D659" s="241"/>
      <c r="E659" s="241"/>
      <c r="F659" s="241"/>
      <c r="G659" s="241"/>
      <c r="H659" s="241"/>
      <c r="I659" s="241"/>
      <c r="J659" s="241"/>
      <c r="K659" s="241"/>
      <c r="S659" s="411"/>
      <c r="T659" s="412"/>
      <c r="U659" s="411" t="s">
        <v>271</v>
      </c>
      <c r="V659" s="413"/>
      <c r="W659" s="414"/>
      <c r="X659" s="415"/>
      <c r="Y659" s="415"/>
      <c r="Z659" s="415"/>
      <c r="AA659" s="415"/>
      <c r="AB659" s="415"/>
      <c r="AC659" s="415"/>
      <c r="AE659" s="415"/>
      <c r="AT659" s="462">
        <f>C582-C580+C593+C627+C628+C637+C647+C649</f>
        <v>28</v>
      </c>
      <c r="AZ659" s="407"/>
      <c r="BA659" s="251">
        <f>BC659/AT659/1</f>
        <v>32822.361428571436</v>
      </c>
      <c r="BC659" s="251">
        <f>BC582-BC580-BC581+BC593+BC627+BC628+BC637+BC647+BC649</f>
        <v>919026.12000000011</v>
      </c>
      <c r="BD659" s="251"/>
      <c r="BE659" s="251"/>
      <c r="BF659" s="241">
        <f>BC659/12</f>
        <v>76585.510000000009</v>
      </c>
    </row>
    <row r="660" spans="2:71" ht="16.5" x14ac:dyDescent="0.25">
      <c r="D660" s="241"/>
      <c r="E660" s="241"/>
      <c r="F660" s="241"/>
      <c r="G660" s="241"/>
      <c r="H660" s="241"/>
      <c r="I660" s="241"/>
      <c r="J660" s="241"/>
      <c r="K660" s="241"/>
      <c r="S660" s="148"/>
      <c r="T660" s="408"/>
      <c r="U660" s="148"/>
      <c r="V660" s="410"/>
      <c r="W660" s="410"/>
      <c r="AT660" s="462"/>
    </row>
    <row r="661" spans="2:71" ht="17.25" x14ac:dyDescent="0.3">
      <c r="D661" s="241"/>
      <c r="E661" s="241"/>
      <c r="F661" s="241"/>
      <c r="G661" s="241"/>
      <c r="H661" s="241"/>
      <c r="I661" s="241"/>
      <c r="J661" s="241"/>
      <c r="K661" s="241"/>
      <c r="S661" s="416"/>
      <c r="T661" s="412"/>
      <c r="U661" s="416" t="s">
        <v>272</v>
      </c>
      <c r="V661" s="409"/>
      <c r="W661" s="409"/>
      <c r="AT661" s="462">
        <f>C580+C604+C615+C622+C629+C630+C631+C632+C638+C639+C640+C648+C650</f>
        <v>60.5</v>
      </c>
      <c r="AZ661" s="407"/>
      <c r="BA661" s="251">
        <f>BC661/AT661/1</f>
        <v>21588.442950508223</v>
      </c>
      <c r="BC661" s="251">
        <f>BC580+BC604+BC615+BC622+BC629+BC630+BC631+BC632+BC638+BC639+BC640+BC648+BC650</f>
        <v>1306100.7985057475</v>
      </c>
      <c r="BD661" s="251"/>
      <c r="BE661" s="251"/>
      <c r="BF661" s="241">
        <f>BC661/12</f>
        <v>108841.73320881229</v>
      </c>
    </row>
    <row r="662" spans="2:71" x14ac:dyDescent="0.25">
      <c r="D662" s="241"/>
      <c r="E662" s="241"/>
      <c r="F662" s="241"/>
      <c r="G662" s="241"/>
      <c r="H662" s="241"/>
      <c r="I662" s="241"/>
      <c r="J662" s="241"/>
      <c r="K662" s="241"/>
      <c r="U662" s="242"/>
      <c r="AT662" s="462">
        <f>SUM(AT659:AT661)</f>
        <v>88.5</v>
      </c>
      <c r="BC662" s="417">
        <f>SUM(BC659:BC661)</f>
        <v>2225126.9185057478</v>
      </c>
    </row>
    <row r="663" spans="2:71" x14ac:dyDescent="0.25">
      <c r="D663" s="241"/>
      <c r="E663" s="241"/>
      <c r="F663" s="241"/>
      <c r="G663" s="241"/>
      <c r="H663" s="241"/>
      <c r="I663" s="241"/>
      <c r="J663" s="241"/>
      <c r="K663" s="241"/>
      <c r="U663" s="242"/>
      <c r="AT663" s="418">
        <f>SUM(AT659:AT661)</f>
        <v>88.5</v>
      </c>
      <c r="AU663" s="418"/>
      <c r="AV663" s="418"/>
      <c r="AW663" s="418"/>
      <c r="AX663" s="419"/>
      <c r="AY663" s="419"/>
      <c r="AZ663" s="418"/>
      <c r="BA663" s="418"/>
      <c r="BB663" s="418">
        <f>SUM(BB659:BB661)</f>
        <v>0</v>
      </c>
      <c r="BC663" s="418">
        <f>SUM(BC659:BC661)</f>
        <v>2225126.9185057478</v>
      </c>
    </row>
    <row r="664" spans="2:71" ht="16.5" x14ac:dyDescent="0.25">
      <c r="D664" s="241"/>
      <c r="E664" s="241"/>
      <c r="F664" s="241"/>
      <c r="G664" s="241"/>
      <c r="H664" s="241"/>
      <c r="I664" s="241"/>
      <c r="J664" s="241"/>
      <c r="K664" s="241"/>
      <c r="S664" s="120"/>
      <c r="T664" s="404"/>
      <c r="U664" s="120" t="s">
        <v>297</v>
      </c>
      <c r="V664" s="405"/>
      <c r="W664" s="405"/>
      <c r="AT664" s="406">
        <f>(AT657+AT552+AT444*4+AT336*2+AT228+AT120*3)/12</f>
        <v>92.145833333333329</v>
      </c>
      <c r="AZ664" s="407"/>
      <c r="BA664" s="251">
        <f>BC664/AT664/12</f>
        <v>25208.04550941629</v>
      </c>
      <c r="BB664" s="251">
        <f>BB336+BB644</f>
        <v>20349.545405405406</v>
      </c>
      <c r="BC664" s="251">
        <f>BC657+BC552+BC444+BC336+BC228+BC120</f>
        <v>27873796.32203706</v>
      </c>
      <c r="BD664" s="251"/>
      <c r="BE664" s="251"/>
      <c r="BF664" s="241">
        <f>BC664/12</f>
        <v>2322816.3601697548</v>
      </c>
    </row>
    <row r="665" spans="2:71" ht="17.25" x14ac:dyDescent="0.3">
      <c r="D665" s="241"/>
      <c r="E665" s="241"/>
      <c r="F665" s="241"/>
      <c r="G665" s="241"/>
      <c r="H665" s="241"/>
      <c r="I665" s="241"/>
      <c r="J665" s="241"/>
      <c r="K665" s="241"/>
      <c r="S665" s="148"/>
      <c r="T665" s="408"/>
      <c r="U665" s="148"/>
      <c r="V665" s="409" t="s">
        <v>270</v>
      </c>
      <c r="W665" s="410"/>
      <c r="AT665" s="406"/>
      <c r="AZ665" s="407"/>
    </row>
    <row r="666" spans="2:71" ht="17.25" x14ac:dyDescent="0.3">
      <c r="D666" s="241"/>
      <c r="E666" s="241"/>
      <c r="F666" s="241"/>
      <c r="G666" s="241"/>
      <c r="H666" s="241"/>
      <c r="I666" s="241"/>
      <c r="J666" s="241"/>
      <c r="K666" s="241"/>
      <c r="S666" s="411"/>
      <c r="T666" s="412"/>
      <c r="U666" s="411" t="s">
        <v>271</v>
      </c>
      <c r="V666" s="413"/>
      <c r="W666" s="414"/>
      <c r="X666" s="415"/>
      <c r="Y666" s="415"/>
      <c r="Z666" s="415"/>
      <c r="AA666" s="415"/>
      <c r="AB666" s="415"/>
      <c r="AC666" s="415"/>
      <c r="AE666" s="415"/>
      <c r="AT666" s="406">
        <f>(AT659+AT554+AT446*4+AT338*2+AT230+AT122*3)/12</f>
        <v>28.729166666666668</v>
      </c>
      <c r="AZ666" s="407"/>
      <c r="BA666" s="251">
        <f>BC666/AT666/12</f>
        <v>33813.340652646846</v>
      </c>
      <c r="BC666" s="251">
        <f>BC659+BC554+BC446+BC338+BC230+BC122</f>
        <v>11657149.190000001</v>
      </c>
      <c r="BD666" s="251"/>
      <c r="BE666" s="251"/>
    </row>
    <row r="667" spans="2:71" ht="16.5" x14ac:dyDescent="0.25">
      <c r="D667" s="241"/>
      <c r="E667" s="241"/>
      <c r="F667" s="241"/>
      <c r="G667" s="241"/>
      <c r="H667" s="241"/>
      <c r="I667" s="241"/>
      <c r="J667" s="241"/>
      <c r="K667" s="241"/>
      <c r="S667" s="148"/>
      <c r="T667" s="408"/>
      <c r="U667" s="148"/>
      <c r="V667" s="410"/>
      <c r="W667" s="410"/>
      <c r="AT667" s="406"/>
      <c r="AZ667" s="407"/>
    </row>
    <row r="668" spans="2:71" ht="17.25" x14ac:dyDescent="0.3">
      <c r="D668" s="241"/>
      <c r="E668" s="241"/>
      <c r="F668" s="241"/>
      <c r="G668" s="241"/>
      <c r="H668" s="241"/>
      <c r="I668" s="241"/>
      <c r="J668" s="241"/>
      <c r="K668" s="241"/>
      <c r="S668" s="416"/>
      <c r="T668" s="412"/>
      <c r="U668" s="416" t="s">
        <v>272</v>
      </c>
      <c r="V668" s="409"/>
      <c r="W668" s="409"/>
      <c r="AT668" s="406">
        <f>(AT661+AT556+AT448*4+AT340*2+AT232+AT124*3)/12</f>
        <v>63.416666666666664</v>
      </c>
      <c r="AZ668" s="407"/>
      <c r="BA668" s="251">
        <f>BC668/AT668/12</f>
        <v>21309.654575607179</v>
      </c>
      <c r="BC668" s="251">
        <f>BC661+BC556+BC448+BC340+BC232+BC124</f>
        <v>16216647.132037062</v>
      </c>
      <c r="BD668" s="251"/>
      <c r="BE668" s="251"/>
    </row>
    <row r="669" spans="2:71" ht="93.75" customHeight="1" x14ac:dyDescent="0.25">
      <c r="D669" s="241"/>
      <c r="E669" s="241"/>
      <c r="F669" s="241"/>
      <c r="G669" s="241"/>
      <c r="H669" s="241"/>
      <c r="I669" s="241"/>
      <c r="J669" s="241"/>
      <c r="K669" s="241"/>
      <c r="AT669" s="469">
        <f>SUM(AT666:AT668)</f>
        <v>92.145833333333329</v>
      </c>
      <c r="AU669" s="419"/>
      <c r="AV669" s="419"/>
      <c r="AW669" s="419"/>
      <c r="AX669" s="419"/>
      <c r="AY669" s="419"/>
      <c r="AZ669" s="453"/>
      <c r="BA669" s="419"/>
      <c r="BB669" s="419"/>
      <c r="BC669" s="470">
        <f>SUM(BC666:BC668)</f>
        <v>27873796.322037064</v>
      </c>
      <c r="BS669" s="241">
        <f>(C117*3+C225+C333*2+C441*4+C549+C654)/12</f>
        <v>92.145833333333329</v>
      </c>
    </row>
    <row r="670" spans="2:71" ht="15.75" x14ac:dyDescent="0.25">
      <c r="B670" s="420" t="s">
        <v>218</v>
      </c>
      <c r="C670" s="420"/>
      <c r="D670" s="241"/>
      <c r="E670" s="241"/>
      <c r="F670" s="241"/>
      <c r="G670" s="241"/>
      <c r="H670" s="241"/>
      <c r="I670" s="241"/>
      <c r="J670" s="241"/>
      <c r="K670" s="241"/>
      <c r="X670" s="420" t="s">
        <v>148</v>
      </c>
      <c r="Y670" s="420"/>
      <c r="Z670" s="420"/>
      <c r="AA670" s="420"/>
      <c r="AT670" s="471">
        <f>SUM(AT666:AT668)</f>
        <v>92.145833333333329</v>
      </c>
      <c r="AU670" s="418"/>
      <c r="AV670" s="418"/>
      <c r="AW670" s="418"/>
      <c r="AX670" s="419"/>
      <c r="AY670" s="419"/>
      <c r="AZ670" s="418"/>
      <c r="BA670" s="418"/>
      <c r="BB670" s="418">
        <f>SUM(BB666:BB668)</f>
        <v>0</v>
      </c>
      <c r="BC670" s="418">
        <f>SUM(BC666:BC668)</f>
        <v>27873796.322037064</v>
      </c>
    </row>
    <row r="671" spans="2:71" ht="298.5" customHeight="1" x14ac:dyDescent="0.25">
      <c r="B671" s="421"/>
      <c r="C671" s="422"/>
      <c r="D671" s="241"/>
      <c r="E671" s="241"/>
      <c r="F671" s="241"/>
      <c r="G671" s="241"/>
      <c r="H671" s="241"/>
      <c r="I671" s="241"/>
      <c r="J671" s="241"/>
      <c r="K671" s="241"/>
      <c r="X671" s="420"/>
      <c r="Y671" s="420"/>
      <c r="Z671" s="420"/>
      <c r="AT671" s="453"/>
      <c r="AU671" s="419"/>
      <c r="AV671" s="419"/>
      <c r="AW671" s="419"/>
      <c r="AX671" s="419"/>
      <c r="AY671" s="419"/>
      <c r="AZ671" s="453"/>
      <c r="BA671" s="419"/>
      <c r="BB671" s="419"/>
      <c r="BC671" s="419"/>
    </row>
    <row r="672" spans="2:71" ht="15.75" x14ac:dyDescent="0.25">
      <c r="B672" s="421"/>
      <c r="C672" s="422"/>
      <c r="D672" s="241"/>
      <c r="E672" s="241"/>
      <c r="F672" s="241"/>
      <c r="G672" s="241"/>
      <c r="H672" s="241"/>
      <c r="I672" s="241"/>
      <c r="J672" s="241"/>
      <c r="K672" s="241"/>
      <c r="X672" s="420"/>
      <c r="Y672" s="420"/>
      <c r="Z672" s="420"/>
    </row>
    <row r="673" spans="1:68" ht="21.75" customHeight="1" x14ac:dyDescent="0.25">
      <c r="T673" s="419">
        <f>T680*70%</f>
        <v>30140.6</v>
      </c>
      <c r="U673" s="251"/>
    </row>
    <row r="674" spans="1:68" ht="15.75" customHeight="1" thickBot="1" x14ac:dyDescent="0.3">
      <c r="B674" s="473" t="s">
        <v>298</v>
      </c>
      <c r="D674" s="241"/>
      <c r="E674" s="241"/>
      <c r="F674" s="241"/>
      <c r="G674" s="241"/>
      <c r="H674" s="241"/>
      <c r="I674" s="241"/>
      <c r="J674" s="241"/>
      <c r="K674" s="241"/>
      <c r="M674" s="280">
        <f>M687</f>
        <v>3028</v>
      </c>
    </row>
    <row r="675" spans="1:68" ht="69.75" customHeight="1" x14ac:dyDescent="0.25">
      <c r="A675" s="2019" t="s">
        <v>174</v>
      </c>
      <c r="B675" s="2021" t="s">
        <v>175</v>
      </c>
      <c r="C675" s="2024"/>
      <c r="D675" s="2027" t="s">
        <v>177</v>
      </c>
      <c r="E675" s="2028"/>
      <c r="F675" s="2028"/>
      <c r="G675" s="2028"/>
      <c r="H675" s="2028"/>
      <c r="I675" s="2028"/>
      <c r="J675" s="2028"/>
      <c r="K675" s="2029"/>
      <c r="L675" s="2030" t="s">
        <v>178</v>
      </c>
      <c r="M675" s="2033" t="s">
        <v>179</v>
      </c>
      <c r="N675" s="2013" t="s">
        <v>180</v>
      </c>
      <c r="O675" s="2013" t="s">
        <v>181</v>
      </c>
      <c r="P675" s="2013" t="s">
        <v>182</v>
      </c>
      <c r="Q675" s="2013" t="s">
        <v>183</v>
      </c>
      <c r="R675" s="2013" t="s">
        <v>184</v>
      </c>
      <c r="S675" s="2015" t="s">
        <v>274</v>
      </c>
      <c r="T675" s="2016"/>
      <c r="U675" s="2010" t="s">
        <v>186</v>
      </c>
      <c r="V675" s="1991" t="s">
        <v>275</v>
      </c>
      <c r="W675" s="1992"/>
      <c r="X675" s="1993"/>
      <c r="Y675" s="1994" t="s">
        <v>188</v>
      </c>
      <c r="Z675" s="1992"/>
      <c r="AA675" s="1993"/>
      <c r="AB675" s="2007" t="s">
        <v>189</v>
      </c>
      <c r="AC675" s="2008"/>
      <c r="AD675" s="2009"/>
      <c r="AE675" s="1994" t="s">
        <v>190</v>
      </c>
      <c r="AF675" s="1992"/>
      <c r="AG675" s="1993"/>
      <c r="AH675" s="1994" t="s">
        <v>191</v>
      </c>
      <c r="AI675" s="1992"/>
      <c r="AJ675" s="1993"/>
      <c r="AK675" s="2007" t="s">
        <v>192</v>
      </c>
      <c r="AL675" s="2008"/>
      <c r="AM675" s="2009"/>
      <c r="AN675" s="1994" t="s">
        <v>193</v>
      </c>
      <c r="AO675" s="1992"/>
      <c r="AP675" s="1993"/>
      <c r="AQ675" s="2010" t="s">
        <v>194</v>
      </c>
      <c r="AR675" s="1991" t="s">
        <v>195</v>
      </c>
      <c r="AS675" s="1992"/>
      <c r="AT675" s="1993"/>
      <c r="AU675" s="1994" t="s">
        <v>196</v>
      </c>
      <c r="AV675" s="1992"/>
      <c r="AW675" s="1992"/>
      <c r="AX675" s="1992"/>
      <c r="AY675" s="1992"/>
      <c r="AZ675" s="1993"/>
      <c r="BA675" s="1995" t="s">
        <v>197</v>
      </c>
      <c r="BB675" s="1998" t="s">
        <v>198</v>
      </c>
      <c r="BC675" s="1999"/>
      <c r="BD675" s="258"/>
      <c r="BE675" s="258"/>
      <c r="BF675" s="251">
        <f>BC697-BA680</f>
        <v>7866770.5599999987</v>
      </c>
    </row>
    <row r="676" spans="1:68" ht="10.9" customHeight="1" x14ac:dyDescent="0.25">
      <c r="A676" s="2020"/>
      <c r="B676" s="2022"/>
      <c r="C676" s="2025"/>
      <c r="D676" s="2004" t="s">
        <v>199</v>
      </c>
      <c r="E676" s="2005"/>
      <c r="F676" s="2005"/>
      <c r="G676" s="2005"/>
      <c r="H676" s="2005"/>
      <c r="I676" s="2005"/>
      <c r="J676" s="2005"/>
      <c r="K676" s="2006"/>
      <c r="L676" s="2031"/>
      <c r="M676" s="2034"/>
      <c r="N676" s="2014"/>
      <c r="O676" s="2014"/>
      <c r="P676" s="2014"/>
      <c r="Q676" s="2014"/>
      <c r="R676" s="2014"/>
      <c r="S676" s="2017"/>
      <c r="T676" s="2018"/>
      <c r="U676" s="2011"/>
      <c r="V676" s="1989" t="s">
        <v>200</v>
      </c>
      <c r="W676" s="1979" t="s">
        <v>201</v>
      </c>
      <c r="X676" s="1980"/>
      <c r="Y676" s="1983" t="s">
        <v>200</v>
      </c>
      <c r="Z676" s="1979" t="s">
        <v>201</v>
      </c>
      <c r="AA676" s="1980"/>
      <c r="AB676" s="1983" t="s">
        <v>200</v>
      </c>
      <c r="AC676" s="259"/>
      <c r="AD676" s="1985" t="s">
        <v>201</v>
      </c>
      <c r="AE676" s="1983" t="s">
        <v>200</v>
      </c>
      <c r="AF676" s="1979" t="s">
        <v>201</v>
      </c>
      <c r="AG676" s="1980"/>
      <c r="AH676" s="1983" t="s">
        <v>200</v>
      </c>
      <c r="AI676" s="1979" t="s">
        <v>201</v>
      </c>
      <c r="AJ676" s="1980"/>
      <c r="AK676" s="1983" t="s">
        <v>200</v>
      </c>
      <c r="AL676" s="1979" t="s">
        <v>201</v>
      </c>
      <c r="AM676" s="1980"/>
      <c r="AN676" s="1983" t="s">
        <v>200</v>
      </c>
      <c r="AO676" s="1979" t="s">
        <v>201</v>
      </c>
      <c r="AP676" s="1980"/>
      <c r="AQ676" s="2011"/>
      <c r="AR676" s="1989" t="s">
        <v>200</v>
      </c>
      <c r="AS676" s="1979" t="s">
        <v>201</v>
      </c>
      <c r="AT676" s="1980"/>
      <c r="AU676" s="1983" t="s">
        <v>277</v>
      </c>
      <c r="AV676" s="1985" t="s">
        <v>200</v>
      </c>
      <c r="AW676" s="1987" t="s">
        <v>201</v>
      </c>
      <c r="AX676" s="454" t="s">
        <v>200</v>
      </c>
      <c r="AY676" s="1979" t="s">
        <v>201</v>
      </c>
      <c r="AZ676" s="1980"/>
      <c r="BA676" s="1996"/>
      <c r="BB676" s="2000"/>
      <c r="BC676" s="2001"/>
      <c r="BD676" s="258"/>
      <c r="BE676" s="258"/>
    </row>
    <row r="677" spans="1:68" ht="34.5" customHeight="1" x14ac:dyDescent="0.25">
      <c r="A677" s="1990"/>
      <c r="B677" s="2023"/>
      <c r="C677" s="2026"/>
      <c r="D677" s="260" t="s">
        <v>203</v>
      </c>
      <c r="E677" s="261" t="s">
        <v>204</v>
      </c>
      <c r="F677" s="261" t="s">
        <v>205</v>
      </c>
      <c r="G677" s="261" t="s">
        <v>206</v>
      </c>
      <c r="H677" s="261" t="s">
        <v>207</v>
      </c>
      <c r="I677" s="261" t="s">
        <v>208</v>
      </c>
      <c r="J677" s="261" t="s">
        <v>209</v>
      </c>
      <c r="K677" s="262" t="s">
        <v>210</v>
      </c>
      <c r="L677" s="2032"/>
      <c r="M677" s="2035"/>
      <c r="N677" s="1986"/>
      <c r="O677" s="1986"/>
      <c r="P677" s="1986"/>
      <c r="Q677" s="1986"/>
      <c r="R677" s="1986"/>
      <c r="S677" s="263" t="s">
        <v>211</v>
      </c>
      <c r="T677" s="424" t="s">
        <v>212</v>
      </c>
      <c r="U677" s="2012"/>
      <c r="V677" s="1990"/>
      <c r="W677" s="1981"/>
      <c r="X677" s="1982"/>
      <c r="Y677" s="1984"/>
      <c r="Z677" s="1981"/>
      <c r="AA677" s="1982"/>
      <c r="AB677" s="1984"/>
      <c r="AC677" s="264"/>
      <c r="AD677" s="1986"/>
      <c r="AE677" s="1984"/>
      <c r="AF677" s="1981"/>
      <c r="AG677" s="1982"/>
      <c r="AH677" s="1984"/>
      <c r="AI677" s="1981"/>
      <c r="AJ677" s="1982"/>
      <c r="AK677" s="1984"/>
      <c r="AL677" s="1981"/>
      <c r="AM677" s="1982"/>
      <c r="AN677" s="1984"/>
      <c r="AO677" s="1981"/>
      <c r="AP677" s="1982"/>
      <c r="AQ677" s="2012"/>
      <c r="AR677" s="1990"/>
      <c r="AS677" s="1981"/>
      <c r="AT677" s="1982"/>
      <c r="AU677" s="1984"/>
      <c r="AV677" s="1986"/>
      <c r="AW677" s="1988"/>
      <c r="AX677" s="455" t="s">
        <v>200</v>
      </c>
      <c r="AY677" s="1981"/>
      <c r="AZ677" s="1982"/>
      <c r="BA677" s="1997"/>
      <c r="BB677" s="2002"/>
      <c r="BC677" s="2003"/>
      <c r="BD677" s="265"/>
      <c r="BE677" s="265"/>
      <c r="BF677" s="260" t="s">
        <v>203</v>
      </c>
      <c r="BG677" s="261" t="s">
        <v>204</v>
      </c>
      <c r="BH677" s="261" t="s">
        <v>205</v>
      </c>
      <c r="BI677" s="261" t="s">
        <v>206</v>
      </c>
      <c r="BJ677" s="261" t="s">
        <v>207</v>
      </c>
      <c r="BK677" s="261" t="s">
        <v>208</v>
      </c>
      <c r="BL677" s="261" t="s">
        <v>209</v>
      </c>
      <c r="BM677" s="262" t="s">
        <v>210</v>
      </c>
    </row>
    <row r="678" spans="1:68" s="251" customFormat="1" x14ac:dyDescent="0.25">
      <c r="A678" s="427">
        <v>1</v>
      </c>
      <c r="B678" s="428">
        <v>2</v>
      </c>
      <c r="C678" s="345">
        <v>3</v>
      </c>
      <c r="D678" s="428">
        <v>5</v>
      </c>
      <c r="E678" s="345">
        <v>6</v>
      </c>
      <c r="F678" s="345">
        <v>7</v>
      </c>
      <c r="G678" s="428">
        <v>8</v>
      </c>
      <c r="H678" s="345">
        <v>9</v>
      </c>
      <c r="I678" s="345">
        <v>10</v>
      </c>
      <c r="J678" s="428">
        <v>11</v>
      </c>
      <c r="K678" s="345">
        <v>12</v>
      </c>
      <c r="L678" s="345">
        <v>4</v>
      </c>
      <c r="M678" s="428">
        <v>5</v>
      </c>
      <c r="N678" s="345">
        <v>6</v>
      </c>
      <c r="O678" s="345">
        <v>7</v>
      </c>
      <c r="P678" s="428">
        <v>8</v>
      </c>
      <c r="Q678" s="345">
        <v>9</v>
      </c>
      <c r="R678" s="345">
        <v>10</v>
      </c>
      <c r="S678" s="428">
        <v>11</v>
      </c>
      <c r="T678" s="345">
        <v>12</v>
      </c>
      <c r="U678" s="345">
        <v>13</v>
      </c>
      <c r="V678" s="428">
        <v>14</v>
      </c>
      <c r="W678" s="345">
        <v>24</v>
      </c>
      <c r="X678" s="345">
        <v>15</v>
      </c>
      <c r="Y678" s="428">
        <v>16</v>
      </c>
      <c r="Z678" s="345">
        <v>30</v>
      </c>
      <c r="AA678" s="345">
        <v>17</v>
      </c>
      <c r="AB678" s="428">
        <v>18</v>
      </c>
      <c r="AC678" s="428"/>
      <c r="AD678" s="345">
        <v>19</v>
      </c>
      <c r="AE678" s="428">
        <v>18</v>
      </c>
      <c r="AF678" s="345">
        <v>33</v>
      </c>
      <c r="AG678" s="345">
        <v>19</v>
      </c>
      <c r="AH678" s="428">
        <v>20</v>
      </c>
      <c r="AI678" s="345">
        <v>36</v>
      </c>
      <c r="AJ678" s="345">
        <v>21</v>
      </c>
      <c r="AK678" s="428">
        <v>22</v>
      </c>
      <c r="AL678" s="345">
        <v>39</v>
      </c>
      <c r="AM678" s="345">
        <v>23</v>
      </c>
      <c r="AN678" s="428">
        <v>22</v>
      </c>
      <c r="AO678" s="345">
        <v>39</v>
      </c>
      <c r="AP678" s="345">
        <v>23</v>
      </c>
      <c r="AQ678" s="428">
        <v>24</v>
      </c>
      <c r="AR678" s="345">
        <v>25</v>
      </c>
      <c r="AS678" s="345">
        <v>43</v>
      </c>
      <c r="AT678" s="428">
        <v>26</v>
      </c>
      <c r="AU678" s="345">
        <v>27</v>
      </c>
      <c r="AV678" s="345">
        <v>28</v>
      </c>
      <c r="AW678" s="428">
        <v>29</v>
      </c>
      <c r="AX678" s="345">
        <v>30</v>
      </c>
      <c r="AY678" s="345">
        <v>43</v>
      </c>
      <c r="AZ678" s="428">
        <v>31</v>
      </c>
      <c r="BA678" s="345">
        <v>32</v>
      </c>
      <c r="BB678" s="345">
        <v>49</v>
      </c>
      <c r="BC678" s="428">
        <v>33</v>
      </c>
    </row>
    <row r="679" spans="1:68" s="275" customFormat="1" ht="21" customHeight="1" x14ac:dyDescent="0.25">
      <c r="A679" s="270" t="s">
        <v>213</v>
      </c>
      <c r="B679" s="271" t="s">
        <v>97</v>
      </c>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2"/>
      <c r="AR679" s="272"/>
      <c r="AS679" s="272"/>
      <c r="AT679" s="272"/>
      <c r="AU679" s="272"/>
      <c r="AV679" s="272"/>
      <c r="AW679" s="272"/>
      <c r="AX679" s="272"/>
      <c r="AY679" s="272"/>
      <c r="AZ679" s="272"/>
      <c r="BA679" s="272"/>
      <c r="BB679" s="272"/>
      <c r="BC679" s="273"/>
      <c r="BD679" s="274"/>
      <c r="BE679" s="274"/>
    </row>
    <row r="680" spans="1:68" s="287" customFormat="1" ht="18.75" customHeight="1" x14ac:dyDescent="0.25">
      <c r="A680" s="276"/>
      <c r="B680" s="277" t="s">
        <v>146</v>
      </c>
      <c r="C680" s="364">
        <f t="shared" ref="C680:C694" si="520">(C28*3+C136*1+C244*2+C352*4+C460+C565)/12</f>
        <v>1</v>
      </c>
      <c r="D680" s="279"/>
      <c r="E680" s="279"/>
      <c r="F680" s="279"/>
      <c r="G680" s="279"/>
      <c r="H680" s="279"/>
      <c r="I680" s="279"/>
      <c r="J680" s="279">
        <v>1</v>
      </c>
      <c r="K680" s="279"/>
      <c r="L680" s="277"/>
      <c r="M680" s="280">
        <f t="shared" ref="M680:M694" si="521">(M28*3+M136*1+M244*2+M352*4+M460+M565)/12</f>
        <v>3028</v>
      </c>
      <c r="N680" s="364">
        <f>(N28*3+N136+N244*2+N352*4+N460+N565)/12</f>
        <v>2</v>
      </c>
      <c r="O680" s="364">
        <f>(O28*3+O136+O244*2+O352*4+O460+O565)/12</f>
        <v>4.5</v>
      </c>
      <c r="P680" s="364">
        <f>(P28*3+P136+P244*2+P352*4+P460+P565)/12</f>
        <v>1.58</v>
      </c>
      <c r="Q680" s="282"/>
      <c r="R680" s="280">
        <f>(R28+R244+R352+R565)</f>
        <v>1832</v>
      </c>
      <c r="S680" s="280">
        <f>T680/(R680/12)</f>
        <v>282.0393013100437</v>
      </c>
      <c r="T680" s="425">
        <f>ROUND(M680*N680*O680*P680,0)</f>
        <v>43058</v>
      </c>
      <c r="U680" s="284">
        <f t="shared" ref="U680:U695" si="522">U28+U136+U244+U352+U460+U565</f>
        <v>516696</v>
      </c>
      <c r="V680" s="277"/>
      <c r="W680" s="285"/>
      <c r="X680" s="285">
        <f>U680*V680%</f>
        <v>0</v>
      </c>
      <c r="Y680" s="277"/>
      <c r="Z680" s="277"/>
      <c r="AA680" s="277"/>
      <c r="AB680" s="277"/>
      <c r="AC680" s="277"/>
      <c r="AD680" s="277"/>
      <c r="AE680" s="277"/>
      <c r="AF680" s="277"/>
      <c r="AG680" s="277"/>
      <c r="AH680" s="277"/>
      <c r="AI680" s="277"/>
      <c r="AJ680" s="277"/>
      <c r="AK680" s="277"/>
      <c r="AL680" s="277"/>
      <c r="AM680" s="280">
        <f t="shared" ref="AM680:AM696" si="523">AM28+AM136+AM244+AM352+AM460+AM565</f>
        <v>0</v>
      </c>
      <c r="AN680" s="277"/>
      <c r="AO680" s="277"/>
      <c r="AP680" s="285"/>
      <c r="AQ680" s="284">
        <f>X680+AA680+AD680+AG680+AJ680+AM680+AP680</f>
        <v>0</v>
      </c>
      <c r="AR680" s="285"/>
      <c r="AS680" s="285">
        <f t="shared" ref="AS680:AS695" si="524">AT680/C680</f>
        <v>129174</v>
      </c>
      <c r="AT680" s="280">
        <f t="shared" ref="AT680:AU694" si="525">AT28+AT136+AT244+AT352+AT460+AT565</f>
        <v>129174</v>
      </c>
      <c r="AU680" s="280">
        <f t="shared" si="525"/>
        <v>1</v>
      </c>
      <c r="AV680" s="277">
        <v>100</v>
      </c>
      <c r="AW680" s="280">
        <f t="shared" ref="AW680:AW696" si="526">AW28+AW136+AW244+AW352+AW460+AW565</f>
        <v>43058</v>
      </c>
      <c r="AX680" s="277"/>
      <c r="AY680" s="277"/>
      <c r="AZ680" s="280">
        <f>AZ28+AZ244+AZ352+AZ460+AZ565</f>
        <v>0</v>
      </c>
      <c r="BA680" s="284">
        <f t="shared" ref="BA680:BA695" si="527">AT680+AW680+AZ680</f>
        <v>172232</v>
      </c>
      <c r="BB680" s="284">
        <f t="shared" ref="BB680:BB695" si="528">BC680/C680</f>
        <v>688928</v>
      </c>
      <c r="BC680" s="284">
        <f t="shared" ref="BC680:BC695" si="529">BA680+AQ680+U680</f>
        <v>688928</v>
      </c>
      <c r="BD680" s="286">
        <f t="shared" ref="BD680:BD695" si="530">BC680/C680/12</f>
        <v>57410.666666666664</v>
      </c>
      <c r="BE680" s="286"/>
      <c r="BF680" s="251">
        <f>IF(D680=1,BC680,0)</f>
        <v>0</v>
      </c>
      <c r="BG680" s="251">
        <f>IF(E680=1,BC680,0)</f>
        <v>0</v>
      </c>
      <c r="BH680" s="251">
        <f>IF(F680=1,BC680,0)</f>
        <v>0</v>
      </c>
      <c r="BI680" s="251">
        <f>IF(G680=1,BC680,0)</f>
        <v>0</v>
      </c>
      <c r="BJ680" s="251">
        <f>IF(H680=1,BC680,0)</f>
        <v>0</v>
      </c>
      <c r="BK680" s="251">
        <f>IF(I680=1,BC680,0)</f>
        <v>0</v>
      </c>
      <c r="BL680" s="251">
        <f>IF(J680=1,BC680,0)</f>
        <v>688928</v>
      </c>
      <c r="BM680" s="251">
        <f>IF(K680=1,BC680,0)</f>
        <v>0</v>
      </c>
      <c r="BP680" s="474">
        <f>AU680-C680</f>
        <v>0</v>
      </c>
    </row>
    <row r="681" spans="1:68" s="287" customFormat="1" x14ac:dyDescent="0.25">
      <c r="A681" s="276"/>
      <c r="B681" s="288" t="s">
        <v>214</v>
      </c>
      <c r="C681" s="364">
        <f t="shared" si="520"/>
        <v>1</v>
      </c>
      <c r="D681" s="279"/>
      <c r="E681" s="279"/>
      <c r="F681" s="279"/>
      <c r="G681" s="279"/>
      <c r="H681" s="279"/>
      <c r="I681" s="279"/>
      <c r="J681" s="279">
        <v>1</v>
      </c>
      <c r="K681" s="279"/>
      <c r="L681" s="277"/>
      <c r="M681" s="280">
        <f t="shared" si="521"/>
        <v>3028</v>
      </c>
      <c r="N681" s="364">
        <f>(N29*6+N245*1+N353*4+N566)/12</f>
        <v>2</v>
      </c>
      <c r="O681" s="364">
        <f t="shared" ref="O681:P695" si="531">(O29*3+O137+O245*2+O353*4+O461+O566)/12</f>
        <v>3.6</v>
      </c>
      <c r="P681" s="364">
        <f t="shared" si="531"/>
        <v>1.58</v>
      </c>
      <c r="Q681" s="282"/>
      <c r="R681" s="280">
        <f>(R29+R245+R353+R566)</f>
        <v>1832</v>
      </c>
      <c r="S681" s="280">
        <f t="shared" ref="S681:S695" si="532">T681/(R681/12)</f>
        <v>225.63537117903931</v>
      </c>
      <c r="T681" s="425">
        <f t="shared" ref="T681:T694" si="533">ROUND(M681*N681*O681*P681,0)</f>
        <v>34447</v>
      </c>
      <c r="U681" s="284">
        <f t="shared" si="522"/>
        <v>413364</v>
      </c>
      <c r="V681" s="277">
        <v>30</v>
      </c>
      <c r="W681" s="285"/>
      <c r="X681" s="285">
        <f>U681*V681%</f>
        <v>124009.2</v>
      </c>
      <c r="Y681" s="277"/>
      <c r="Z681" s="277"/>
      <c r="AA681" s="277"/>
      <c r="AB681" s="277"/>
      <c r="AC681" s="277"/>
      <c r="AD681" s="277"/>
      <c r="AE681" s="277"/>
      <c r="AF681" s="277"/>
      <c r="AG681" s="277"/>
      <c r="AH681" s="277"/>
      <c r="AI681" s="277"/>
      <c r="AJ681" s="277"/>
      <c r="AK681" s="277">
        <v>7</v>
      </c>
      <c r="AL681" s="277">
        <f>(AL29*3+AL245*3+AL353*4+AL461+AL566)/12</f>
        <v>0</v>
      </c>
      <c r="AM681" s="280">
        <f t="shared" si="523"/>
        <v>28935.480000000003</v>
      </c>
      <c r="AN681" s="277"/>
      <c r="AO681" s="277"/>
      <c r="AP681" s="277"/>
      <c r="AQ681" s="284">
        <f t="shared" ref="AQ681:AQ696" si="534">X681+AA681+AD681+AG681+AJ681+AM681+AP681</f>
        <v>152944.68</v>
      </c>
      <c r="AR681" s="277">
        <f t="shared" ref="AR681:AR695" si="535">AR$29</f>
        <v>20</v>
      </c>
      <c r="AS681" s="277">
        <f t="shared" si="524"/>
        <v>82672.799999999988</v>
      </c>
      <c r="AT681" s="280">
        <f t="shared" si="525"/>
        <v>82672.799999999988</v>
      </c>
      <c r="AU681" s="280">
        <f t="shared" si="525"/>
        <v>1</v>
      </c>
      <c r="AV681" s="277">
        <v>100</v>
      </c>
      <c r="AW681" s="280">
        <f t="shared" si="526"/>
        <v>34447</v>
      </c>
      <c r="AX681" s="277"/>
      <c r="AY681" s="277"/>
      <c r="AZ681" s="280">
        <f>AZ29+AZ245+AZ353+AZ461+AZ566</f>
        <v>0</v>
      </c>
      <c r="BA681" s="284">
        <f t="shared" si="527"/>
        <v>117119.79999999999</v>
      </c>
      <c r="BB681" s="284">
        <f t="shared" si="528"/>
        <v>683428.48</v>
      </c>
      <c r="BC681" s="284">
        <f t="shared" si="529"/>
        <v>683428.48</v>
      </c>
      <c r="BD681" s="286">
        <f t="shared" si="530"/>
        <v>56952.373333333329</v>
      </c>
      <c r="BE681" s="286"/>
      <c r="BF681" s="251">
        <f>IF(D681=1,BC681,0)</f>
        <v>0</v>
      </c>
      <c r="BG681" s="251">
        <f>IF(E681=1,BC681,0)</f>
        <v>0</v>
      </c>
      <c r="BH681" s="251">
        <f>IF(F681=1,BC681,0)</f>
        <v>0</v>
      </c>
      <c r="BI681" s="251">
        <f>IF(G681=1,BC681,0)</f>
        <v>0</v>
      </c>
      <c r="BJ681" s="251">
        <f>IF(H681=1,BC681,0)</f>
        <v>0</v>
      </c>
      <c r="BK681" s="251">
        <f>IF(I681=1,BC681,0)</f>
        <v>0</v>
      </c>
      <c r="BL681" s="251">
        <f>IF(J681=1,BC681,0)</f>
        <v>683428.48</v>
      </c>
      <c r="BM681" s="251">
        <f>IF(K681=1,BC681,0)</f>
        <v>0</v>
      </c>
      <c r="BP681" s="474">
        <f t="shared" ref="BP681:BP696" si="536">AU681-C681</f>
        <v>0</v>
      </c>
    </row>
    <row r="682" spans="1:68" s="301" customFormat="1" x14ac:dyDescent="0.25">
      <c r="A682" s="289"/>
      <c r="B682" s="290" t="s">
        <v>215</v>
      </c>
      <c r="C682" s="364">
        <f t="shared" si="520"/>
        <v>1</v>
      </c>
      <c r="D682" s="292"/>
      <c r="E682" s="292"/>
      <c r="F682" s="292"/>
      <c r="G682" s="292"/>
      <c r="H682" s="292"/>
      <c r="I682" s="292"/>
      <c r="J682" s="292">
        <v>1</v>
      </c>
      <c r="K682" s="292"/>
      <c r="L682" s="293"/>
      <c r="M682" s="280">
        <f t="shared" si="521"/>
        <v>3028</v>
      </c>
      <c r="N682" s="475">
        <f>(N30*6+N247*1+N354*4+N567)/12</f>
        <v>2</v>
      </c>
      <c r="O682" s="364">
        <f t="shared" si="531"/>
        <v>3.3800000000000003</v>
      </c>
      <c r="P682" s="364">
        <f t="shared" si="531"/>
        <v>1.58</v>
      </c>
      <c r="Q682" s="295"/>
      <c r="R682" s="294">
        <f>(R30+R247+R354+R567)</f>
        <v>1832</v>
      </c>
      <c r="S682" s="294">
        <f>T682/(R682/12)</f>
        <v>211.84061135371181</v>
      </c>
      <c r="T682" s="291">
        <f>ROUND(M682*N682*O682*P682,0)</f>
        <v>32341</v>
      </c>
      <c r="U682" s="284">
        <f t="shared" si="522"/>
        <v>388092</v>
      </c>
      <c r="V682" s="293">
        <v>30</v>
      </c>
      <c r="W682" s="298"/>
      <c r="X682" s="298">
        <f>U682*V682%</f>
        <v>116427.59999999999</v>
      </c>
      <c r="Y682" s="293"/>
      <c r="Z682" s="293"/>
      <c r="AA682" s="293"/>
      <c r="AB682" s="293"/>
      <c r="AC682" s="293"/>
      <c r="AD682" s="293"/>
      <c r="AE682" s="293"/>
      <c r="AF682" s="293"/>
      <c r="AG682" s="293"/>
      <c r="AH682" s="293"/>
      <c r="AI682" s="293"/>
      <c r="AJ682" s="293"/>
      <c r="AK682" s="293">
        <v>7</v>
      </c>
      <c r="AL682" s="293">
        <f>(AL30*3+AL247*3+AL354*4+AL462+AL567)/12</f>
        <v>0</v>
      </c>
      <c r="AM682" s="280">
        <f t="shared" si="523"/>
        <v>27166.440000000002</v>
      </c>
      <c r="AN682" s="293"/>
      <c r="AO682" s="293"/>
      <c r="AP682" s="293"/>
      <c r="AQ682" s="297">
        <f>X682+AA682+AD682+AG682+AJ682+AM682+AP682</f>
        <v>143594.03999999998</v>
      </c>
      <c r="AR682" s="293">
        <f t="shared" si="535"/>
        <v>20</v>
      </c>
      <c r="AS682" s="293">
        <f>AT682/C682</f>
        <v>77618.400000000009</v>
      </c>
      <c r="AT682" s="280">
        <f t="shared" si="525"/>
        <v>77618.400000000009</v>
      </c>
      <c r="AU682" s="280">
        <f t="shared" si="525"/>
        <v>1</v>
      </c>
      <c r="AV682" s="293">
        <v>100</v>
      </c>
      <c r="AW682" s="280">
        <f t="shared" si="526"/>
        <v>32341</v>
      </c>
      <c r="AX682" s="293"/>
      <c r="AY682" s="293"/>
      <c r="AZ682" s="294">
        <f>AZ30+AZ247+AZ354+AZ462+AZ567</f>
        <v>0</v>
      </c>
      <c r="BA682" s="284">
        <f t="shared" si="527"/>
        <v>109959.40000000001</v>
      </c>
      <c r="BB682" s="297">
        <f>BC682/C682</f>
        <v>641645.43999999994</v>
      </c>
      <c r="BC682" s="297">
        <f>BA682+AQ682+U682</f>
        <v>641645.43999999994</v>
      </c>
      <c r="BD682" s="299">
        <f>BC682/C682/12</f>
        <v>53470.453333333331</v>
      </c>
      <c r="BE682" s="299"/>
      <c r="BF682" s="300">
        <f>IF(D682=1,BC682,0)</f>
        <v>0</v>
      </c>
      <c r="BG682" s="300">
        <f>IF(E682=1,BC682,0)</f>
        <v>0</v>
      </c>
      <c r="BH682" s="300">
        <f>IF(F682=1,BC682,0)</f>
        <v>0</v>
      </c>
      <c r="BI682" s="300">
        <f>IF(G682=1,BC682,0)</f>
        <v>0</v>
      </c>
      <c r="BJ682" s="300">
        <f>IF(H682=1,BC682,0)</f>
        <v>0</v>
      </c>
      <c r="BK682" s="300">
        <f>IF(I682=1,BC682,0)</f>
        <v>0</v>
      </c>
      <c r="BL682" s="300">
        <f>IF(J682=1,BC682,0)</f>
        <v>641645.43999999994</v>
      </c>
      <c r="BM682" s="300">
        <f>IF(K682=1,BC682,0)</f>
        <v>0</v>
      </c>
      <c r="BP682" s="474">
        <f t="shared" si="536"/>
        <v>0</v>
      </c>
    </row>
    <row r="683" spans="1:68" s="287" customFormat="1" x14ac:dyDescent="0.25">
      <c r="A683" s="276"/>
      <c r="B683" s="288" t="s">
        <v>216</v>
      </c>
      <c r="C683" s="364">
        <f t="shared" si="520"/>
        <v>1</v>
      </c>
      <c r="D683" s="279"/>
      <c r="E683" s="279"/>
      <c r="F683" s="279"/>
      <c r="G683" s="279"/>
      <c r="H683" s="279"/>
      <c r="I683" s="279"/>
      <c r="J683" s="279">
        <v>1</v>
      </c>
      <c r="K683" s="279"/>
      <c r="L683" s="277"/>
      <c r="M683" s="280">
        <f t="shared" si="521"/>
        <v>3028</v>
      </c>
      <c r="N683" s="364">
        <f>(N31*6+N247*1+N355*4+N568)/12</f>
        <v>2</v>
      </c>
      <c r="O683" s="364">
        <f t="shared" si="531"/>
        <v>3.3800000000000003</v>
      </c>
      <c r="P683" s="364">
        <f t="shared" si="531"/>
        <v>1.58</v>
      </c>
      <c r="Q683" s="282"/>
      <c r="R683" s="280">
        <f>(R31+R247+R355+R568)</f>
        <v>1832</v>
      </c>
      <c r="S683" s="280">
        <f t="shared" si="532"/>
        <v>211.84061135371181</v>
      </c>
      <c r="T683" s="278">
        <f t="shared" si="533"/>
        <v>32341</v>
      </c>
      <c r="U683" s="284">
        <f t="shared" si="522"/>
        <v>388092</v>
      </c>
      <c r="V683" s="277">
        <v>30</v>
      </c>
      <c r="W683" s="285"/>
      <c r="X683" s="285">
        <f t="shared" ref="X683:X695" si="537">U683*V683%</f>
        <v>116427.59999999999</v>
      </c>
      <c r="Y683" s="277"/>
      <c r="Z683" s="277"/>
      <c r="AA683" s="277"/>
      <c r="AB683" s="277"/>
      <c r="AC683" s="277"/>
      <c r="AD683" s="277"/>
      <c r="AE683" s="277"/>
      <c r="AF683" s="277"/>
      <c r="AG683" s="277"/>
      <c r="AH683" s="277"/>
      <c r="AI683" s="277"/>
      <c r="AJ683" s="277"/>
      <c r="AK683" s="277">
        <v>15</v>
      </c>
      <c r="AL683" s="277"/>
      <c r="AM683" s="280">
        <f t="shared" si="523"/>
        <v>58213.8</v>
      </c>
      <c r="AN683" s="277"/>
      <c r="AO683" s="277"/>
      <c r="AP683" s="277"/>
      <c r="AQ683" s="284">
        <f t="shared" si="534"/>
        <v>174641.4</v>
      </c>
      <c r="AR683" s="277">
        <f t="shared" si="535"/>
        <v>20</v>
      </c>
      <c r="AS683" s="277">
        <f t="shared" si="524"/>
        <v>77618.400000000009</v>
      </c>
      <c r="AT683" s="280">
        <f t="shared" si="525"/>
        <v>77618.400000000009</v>
      </c>
      <c r="AU683" s="280">
        <f t="shared" si="525"/>
        <v>1</v>
      </c>
      <c r="AV683" s="277">
        <v>100</v>
      </c>
      <c r="AW683" s="280">
        <f t="shared" si="526"/>
        <v>32341</v>
      </c>
      <c r="AX683" s="277"/>
      <c r="AY683" s="277"/>
      <c r="AZ683" s="280">
        <f t="shared" ref="AZ683:AZ694" si="538">AZ31+AZ247+AZ355+AZ463+AZ568</f>
        <v>0</v>
      </c>
      <c r="BA683" s="284">
        <f t="shared" si="527"/>
        <v>109959.40000000001</v>
      </c>
      <c r="BB683" s="284">
        <f t="shared" si="528"/>
        <v>672692.8</v>
      </c>
      <c r="BC683" s="284">
        <f t="shared" si="529"/>
        <v>672692.8</v>
      </c>
      <c r="BD683" s="286">
        <f t="shared" si="530"/>
        <v>56057.733333333337</v>
      </c>
      <c r="BE683" s="286"/>
      <c r="BF683" s="251">
        <f t="shared" ref="BF683:BF695" si="539">IF(D683=1,BC683,0)</f>
        <v>0</v>
      </c>
      <c r="BG683" s="251">
        <f t="shared" ref="BG683:BG695" si="540">IF(E683=1,BC683,0)</f>
        <v>0</v>
      </c>
      <c r="BH683" s="251">
        <f t="shared" ref="BH683:BH695" si="541">IF(F683=1,BC683,0)</f>
        <v>0</v>
      </c>
      <c r="BI683" s="251">
        <f t="shared" ref="BI683:BI695" si="542">IF(G683=1,BC683,0)</f>
        <v>0</v>
      </c>
      <c r="BJ683" s="251">
        <f t="shared" ref="BJ683:BJ695" si="543">IF(H683=1,BC683,0)</f>
        <v>0</v>
      </c>
      <c r="BK683" s="251">
        <f t="shared" ref="BK683:BK695" si="544">IF(I683=1,BC683,0)</f>
        <v>0</v>
      </c>
      <c r="BL683" s="251">
        <f t="shared" ref="BL683:BL695" si="545">IF(J683=1,BC683,0)</f>
        <v>672692.8</v>
      </c>
      <c r="BM683" s="251">
        <f t="shared" ref="BM683:BM695" si="546">IF(K683=1,BC683,0)</f>
        <v>0</v>
      </c>
      <c r="BP683" s="474">
        <f t="shared" si="536"/>
        <v>0</v>
      </c>
    </row>
    <row r="684" spans="1:68" s="287" customFormat="1" x14ac:dyDescent="0.25">
      <c r="A684" s="276"/>
      <c r="B684" s="288" t="s">
        <v>217</v>
      </c>
      <c r="C684" s="364">
        <f t="shared" si="520"/>
        <v>4</v>
      </c>
      <c r="D684" s="279"/>
      <c r="E684" s="279"/>
      <c r="F684" s="279"/>
      <c r="G684" s="279"/>
      <c r="H684" s="279"/>
      <c r="I684" s="279"/>
      <c r="J684" s="279">
        <v>1</v>
      </c>
      <c r="K684" s="279"/>
      <c r="L684" s="277"/>
      <c r="M684" s="280">
        <f t="shared" si="521"/>
        <v>3028</v>
      </c>
      <c r="N684" s="364">
        <f>(N32*6+N248*1+N356*4+N569)/12</f>
        <v>2</v>
      </c>
      <c r="O684" s="364">
        <f t="shared" si="531"/>
        <v>2</v>
      </c>
      <c r="P684" s="364">
        <f t="shared" si="531"/>
        <v>1.58</v>
      </c>
      <c r="Q684" s="282"/>
      <c r="R684" s="280">
        <f>(R32+R248+R356+R569)</f>
        <v>1832</v>
      </c>
      <c r="S684" s="280">
        <f>T684/(R684/12)</f>
        <v>125.35152838427949</v>
      </c>
      <c r="T684" s="425">
        <f>ROUND(M684*N684*O684*P684,0)</f>
        <v>19137</v>
      </c>
      <c r="U684" s="284">
        <f t="shared" si="522"/>
        <v>918576</v>
      </c>
      <c r="V684" s="277">
        <v>20</v>
      </c>
      <c r="W684" s="285"/>
      <c r="X684" s="285">
        <f>U684*V684%</f>
        <v>183715.20000000001</v>
      </c>
      <c r="Y684" s="277"/>
      <c r="Z684" s="277"/>
      <c r="AA684" s="277"/>
      <c r="AB684" s="277"/>
      <c r="AC684" s="277"/>
      <c r="AD684" s="277"/>
      <c r="AE684" s="277"/>
      <c r="AF684" s="277"/>
      <c r="AG684" s="277"/>
      <c r="AH684" s="277"/>
      <c r="AI684" s="277"/>
      <c r="AJ684" s="277"/>
      <c r="AK684" s="277">
        <f>(7)/1</f>
        <v>7</v>
      </c>
      <c r="AL684" s="277"/>
      <c r="AM684" s="280">
        <f t="shared" si="523"/>
        <v>16075.080000000002</v>
      </c>
      <c r="AN684" s="277"/>
      <c r="AO684" s="277"/>
      <c r="AP684" s="277"/>
      <c r="AQ684" s="284">
        <f>X684+AA684+AD684+AG684+AJ684+AM684+AP684</f>
        <v>199790.28000000003</v>
      </c>
      <c r="AR684" s="277">
        <f t="shared" si="535"/>
        <v>20</v>
      </c>
      <c r="AS684" s="277">
        <f>AT684/C684</f>
        <v>45928.800000000003</v>
      </c>
      <c r="AT684" s="280">
        <f t="shared" si="525"/>
        <v>183715.20000000001</v>
      </c>
      <c r="AU684" s="280">
        <f t="shared" si="525"/>
        <v>4</v>
      </c>
      <c r="AV684" s="277">
        <v>100</v>
      </c>
      <c r="AW684" s="280">
        <f t="shared" si="526"/>
        <v>76548</v>
      </c>
      <c r="AX684" s="277"/>
      <c r="AY684" s="277"/>
      <c r="AZ684" s="280">
        <f t="shared" si="538"/>
        <v>0</v>
      </c>
      <c r="BA684" s="284">
        <f t="shared" si="527"/>
        <v>260263.2</v>
      </c>
      <c r="BB684" s="284">
        <f>BC684/C684</f>
        <v>344657.37</v>
      </c>
      <c r="BC684" s="284">
        <f>BA684+AQ684+U684</f>
        <v>1378629.48</v>
      </c>
      <c r="BD684" s="286">
        <f>BC684/C684/12</f>
        <v>28721.447499999998</v>
      </c>
      <c r="BE684" s="286"/>
      <c r="BF684" s="251">
        <f>IF(D684=1,BC684,0)</f>
        <v>0</v>
      </c>
      <c r="BG684" s="251">
        <f>IF(E684=1,BC684,0)</f>
        <v>0</v>
      </c>
      <c r="BH684" s="251">
        <f>IF(F684=1,BC684,0)</f>
        <v>0</v>
      </c>
      <c r="BI684" s="251">
        <f>IF(G684=1,BC684,0)</f>
        <v>0</v>
      </c>
      <c r="BJ684" s="251">
        <f>IF(H684=1,BC684,0)</f>
        <v>0</v>
      </c>
      <c r="BK684" s="251">
        <f>IF(I684=1,BC684,0)</f>
        <v>0</v>
      </c>
      <c r="BL684" s="251">
        <f>IF(J684=1,BC684,0)</f>
        <v>1378629.48</v>
      </c>
      <c r="BM684" s="251">
        <f>IF(K684=1,BC684,0)</f>
        <v>0</v>
      </c>
      <c r="BP684" s="474">
        <f>AU684-C684</f>
        <v>0</v>
      </c>
    </row>
    <row r="685" spans="1:68" s="287" customFormat="1" x14ac:dyDescent="0.25">
      <c r="A685" s="276"/>
      <c r="B685" s="288" t="s">
        <v>218</v>
      </c>
      <c r="C685" s="364">
        <f t="shared" si="520"/>
        <v>1</v>
      </c>
      <c r="D685" s="279"/>
      <c r="E685" s="279"/>
      <c r="F685" s="279"/>
      <c r="G685" s="279"/>
      <c r="H685" s="279"/>
      <c r="I685" s="279"/>
      <c r="J685" s="279">
        <v>1</v>
      </c>
      <c r="K685" s="279"/>
      <c r="L685" s="277"/>
      <c r="M685" s="280">
        <f t="shared" si="521"/>
        <v>3028</v>
      </c>
      <c r="N685" s="364">
        <f>(N33*6+N249*1+N357*4+N570)/12</f>
        <v>2</v>
      </c>
      <c r="O685" s="364">
        <f t="shared" si="531"/>
        <v>3.15</v>
      </c>
      <c r="P685" s="364">
        <f t="shared" si="531"/>
        <v>1.58</v>
      </c>
      <c r="Q685" s="282"/>
      <c r="R685" s="280">
        <f>(R33+R249+R357+R570)</f>
        <v>1832</v>
      </c>
      <c r="S685" s="280">
        <f t="shared" si="532"/>
        <v>197.43013100436681</v>
      </c>
      <c r="T685" s="425">
        <f t="shared" si="533"/>
        <v>30141</v>
      </c>
      <c r="U685" s="284">
        <f t="shared" si="522"/>
        <v>361692</v>
      </c>
      <c r="V685" s="277">
        <v>30</v>
      </c>
      <c r="W685" s="285"/>
      <c r="X685" s="285">
        <f t="shared" si="537"/>
        <v>108507.59999999999</v>
      </c>
      <c r="Y685" s="277"/>
      <c r="Z685" s="277"/>
      <c r="AA685" s="277"/>
      <c r="AB685" s="277"/>
      <c r="AC685" s="277"/>
      <c r="AD685" s="277"/>
      <c r="AE685" s="277"/>
      <c r="AF685" s="277"/>
      <c r="AG685" s="277"/>
      <c r="AH685" s="277"/>
      <c r="AI685" s="277"/>
      <c r="AJ685" s="277"/>
      <c r="AK685" s="277">
        <v>20</v>
      </c>
      <c r="AL685" s="277"/>
      <c r="AM685" s="280">
        <f t="shared" si="523"/>
        <v>72338.400000000009</v>
      </c>
      <c r="AN685" s="277"/>
      <c r="AO685" s="277"/>
      <c r="AP685" s="277"/>
      <c r="AQ685" s="284">
        <f t="shared" si="534"/>
        <v>180846</v>
      </c>
      <c r="AR685" s="277">
        <f t="shared" si="535"/>
        <v>20</v>
      </c>
      <c r="AS685" s="277">
        <f t="shared" si="524"/>
        <v>72338.400000000009</v>
      </c>
      <c r="AT685" s="280">
        <f t="shared" si="525"/>
        <v>72338.400000000009</v>
      </c>
      <c r="AU685" s="280">
        <f t="shared" si="525"/>
        <v>1</v>
      </c>
      <c r="AV685" s="277">
        <v>100</v>
      </c>
      <c r="AW685" s="280">
        <f t="shared" si="526"/>
        <v>30141</v>
      </c>
      <c r="AX685" s="277"/>
      <c r="AY685" s="277"/>
      <c r="AZ685" s="280">
        <f t="shared" si="538"/>
        <v>0</v>
      </c>
      <c r="BA685" s="284">
        <f t="shared" si="527"/>
        <v>102479.40000000001</v>
      </c>
      <c r="BB685" s="284">
        <f t="shared" si="528"/>
        <v>645017.4</v>
      </c>
      <c r="BC685" s="284">
        <f t="shared" si="529"/>
        <v>645017.4</v>
      </c>
      <c r="BD685" s="286">
        <f t="shared" si="530"/>
        <v>53751.450000000004</v>
      </c>
      <c r="BE685" s="286"/>
      <c r="BF685" s="251">
        <f t="shared" si="539"/>
        <v>0</v>
      </c>
      <c r="BG685" s="251">
        <f t="shared" si="540"/>
        <v>0</v>
      </c>
      <c r="BH685" s="251">
        <f t="shared" si="541"/>
        <v>0</v>
      </c>
      <c r="BI685" s="251">
        <f t="shared" si="542"/>
        <v>0</v>
      </c>
      <c r="BJ685" s="251">
        <f t="shared" si="543"/>
        <v>0</v>
      </c>
      <c r="BK685" s="251">
        <f t="shared" si="544"/>
        <v>0</v>
      </c>
      <c r="BL685" s="251">
        <f t="shared" si="545"/>
        <v>645017.4</v>
      </c>
      <c r="BM685" s="251">
        <f t="shared" si="546"/>
        <v>0</v>
      </c>
      <c r="BP685" s="474">
        <f t="shared" si="536"/>
        <v>0</v>
      </c>
    </row>
    <row r="686" spans="1:68" s="301" customFormat="1" x14ac:dyDescent="0.25">
      <c r="A686" s="289"/>
      <c r="B686" s="290" t="s">
        <v>219</v>
      </c>
      <c r="C686" s="364">
        <f t="shared" si="520"/>
        <v>1</v>
      </c>
      <c r="D686" s="292"/>
      <c r="E686" s="292"/>
      <c r="F686" s="292"/>
      <c r="G686" s="292"/>
      <c r="H686" s="292"/>
      <c r="I686" s="292"/>
      <c r="J686" s="292">
        <v>1</v>
      </c>
      <c r="K686" s="292"/>
      <c r="L686" s="293"/>
      <c r="M686" s="280">
        <f t="shared" si="521"/>
        <v>3028</v>
      </c>
      <c r="N686" s="364">
        <f>(N34*6+N250*1+N358*4+N571)/12</f>
        <v>2</v>
      </c>
      <c r="O686" s="364">
        <f t="shared" si="531"/>
        <v>2.1999999999999997</v>
      </c>
      <c r="P686" s="364">
        <f t="shared" si="531"/>
        <v>1.58</v>
      </c>
      <c r="Q686" s="282"/>
      <c r="R686" s="280">
        <f>(R34+R250+R358+R571)</f>
        <v>1832</v>
      </c>
      <c r="S686" s="280">
        <f>T686/(R686/12)</f>
        <v>137.88864628820963</v>
      </c>
      <c r="T686" s="425">
        <f>ROUND(M686*N686*O686*P686,0)</f>
        <v>21051</v>
      </c>
      <c r="U686" s="284">
        <f t="shared" si="522"/>
        <v>252612</v>
      </c>
      <c r="V686" s="293">
        <v>20</v>
      </c>
      <c r="W686" s="298"/>
      <c r="X686" s="298">
        <f t="shared" si="537"/>
        <v>50522.400000000001</v>
      </c>
      <c r="Y686" s="293"/>
      <c r="Z686" s="293"/>
      <c r="AA686" s="293"/>
      <c r="AB686" s="293"/>
      <c r="AC686" s="293"/>
      <c r="AD686" s="293"/>
      <c r="AE686" s="293"/>
      <c r="AF686" s="293"/>
      <c r="AG686" s="293"/>
      <c r="AH686" s="293"/>
      <c r="AI686" s="293"/>
      <c r="AJ686" s="293"/>
      <c r="AK686" s="277">
        <v>7</v>
      </c>
      <c r="AL686" s="293"/>
      <c r="AM686" s="280">
        <f t="shared" si="523"/>
        <v>17682.840000000004</v>
      </c>
      <c r="AN686" s="293"/>
      <c r="AO686" s="293"/>
      <c r="AP686" s="293"/>
      <c r="AQ686" s="297">
        <f t="shared" si="534"/>
        <v>68205.240000000005</v>
      </c>
      <c r="AR686" s="293">
        <f t="shared" si="535"/>
        <v>20</v>
      </c>
      <c r="AS686" s="298">
        <f t="shared" si="524"/>
        <v>50522.399999999994</v>
      </c>
      <c r="AT686" s="280">
        <f t="shared" si="525"/>
        <v>50522.399999999994</v>
      </c>
      <c r="AU686" s="280">
        <f t="shared" si="525"/>
        <v>1</v>
      </c>
      <c r="AV686" s="293">
        <v>100</v>
      </c>
      <c r="AW686" s="280">
        <f t="shared" si="526"/>
        <v>21051</v>
      </c>
      <c r="AX686" s="293"/>
      <c r="AY686" s="293"/>
      <c r="AZ686" s="280">
        <f t="shared" si="538"/>
        <v>0</v>
      </c>
      <c r="BA686" s="284">
        <f t="shared" si="527"/>
        <v>71573.399999999994</v>
      </c>
      <c r="BB686" s="297">
        <f t="shared" si="528"/>
        <v>392390.64</v>
      </c>
      <c r="BC686" s="297">
        <f t="shared" si="529"/>
        <v>392390.64</v>
      </c>
      <c r="BD686" s="299">
        <f t="shared" si="530"/>
        <v>32699.22</v>
      </c>
      <c r="BE686" s="299"/>
      <c r="BF686" s="300">
        <f t="shared" si="539"/>
        <v>0</v>
      </c>
      <c r="BG686" s="300">
        <f t="shared" si="540"/>
        <v>0</v>
      </c>
      <c r="BH686" s="300">
        <f t="shared" si="541"/>
        <v>0</v>
      </c>
      <c r="BI686" s="300">
        <f t="shared" si="542"/>
        <v>0</v>
      </c>
      <c r="BJ686" s="300">
        <f t="shared" si="543"/>
        <v>0</v>
      </c>
      <c r="BK686" s="300">
        <f t="shared" si="544"/>
        <v>0</v>
      </c>
      <c r="BL686" s="300">
        <f t="shared" si="545"/>
        <v>392390.64</v>
      </c>
      <c r="BM686" s="300">
        <f t="shared" si="546"/>
        <v>0</v>
      </c>
      <c r="BP686" s="474">
        <f t="shared" si="536"/>
        <v>0</v>
      </c>
    </row>
    <row r="687" spans="1:68" s="287" customFormat="1" x14ac:dyDescent="0.25">
      <c r="A687" s="276"/>
      <c r="B687" s="288" t="s">
        <v>220</v>
      </c>
      <c r="C687" s="364">
        <f t="shared" si="520"/>
        <v>1</v>
      </c>
      <c r="D687" s="279"/>
      <c r="E687" s="279"/>
      <c r="F687" s="279"/>
      <c r="G687" s="279"/>
      <c r="H687" s="279"/>
      <c r="I687" s="279"/>
      <c r="J687" s="279">
        <v>1</v>
      </c>
      <c r="K687" s="279"/>
      <c r="L687" s="277"/>
      <c r="M687" s="280">
        <f t="shared" si="521"/>
        <v>3028</v>
      </c>
      <c r="N687" s="364">
        <f>(N32*6+N248*1+N359*4+N572)/12</f>
        <v>2</v>
      </c>
      <c r="O687" s="364">
        <f t="shared" si="531"/>
        <v>2.7999999999999994</v>
      </c>
      <c r="P687" s="364">
        <f t="shared" si="531"/>
        <v>1.58</v>
      </c>
      <c r="Q687" s="282"/>
      <c r="R687" s="280">
        <f>(R32+R248+R359+R572)</f>
        <v>1832</v>
      </c>
      <c r="S687" s="280">
        <f t="shared" si="532"/>
        <v>175.49344978165939</v>
      </c>
      <c r="T687" s="425">
        <f t="shared" si="533"/>
        <v>26792</v>
      </c>
      <c r="U687" s="284">
        <f t="shared" si="522"/>
        <v>321504</v>
      </c>
      <c r="V687" s="277">
        <v>20</v>
      </c>
      <c r="W687" s="285"/>
      <c r="X687" s="285">
        <f t="shared" si="537"/>
        <v>64300.800000000003</v>
      </c>
      <c r="Y687" s="277"/>
      <c r="Z687" s="277"/>
      <c r="AA687" s="277"/>
      <c r="AB687" s="277"/>
      <c r="AC687" s="277"/>
      <c r="AD687" s="277"/>
      <c r="AE687" s="277"/>
      <c r="AF687" s="277"/>
      <c r="AG687" s="277"/>
      <c r="AH687" s="277"/>
      <c r="AI687" s="277"/>
      <c r="AJ687" s="277"/>
      <c r="AK687" s="277"/>
      <c r="AL687" s="277"/>
      <c r="AM687" s="280">
        <f t="shared" si="523"/>
        <v>0</v>
      </c>
      <c r="AN687" s="277"/>
      <c r="AO687" s="277"/>
      <c r="AP687" s="277"/>
      <c r="AQ687" s="284">
        <f t="shared" si="534"/>
        <v>64300.800000000003</v>
      </c>
      <c r="AR687" s="277">
        <f t="shared" si="535"/>
        <v>20</v>
      </c>
      <c r="AS687" s="277">
        <f t="shared" si="524"/>
        <v>64300.800000000003</v>
      </c>
      <c r="AT687" s="280">
        <f t="shared" si="525"/>
        <v>64300.800000000003</v>
      </c>
      <c r="AU687" s="280">
        <f t="shared" si="525"/>
        <v>1</v>
      </c>
      <c r="AV687" s="277">
        <v>100</v>
      </c>
      <c r="AW687" s="280">
        <f t="shared" si="526"/>
        <v>26792</v>
      </c>
      <c r="AX687" s="277"/>
      <c r="AY687" s="277"/>
      <c r="AZ687" s="280">
        <f t="shared" si="538"/>
        <v>0</v>
      </c>
      <c r="BA687" s="284">
        <f t="shared" si="527"/>
        <v>91092.800000000003</v>
      </c>
      <c r="BB687" s="284">
        <f t="shared" si="528"/>
        <v>476897.6</v>
      </c>
      <c r="BC687" s="284">
        <f t="shared" si="529"/>
        <v>476897.6</v>
      </c>
      <c r="BD687" s="286">
        <f t="shared" si="530"/>
        <v>39741.466666666667</v>
      </c>
      <c r="BE687" s="286"/>
      <c r="BF687" s="251">
        <f t="shared" si="539"/>
        <v>0</v>
      </c>
      <c r="BG687" s="251">
        <f t="shared" si="540"/>
        <v>0</v>
      </c>
      <c r="BH687" s="251">
        <f t="shared" si="541"/>
        <v>0</v>
      </c>
      <c r="BI687" s="251">
        <f t="shared" si="542"/>
        <v>0</v>
      </c>
      <c r="BJ687" s="251">
        <f t="shared" si="543"/>
        <v>0</v>
      </c>
      <c r="BK687" s="251">
        <f t="shared" si="544"/>
        <v>0</v>
      </c>
      <c r="BL687" s="251">
        <f t="shared" si="545"/>
        <v>476897.6</v>
      </c>
      <c r="BM687" s="251">
        <f t="shared" si="546"/>
        <v>0</v>
      </c>
      <c r="BP687" s="474">
        <f t="shared" si="536"/>
        <v>0</v>
      </c>
    </row>
    <row r="688" spans="1:68" s="287" customFormat="1" x14ac:dyDescent="0.25">
      <c r="A688" s="276"/>
      <c r="B688" s="288" t="s">
        <v>221</v>
      </c>
      <c r="C688" s="364">
        <f t="shared" si="520"/>
        <v>1</v>
      </c>
      <c r="D688" s="279"/>
      <c r="E688" s="279"/>
      <c r="F688" s="279"/>
      <c r="G688" s="279"/>
      <c r="H688" s="279"/>
      <c r="I688" s="279"/>
      <c r="J688" s="279">
        <v>1</v>
      </c>
      <c r="K688" s="279"/>
      <c r="L688" s="277"/>
      <c r="M688" s="280">
        <f t="shared" si="521"/>
        <v>3028</v>
      </c>
      <c r="N688" s="364">
        <f t="shared" ref="N688:N694" si="547">(N36*6+N252*1+N360*4+N573)/12</f>
        <v>2</v>
      </c>
      <c r="O688" s="364">
        <f t="shared" si="531"/>
        <v>2.1999999999999997</v>
      </c>
      <c r="P688" s="364">
        <f t="shared" si="531"/>
        <v>1.58</v>
      </c>
      <c r="Q688" s="282"/>
      <c r="R688" s="280">
        <f t="shared" ref="R688:R694" si="548">(R36+R252+R360+R573)</f>
        <v>1832</v>
      </c>
      <c r="S688" s="280">
        <f t="shared" si="532"/>
        <v>137.88864628820963</v>
      </c>
      <c r="T688" s="425">
        <f t="shared" si="533"/>
        <v>21051</v>
      </c>
      <c r="U688" s="284">
        <f t="shared" si="522"/>
        <v>252612</v>
      </c>
      <c r="V688" s="277">
        <v>20</v>
      </c>
      <c r="W688" s="285"/>
      <c r="X688" s="285">
        <f t="shared" si="537"/>
        <v>50522.400000000001</v>
      </c>
      <c r="Y688" s="277"/>
      <c r="Z688" s="277"/>
      <c r="AA688" s="277"/>
      <c r="AB688" s="277"/>
      <c r="AC688" s="277"/>
      <c r="AD688" s="277"/>
      <c r="AE688" s="277"/>
      <c r="AF688" s="277"/>
      <c r="AG688" s="277"/>
      <c r="AH688" s="277"/>
      <c r="AI688" s="277"/>
      <c r="AJ688" s="277"/>
      <c r="AK688" s="277"/>
      <c r="AL688" s="277"/>
      <c r="AM688" s="280">
        <f t="shared" si="523"/>
        <v>0</v>
      </c>
      <c r="AN688" s="277"/>
      <c r="AO688" s="277"/>
      <c r="AP688" s="277"/>
      <c r="AQ688" s="284">
        <f t="shared" si="534"/>
        <v>50522.400000000001</v>
      </c>
      <c r="AR688" s="277">
        <f t="shared" si="535"/>
        <v>20</v>
      </c>
      <c r="AS688" s="285">
        <f t="shared" si="524"/>
        <v>50522.399999999994</v>
      </c>
      <c r="AT688" s="280">
        <f t="shared" si="525"/>
        <v>50522.399999999994</v>
      </c>
      <c r="AU688" s="280">
        <f t="shared" si="525"/>
        <v>1</v>
      </c>
      <c r="AV688" s="277">
        <v>100</v>
      </c>
      <c r="AW688" s="280">
        <f t="shared" si="526"/>
        <v>21051</v>
      </c>
      <c r="AX688" s="277"/>
      <c r="AY688" s="277"/>
      <c r="AZ688" s="280">
        <f t="shared" si="538"/>
        <v>0</v>
      </c>
      <c r="BA688" s="284">
        <f t="shared" si="527"/>
        <v>71573.399999999994</v>
      </c>
      <c r="BB688" s="284">
        <f t="shared" si="528"/>
        <v>374707.8</v>
      </c>
      <c r="BC688" s="284">
        <f t="shared" si="529"/>
        <v>374707.8</v>
      </c>
      <c r="BD688" s="286">
        <f t="shared" si="530"/>
        <v>31225.649999999998</v>
      </c>
      <c r="BE688" s="286"/>
      <c r="BF688" s="251">
        <f t="shared" si="539"/>
        <v>0</v>
      </c>
      <c r="BG688" s="251">
        <f t="shared" si="540"/>
        <v>0</v>
      </c>
      <c r="BH688" s="251">
        <f t="shared" si="541"/>
        <v>0</v>
      </c>
      <c r="BI688" s="251">
        <f t="shared" si="542"/>
        <v>0</v>
      </c>
      <c r="BJ688" s="251">
        <f t="shared" si="543"/>
        <v>0</v>
      </c>
      <c r="BK688" s="251">
        <f t="shared" si="544"/>
        <v>0</v>
      </c>
      <c r="BL688" s="251">
        <f t="shared" si="545"/>
        <v>374707.8</v>
      </c>
      <c r="BM688" s="251">
        <f t="shared" si="546"/>
        <v>0</v>
      </c>
      <c r="BP688" s="474">
        <f t="shared" si="536"/>
        <v>0</v>
      </c>
    </row>
    <row r="689" spans="1:68" s="287" customFormat="1" x14ac:dyDescent="0.25">
      <c r="A689" s="276"/>
      <c r="B689" s="288" t="s">
        <v>222</v>
      </c>
      <c r="C689" s="364">
        <f t="shared" si="520"/>
        <v>1</v>
      </c>
      <c r="D689" s="279"/>
      <c r="E689" s="279"/>
      <c r="F689" s="279"/>
      <c r="G689" s="279"/>
      <c r="H689" s="279"/>
      <c r="I689" s="279"/>
      <c r="J689" s="279">
        <v>1</v>
      </c>
      <c r="K689" s="279"/>
      <c r="L689" s="277"/>
      <c r="M689" s="280">
        <f t="shared" si="521"/>
        <v>3028</v>
      </c>
      <c r="N689" s="364">
        <f t="shared" si="547"/>
        <v>2</v>
      </c>
      <c r="O689" s="364">
        <f t="shared" si="531"/>
        <v>2.1999999999999997</v>
      </c>
      <c r="P689" s="364">
        <f t="shared" si="531"/>
        <v>1.58</v>
      </c>
      <c r="Q689" s="282"/>
      <c r="R689" s="280">
        <f t="shared" si="548"/>
        <v>1832</v>
      </c>
      <c r="S689" s="280">
        <f>T689/(R689/12)</f>
        <v>137.88864628820963</v>
      </c>
      <c r="T689" s="425">
        <f>ROUND(M689*N689*O689*P689,0)</f>
        <v>21051</v>
      </c>
      <c r="U689" s="284">
        <f t="shared" si="522"/>
        <v>252612</v>
      </c>
      <c r="V689" s="277">
        <v>20</v>
      </c>
      <c r="W689" s="285"/>
      <c r="X689" s="285">
        <f>U689*V689%</f>
        <v>50522.400000000001</v>
      </c>
      <c r="Y689" s="277"/>
      <c r="Z689" s="277"/>
      <c r="AA689" s="277"/>
      <c r="AB689" s="277"/>
      <c r="AC689" s="277"/>
      <c r="AD689" s="277"/>
      <c r="AE689" s="277"/>
      <c r="AF689" s="277"/>
      <c r="AG689" s="277"/>
      <c r="AH689" s="277"/>
      <c r="AI689" s="277"/>
      <c r="AJ689" s="277"/>
      <c r="AK689" s="277">
        <v>10</v>
      </c>
      <c r="AL689" s="277"/>
      <c r="AM689" s="280">
        <f t="shared" si="523"/>
        <v>25261.199999999997</v>
      </c>
      <c r="AN689" s="277"/>
      <c r="AO689" s="277"/>
      <c r="AP689" s="277"/>
      <c r="AQ689" s="284">
        <f>X689+AA689+AD689+AG689+AJ689+AM689+AP689</f>
        <v>75783.600000000006</v>
      </c>
      <c r="AR689" s="277">
        <f t="shared" si="535"/>
        <v>20</v>
      </c>
      <c r="AS689" s="285">
        <f>AT689/C689</f>
        <v>50522.399999999994</v>
      </c>
      <c r="AT689" s="280">
        <f t="shared" si="525"/>
        <v>50522.399999999994</v>
      </c>
      <c r="AU689" s="280">
        <f t="shared" si="525"/>
        <v>1</v>
      </c>
      <c r="AV689" s="277">
        <v>100</v>
      </c>
      <c r="AW689" s="280">
        <f t="shared" si="526"/>
        <v>21051</v>
      </c>
      <c r="AX689" s="277"/>
      <c r="AY689" s="277"/>
      <c r="AZ689" s="280">
        <f t="shared" si="538"/>
        <v>0</v>
      </c>
      <c r="BA689" s="284">
        <f t="shared" si="527"/>
        <v>71573.399999999994</v>
      </c>
      <c r="BB689" s="284">
        <f>BC689/C689</f>
        <v>399969</v>
      </c>
      <c r="BC689" s="284">
        <f>BA689+AQ689+U689</f>
        <v>399969</v>
      </c>
      <c r="BD689" s="286">
        <f>BC689/C689/12</f>
        <v>33330.75</v>
      </c>
      <c r="BE689" s="286"/>
      <c r="BF689" s="251">
        <f>IF(D689=1,BC689,0)</f>
        <v>0</v>
      </c>
      <c r="BG689" s="251">
        <f>IF(E689=1,BC689,0)</f>
        <v>0</v>
      </c>
      <c r="BH689" s="251">
        <f>IF(F689=1,BC689,0)</f>
        <v>0</v>
      </c>
      <c r="BI689" s="251">
        <f>IF(G689=1,BC689,0)</f>
        <v>0</v>
      </c>
      <c r="BJ689" s="251">
        <f>IF(H689=1,BC689,0)</f>
        <v>0</v>
      </c>
      <c r="BK689" s="251">
        <f>IF(I689=1,BC689,0)</f>
        <v>0</v>
      </c>
      <c r="BL689" s="251">
        <f>IF(J689=1,BC689,0)</f>
        <v>399969</v>
      </c>
      <c r="BM689" s="251">
        <f>IF(K689=1,BC689,0)</f>
        <v>0</v>
      </c>
      <c r="BP689" s="474">
        <f t="shared" si="536"/>
        <v>0</v>
      </c>
    </row>
    <row r="690" spans="1:68" s="287" customFormat="1" x14ac:dyDescent="0.25">
      <c r="A690" s="276"/>
      <c r="B690" s="288" t="s">
        <v>223</v>
      </c>
      <c r="C690" s="364">
        <f t="shared" si="520"/>
        <v>1</v>
      </c>
      <c r="D690" s="279"/>
      <c r="E690" s="279"/>
      <c r="F690" s="279"/>
      <c r="G690" s="279"/>
      <c r="H690" s="279"/>
      <c r="I690" s="279"/>
      <c r="J690" s="279">
        <v>1</v>
      </c>
      <c r="K690" s="279"/>
      <c r="L690" s="277"/>
      <c r="M690" s="280">
        <f t="shared" si="521"/>
        <v>3028</v>
      </c>
      <c r="N690" s="364">
        <f t="shared" si="547"/>
        <v>2</v>
      </c>
      <c r="O690" s="364">
        <f t="shared" si="531"/>
        <v>2.1999999999999997</v>
      </c>
      <c r="P690" s="364">
        <f t="shared" si="531"/>
        <v>1.58</v>
      </c>
      <c r="Q690" s="282"/>
      <c r="R690" s="280">
        <f t="shared" si="548"/>
        <v>1832</v>
      </c>
      <c r="S690" s="280">
        <f t="shared" si="532"/>
        <v>137.88864628820963</v>
      </c>
      <c r="T690" s="425">
        <f t="shared" si="533"/>
        <v>21051</v>
      </c>
      <c r="U690" s="284">
        <f t="shared" si="522"/>
        <v>252612</v>
      </c>
      <c r="V690" s="277">
        <v>20</v>
      </c>
      <c r="W690" s="285"/>
      <c r="X690" s="285">
        <f t="shared" si="537"/>
        <v>50522.400000000001</v>
      </c>
      <c r="Y690" s="277"/>
      <c r="Z690" s="277"/>
      <c r="AA690" s="277"/>
      <c r="AB690" s="277"/>
      <c r="AC690" s="277"/>
      <c r="AD690" s="277"/>
      <c r="AE690" s="277"/>
      <c r="AF690" s="277"/>
      <c r="AG690" s="277"/>
      <c r="AH690" s="277"/>
      <c r="AI690" s="277"/>
      <c r="AJ690" s="277"/>
      <c r="AK690" s="277">
        <v>7</v>
      </c>
      <c r="AL690" s="277"/>
      <c r="AM690" s="280">
        <f t="shared" si="523"/>
        <v>17682.840000000004</v>
      </c>
      <c r="AN690" s="277"/>
      <c r="AO690" s="277"/>
      <c r="AP690" s="277"/>
      <c r="AQ690" s="284">
        <f t="shared" si="534"/>
        <v>68205.240000000005</v>
      </c>
      <c r="AR690" s="277">
        <f t="shared" si="535"/>
        <v>20</v>
      </c>
      <c r="AS690" s="277">
        <f t="shared" si="524"/>
        <v>50522.399999999994</v>
      </c>
      <c r="AT690" s="280">
        <f t="shared" si="525"/>
        <v>50522.399999999994</v>
      </c>
      <c r="AU690" s="280">
        <f t="shared" si="525"/>
        <v>1</v>
      </c>
      <c r="AV690" s="277">
        <v>100</v>
      </c>
      <c r="AW690" s="280">
        <f t="shared" si="526"/>
        <v>21051</v>
      </c>
      <c r="AX690" s="277"/>
      <c r="AY690" s="277"/>
      <c r="AZ690" s="280">
        <f t="shared" si="538"/>
        <v>0</v>
      </c>
      <c r="BA690" s="284">
        <f t="shared" si="527"/>
        <v>71573.399999999994</v>
      </c>
      <c r="BB690" s="284">
        <f t="shared" si="528"/>
        <v>392390.64</v>
      </c>
      <c r="BC690" s="284">
        <f t="shared" si="529"/>
        <v>392390.64</v>
      </c>
      <c r="BD690" s="286">
        <f t="shared" si="530"/>
        <v>32699.22</v>
      </c>
      <c r="BE690" s="286"/>
      <c r="BF690" s="251">
        <f t="shared" si="539"/>
        <v>0</v>
      </c>
      <c r="BG690" s="251">
        <f t="shared" si="540"/>
        <v>0</v>
      </c>
      <c r="BH690" s="251">
        <f t="shared" si="541"/>
        <v>0</v>
      </c>
      <c r="BI690" s="251">
        <f t="shared" si="542"/>
        <v>0</v>
      </c>
      <c r="BJ690" s="251">
        <f t="shared" si="543"/>
        <v>0</v>
      </c>
      <c r="BK690" s="251">
        <f t="shared" si="544"/>
        <v>0</v>
      </c>
      <c r="BL690" s="251">
        <f t="shared" si="545"/>
        <v>392390.64</v>
      </c>
      <c r="BM690" s="251">
        <f t="shared" si="546"/>
        <v>0</v>
      </c>
      <c r="BP690" s="474">
        <f t="shared" si="536"/>
        <v>0</v>
      </c>
    </row>
    <row r="691" spans="1:68" s="287" customFormat="1" x14ac:dyDescent="0.25">
      <c r="A691" s="276"/>
      <c r="B691" s="288" t="s">
        <v>224</v>
      </c>
      <c r="C691" s="364">
        <f t="shared" si="520"/>
        <v>1</v>
      </c>
      <c r="D691" s="279"/>
      <c r="E691" s="279"/>
      <c r="F691" s="279"/>
      <c r="G691" s="279"/>
      <c r="H691" s="279"/>
      <c r="I691" s="279"/>
      <c r="J691" s="279">
        <v>1</v>
      </c>
      <c r="K691" s="279"/>
      <c r="L691" s="277"/>
      <c r="M691" s="280">
        <f t="shared" si="521"/>
        <v>3028</v>
      </c>
      <c r="N691" s="364">
        <f t="shared" si="547"/>
        <v>2</v>
      </c>
      <c r="O691" s="364">
        <f t="shared" si="531"/>
        <v>2</v>
      </c>
      <c r="P691" s="364">
        <f t="shared" si="531"/>
        <v>1.58</v>
      </c>
      <c r="Q691" s="282"/>
      <c r="R691" s="280">
        <f t="shared" si="548"/>
        <v>1832</v>
      </c>
      <c r="S691" s="280">
        <f t="shared" si="532"/>
        <v>125.35152838427949</v>
      </c>
      <c r="T691" s="425">
        <f t="shared" si="533"/>
        <v>19137</v>
      </c>
      <c r="U691" s="284">
        <f t="shared" si="522"/>
        <v>229644</v>
      </c>
      <c r="V691" s="277">
        <v>20</v>
      </c>
      <c r="W691" s="285"/>
      <c r="X691" s="285">
        <f t="shared" si="537"/>
        <v>45928.800000000003</v>
      </c>
      <c r="Y691" s="277"/>
      <c r="Z691" s="277"/>
      <c r="AA691" s="277"/>
      <c r="AB691" s="277"/>
      <c r="AC691" s="277"/>
      <c r="AD691" s="277"/>
      <c r="AE691" s="277"/>
      <c r="AF691" s="277"/>
      <c r="AG691" s="277"/>
      <c r="AH691" s="277"/>
      <c r="AI691" s="277"/>
      <c r="AJ691" s="277"/>
      <c r="AK691" s="277">
        <v>15</v>
      </c>
      <c r="AL691" s="277"/>
      <c r="AM691" s="280">
        <f t="shared" si="523"/>
        <v>34446.6</v>
      </c>
      <c r="AN691" s="277"/>
      <c r="AO691" s="277"/>
      <c r="AP691" s="277"/>
      <c r="AQ691" s="284">
        <f t="shared" si="534"/>
        <v>80375.399999999994</v>
      </c>
      <c r="AR691" s="277">
        <f t="shared" si="535"/>
        <v>20</v>
      </c>
      <c r="AS691" s="277">
        <f t="shared" si="524"/>
        <v>45928.800000000003</v>
      </c>
      <c r="AT691" s="280">
        <f t="shared" si="525"/>
        <v>45928.800000000003</v>
      </c>
      <c r="AU691" s="280">
        <f t="shared" si="525"/>
        <v>1</v>
      </c>
      <c r="AV691" s="277">
        <v>100</v>
      </c>
      <c r="AW691" s="280">
        <f t="shared" si="526"/>
        <v>19137</v>
      </c>
      <c r="AX691" s="277"/>
      <c r="AY691" s="277"/>
      <c r="AZ691" s="280">
        <f t="shared" si="538"/>
        <v>0</v>
      </c>
      <c r="BA691" s="284">
        <f t="shared" si="527"/>
        <v>65065.8</v>
      </c>
      <c r="BB691" s="284">
        <f t="shared" si="528"/>
        <v>375085.2</v>
      </c>
      <c r="BC691" s="284">
        <f t="shared" si="529"/>
        <v>375085.2</v>
      </c>
      <c r="BD691" s="286">
        <f t="shared" si="530"/>
        <v>31257.100000000002</v>
      </c>
      <c r="BE691" s="286"/>
      <c r="BF691" s="251">
        <f t="shared" si="539"/>
        <v>0</v>
      </c>
      <c r="BG691" s="251">
        <f t="shared" si="540"/>
        <v>0</v>
      </c>
      <c r="BH691" s="251">
        <f t="shared" si="541"/>
        <v>0</v>
      </c>
      <c r="BI691" s="251">
        <f t="shared" si="542"/>
        <v>0</v>
      </c>
      <c r="BJ691" s="251">
        <f t="shared" si="543"/>
        <v>0</v>
      </c>
      <c r="BK691" s="251">
        <f t="shared" si="544"/>
        <v>0</v>
      </c>
      <c r="BL691" s="251">
        <f t="shared" si="545"/>
        <v>375085.2</v>
      </c>
      <c r="BM691" s="251">
        <f t="shared" si="546"/>
        <v>0</v>
      </c>
      <c r="BP691" s="474">
        <f t="shared" si="536"/>
        <v>0</v>
      </c>
    </row>
    <row r="692" spans="1:68" s="287" customFormat="1" x14ac:dyDescent="0.25">
      <c r="A692" s="276"/>
      <c r="B692" s="288" t="s">
        <v>225</v>
      </c>
      <c r="C692" s="364">
        <f t="shared" si="520"/>
        <v>1</v>
      </c>
      <c r="D692" s="279"/>
      <c r="E692" s="279"/>
      <c r="F692" s="279"/>
      <c r="G692" s="279"/>
      <c r="H692" s="279"/>
      <c r="I692" s="279"/>
      <c r="J692" s="279">
        <v>1</v>
      </c>
      <c r="K692" s="279"/>
      <c r="L692" s="277"/>
      <c r="M692" s="280">
        <f t="shared" si="521"/>
        <v>3028</v>
      </c>
      <c r="N692" s="364">
        <f t="shared" si="547"/>
        <v>2</v>
      </c>
      <c r="O692" s="364">
        <f t="shared" si="531"/>
        <v>1.26</v>
      </c>
      <c r="P692" s="364">
        <f t="shared" si="531"/>
        <v>1.58</v>
      </c>
      <c r="Q692" s="282"/>
      <c r="R692" s="280">
        <f t="shared" si="548"/>
        <v>1832</v>
      </c>
      <c r="S692" s="280">
        <f t="shared" si="532"/>
        <v>78.969432314410483</v>
      </c>
      <c r="T692" s="425">
        <f t="shared" si="533"/>
        <v>12056</v>
      </c>
      <c r="U692" s="284">
        <f t="shared" si="522"/>
        <v>144672</v>
      </c>
      <c r="V692" s="277">
        <v>20</v>
      </c>
      <c r="W692" s="285"/>
      <c r="X692" s="285">
        <f t="shared" si="537"/>
        <v>28934.400000000001</v>
      </c>
      <c r="Y692" s="277"/>
      <c r="Z692" s="277"/>
      <c r="AA692" s="277"/>
      <c r="AB692" s="277"/>
      <c r="AC692" s="277"/>
      <c r="AD692" s="277"/>
      <c r="AE692" s="277"/>
      <c r="AF692" s="277"/>
      <c r="AG692" s="277"/>
      <c r="AH692" s="277"/>
      <c r="AI692" s="277"/>
      <c r="AJ692" s="277"/>
      <c r="AK692" s="277"/>
      <c r="AL692" s="277"/>
      <c r="AM692" s="280">
        <f t="shared" si="523"/>
        <v>0</v>
      </c>
      <c r="AN692" s="277"/>
      <c r="AO692" s="277"/>
      <c r="AP692" s="277"/>
      <c r="AQ692" s="284">
        <f t="shared" si="534"/>
        <v>28934.400000000001</v>
      </c>
      <c r="AR692" s="277">
        <f t="shared" si="535"/>
        <v>20</v>
      </c>
      <c r="AS692" s="277">
        <f t="shared" si="524"/>
        <v>28934.400000000001</v>
      </c>
      <c r="AT692" s="280">
        <f t="shared" si="525"/>
        <v>28934.400000000001</v>
      </c>
      <c r="AU692" s="280">
        <f t="shared" si="525"/>
        <v>1</v>
      </c>
      <c r="AV692" s="277">
        <v>100</v>
      </c>
      <c r="AW692" s="280">
        <f t="shared" si="526"/>
        <v>12056</v>
      </c>
      <c r="AX692" s="277"/>
      <c r="AY692" s="277"/>
      <c r="AZ692" s="280">
        <f t="shared" si="538"/>
        <v>0</v>
      </c>
      <c r="BA692" s="284">
        <f t="shared" si="527"/>
        <v>40990.400000000001</v>
      </c>
      <c r="BB692" s="284">
        <f t="shared" si="528"/>
        <v>214596.8</v>
      </c>
      <c r="BC692" s="284">
        <f t="shared" si="529"/>
        <v>214596.8</v>
      </c>
      <c r="BD692" s="286">
        <f t="shared" si="530"/>
        <v>17883.066666666666</v>
      </c>
      <c r="BE692" s="286"/>
      <c r="BF692" s="251">
        <f t="shared" si="539"/>
        <v>0</v>
      </c>
      <c r="BG692" s="251">
        <f t="shared" si="540"/>
        <v>0</v>
      </c>
      <c r="BH692" s="251">
        <f t="shared" si="541"/>
        <v>0</v>
      </c>
      <c r="BI692" s="251">
        <f t="shared" si="542"/>
        <v>0</v>
      </c>
      <c r="BJ692" s="251">
        <f t="shared" si="543"/>
        <v>0</v>
      </c>
      <c r="BK692" s="251">
        <f t="shared" si="544"/>
        <v>0</v>
      </c>
      <c r="BL692" s="251">
        <f t="shared" si="545"/>
        <v>214596.8</v>
      </c>
      <c r="BM692" s="251">
        <f t="shared" si="546"/>
        <v>0</v>
      </c>
      <c r="BP692" s="474">
        <f t="shared" si="536"/>
        <v>0</v>
      </c>
    </row>
    <row r="693" spans="1:68" s="287" customFormat="1" x14ac:dyDescent="0.25">
      <c r="A693" s="276"/>
      <c r="B693" s="288" t="s">
        <v>226</v>
      </c>
      <c r="C693" s="364">
        <f t="shared" si="520"/>
        <v>1</v>
      </c>
      <c r="D693" s="279"/>
      <c r="E693" s="279"/>
      <c r="F693" s="279"/>
      <c r="G693" s="279"/>
      <c r="H693" s="279"/>
      <c r="I693" s="279"/>
      <c r="J693" s="279">
        <v>1</v>
      </c>
      <c r="K693" s="279"/>
      <c r="L693" s="277"/>
      <c r="M693" s="280">
        <f t="shared" si="521"/>
        <v>3028</v>
      </c>
      <c r="N693" s="364">
        <f t="shared" si="547"/>
        <v>2</v>
      </c>
      <c r="O693" s="364">
        <f t="shared" si="531"/>
        <v>1.7</v>
      </c>
      <c r="P693" s="364">
        <f t="shared" si="531"/>
        <v>1.58</v>
      </c>
      <c r="Q693" s="282"/>
      <c r="R693" s="280">
        <f t="shared" si="548"/>
        <v>1832</v>
      </c>
      <c r="S693" s="280">
        <f t="shared" si="532"/>
        <v>106.54585152838429</v>
      </c>
      <c r="T693" s="425">
        <f t="shared" si="533"/>
        <v>16266</v>
      </c>
      <c r="U693" s="284">
        <f t="shared" si="522"/>
        <v>195192</v>
      </c>
      <c r="V693" s="277">
        <v>20</v>
      </c>
      <c r="W693" s="285"/>
      <c r="X693" s="285">
        <f t="shared" si="537"/>
        <v>39038.400000000001</v>
      </c>
      <c r="Y693" s="277"/>
      <c r="Z693" s="277"/>
      <c r="AA693" s="277"/>
      <c r="AB693" s="277"/>
      <c r="AC693" s="277"/>
      <c r="AD693" s="277"/>
      <c r="AE693" s="277"/>
      <c r="AF693" s="277"/>
      <c r="AG693" s="277"/>
      <c r="AH693" s="277"/>
      <c r="AI693" s="277"/>
      <c r="AJ693" s="277"/>
      <c r="AK693" s="277">
        <v>10</v>
      </c>
      <c r="AL693" s="277"/>
      <c r="AM693" s="280">
        <f t="shared" si="523"/>
        <v>19519.199999999997</v>
      </c>
      <c r="AN693" s="277"/>
      <c r="AO693" s="277"/>
      <c r="AP693" s="277"/>
      <c r="AQ693" s="284">
        <f t="shared" si="534"/>
        <v>58557.599999999999</v>
      </c>
      <c r="AR693" s="277">
        <f t="shared" si="535"/>
        <v>20</v>
      </c>
      <c r="AS693" s="277">
        <f t="shared" si="524"/>
        <v>39038.399999999994</v>
      </c>
      <c r="AT693" s="280">
        <f t="shared" si="525"/>
        <v>39038.399999999994</v>
      </c>
      <c r="AU693" s="280">
        <f t="shared" si="525"/>
        <v>1</v>
      </c>
      <c r="AV693" s="277">
        <v>100</v>
      </c>
      <c r="AW693" s="280">
        <f t="shared" si="526"/>
        <v>16266</v>
      </c>
      <c r="AX693" s="277"/>
      <c r="AY693" s="277"/>
      <c r="AZ693" s="280">
        <f t="shared" si="538"/>
        <v>0</v>
      </c>
      <c r="BA693" s="284">
        <f t="shared" si="527"/>
        <v>55304.399999999994</v>
      </c>
      <c r="BB693" s="284">
        <f t="shared" si="528"/>
        <v>309054</v>
      </c>
      <c r="BC693" s="284">
        <f t="shared" si="529"/>
        <v>309054</v>
      </c>
      <c r="BD693" s="286">
        <f t="shared" si="530"/>
        <v>25754.5</v>
      </c>
      <c r="BE693" s="286"/>
      <c r="BF693" s="251">
        <f t="shared" si="539"/>
        <v>0</v>
      </c>
      <c r="BG693" s="251">
        <f t="shared" si="540"/>
        <v>0</v>
      </c>
      <c r="BH693" s="251">
        <f t="shared" si="541"/>
        <v>0</v>
      </c>
      <c r="BI693" s="251">
        <f t="shared" si="542"/>
        <v>0</v>
      </c>
      <c r="BJ693" s="251">
        <f t="shared" si="543"/>
        <v>0</v>
      </c>
      <c r="BK693" s="251">
        <f t="shared" si="544"/>
        <v>0</v>
      </c>
      <c r="BL693" s="251">
        <f t="shared" si="545"/>
        <v>309054</v>
      </c>
      <c r="BM693" s="251">
        <f t="shared" si="546"/>
        <v>0</v>
      </c>
      <c r="BP693" s="474">
        <f t="shared" si="536"/>
        <v>0</v>
      </c>
    </row>
    <row r="694" spans="1:68" s="301" customFormat="1" x14ac:dyDescent="0.25">
      <c r="A694" s="289"/>
      <c r="B694" s="290" t="s">
        <v>227</v>
      </c>
      <c r="C694" s="364">
        <f t="shared" si="520"/>
        <v>1</v>
      </c>
      <c r="D694" s="292"/>
      <c r="E694" s="292"/>
      <c r="F694" s="292"/>
      <c r="G694" s="292"/>
      <c r="H694" s="292"/>
      <c r="I694" s="292"/>
      <c r="J694" s="292">
        <v>1</v>
      </c>
      <c r="K694" s="292"/>
      <c r="L694" s="293"/>
      <c r="M694" s="280">
        <f t="shared" si="521"/>
        <v>3028</v>
      </c>
      <c r="N694" s="475">
        <f t="shared" si="547"/>
        <v>2</v>
      </c>
      <c r="O694" s="364">
        <f t="shared" si="531"/>
        <v>1.6000000000000003</v>
      </c>
      <c r="P694" s="364">
        <f t="shared" si="531"/>
        <v>1.58</v>
      </c>
      <c r="Q694" s="295"/>
      <c r="R694" s="294">
        <f t="shared" si="548"/>
        <v>1832</v>
      </c>
      <c r="S694" s="294">
        <f t="shared" si="532"/>
        <v>100.28384279475983</v>
      </c>
      <c r="T694" s="291">
        <f t="shared" si="533"/>
        <v>15310</v>
      </c>
      <c r="U694" s="284">
        <f t="shared" si="522"/>
        <v>183720</v>
      </c>
      <c r="V694" s="293">
        <v>20</v>
      </c>
      <c r="W694" s="298"/>
      <c r="X694" s="298">
        <f t="shared" si="537"/>
        <v>36744</v>
      </c>
      <c r="Y694" s="293"/>
      <c r="Z694" s="293"/>
      <c r="AA694" s="293"/>
      <c r="AB694" s="293"/>
      <c r="AC694" s="293"/>
      <c r="AD694" s="293"/>
      <c r="AE694" s="293"/>
      <c r="AF694" s="293"/>
      <c r="AG694" s="293"/>
      <c r="AH694" s="293"/>
      <c r="AI694" s="293"/>
      <c r="AJ694" s="293"/>
      <c r="AK694" s="277">
        <v>7</v>
      </c>
      <c r="AL694" s="293"/>
      <c r="AM694" s="280">
        <f t="shared" si="523"/>
        <v>12860.400000000001</v>
      </c>
      <c r="AN694" s="293"/>
      <c r="AO694" s="293"/>
      <c r="AP694" s="293"/>
      <c r="AQ694" s="297">
        <f t="shared" si="534"/>
        <v>49604.4</v>
      </c>
      <c r="AR694" s="293">
        <f t="shared" si="535"/>
        <v>20</v>
      </c>
      <c r="AS694" s="293">
        <f t="shared" si="524"/>
        <v>36744</v>
      </c>
      <c r="AT694" s="280">
        <f t="shared" si="525"/>
        <v>36744</v>
      </c>
      <c r="AU694" s="280">
        <f t="shared" si="525"/>
        <v>1</v>
      </c>
      <c r="AV694" s="293">
        <v>100</v>
      </c>
      <c r="AW694" s="280">
        <f t="shared" si="526"/>
        <v>15310</v>
      </c>
      <c r="AX694" s="293"/>
      <c r="AY694" s="293"/>
      <c r="AZ694" s="294">
        <f t="shared" si="538"/>
        <v>0</v>
      </c>
      <c r="BA694" s="284">
        <f t="shared" si="527"/>
        <v>52054</v>
      </c>
      <c r="BB694" s="297">
        <f t="shared" si="528"/>
        <v>285378.40000000002</v>
      </c>
      <c r="BC694" s="297">
        <f t="shared" si="529"/>
        <v>285378.40000000002</v>
      </c>
      <c r="BD694" s="299">
        <f t="shared" si="530"/>
        <v>23781.533333333336</v>
      </c>
      <c r="BE694" s="299"/>
      <c r="BF694" s="300">
        <f t="shared" si="539"/>
        <v>0</v>
      </c>
      <c r="BG694" s="300">
        <f t="shared" si="540"/>
        <v>0</v>
      </c>
      <c r="BH694" s="300">
        <f t="shared" si="541"/>
        <v>0</v>
      </c>
      <c r="BI694" s="300">
        <f t="shared" si="542"/>
        <v>0</v>
      </c>
      <c r="BJ694" s="300">
        <f t="shared" si="543"/>
        <v>0</v>
      </c>
      <c r="BK694" s="300">
        <f t="shared" si="544"/>
        <v>0</v>
      </c>
      <c r="BL694" s="300">
        <f t="shared" si="545"/>
        <v>285378.40000000002</v>
      </c>
      <c r="BM694" s="300">
        <f t="shared" si="546"/>
        <v>0</v>
      </c>
      <c r="BP694" s="474">
        <f t="shared" si="536"/>
        <v>0</v>
      </c>
    </row>
    <row r="695" spans="1:68" s="287" customFormat="1" x14ac:dyDescent="0.25">
      <c r="A695" s="276"/>
      <c r="B695" s="288" t="s">
        <v>228</v>
      </c>
      <c r="C695" s="364">
        <f>(C41*3+C149*1+C257*2+C365*4+C473+C578)/12</f>
        <v>1</v>
      </c>
      <c r="D695" s="279"/>
      <c r="E695" s="279"/>
      <c r="F695" s="279"/>
      <c r="G695" s="279"/>
      <c r="H695" s="279"/>
      <c r="I695" s="279"/>
      <c r="J695" s="279">
        <v>1</v>
      </c>
      <c r="K695" s="279"/>
      <c r="L695" s="277"/>
      <c r="M695" s="280">
        <f>(M41*3+M149*1+M257*2+M365*4+M473+M578)/12</f>
        <v>3028</v>
      </c>
      <c r="N695" s="364">
        <f>(N41*6+N257*1+N365*4+N578)/12</f>
        <v>2</v>
      </c>
      <c r="O695" s="364">
        <f t="shared" si="531"/>
        <v>1.0999999999999999</v>
      </c>
      <c r="P695" s="364">
        <f t="shared" si="531"/>
        <v>1</v>
      </c>
      <c r="Q695" s="282"/>
      <c r="R695" s="280">
        <f>(R41+R257+R365+R578)</f>
        <v>1832</v>
      </c>
      <c r="S695" s="280">
        <f t="shared" si="532"/>
        <v>43.637554585152841</v>
      </c>
      <c r="T695" s="425">
        <f>ROUND(M695*N695*O695*P695,0)</f>
        <v>6662</v>
      </c>
      <c r="U695" s="284">
        <f t="shared" si="522"/>
        <v>79944</v>
      </c>
      <c r="V695" s="277">
        <v>0</v>
      </c>
      <c r="W695" s="285"/>
      <c r="X695" s="285">
        <f t="shared" si="537"/>
        <v>0</v>
      </c>
      <c r="Y695" s="277"/>
      <c r="Z695" s="277"/>
      <c r="AA695" s="277"/>
      <c r="AB695" s="277"/>
      <c r="AC695" s="277"/>
      <c r="AD695" s="277"/>
      <c r="AE695" s="277"/>
      <c r="AF695" s="277"/>
      <c r="AG695" s="277"/>
      <c r="AH695" s="277"/>
      <c r="AI695" s="277"/>
      <c r="AJ695" s="277"/>
      <c r="AK695" s="277">
        <v>7</v>
      </c>
      <c r="AL695" s="277">
        <f>(AL41*3+AL257*3+AL365*4+AL473+AL578)/12</f>
        <v>0</v>
      </c>
      <c r="AM695" s="280">
        <f t="shared" si="523"/>
        <v>5596.08</v>
      </c>
      <c r="AN695" s="277"/>
      <c r="AO695" s="277"/>
      <c r="AP695" s="277"/>
      <c r="AQ695" s="284">
        <f t="shared" si="534"/>
        <v>5596.08</v>
      </c>
      <c r="AR695" s="277">
        <f t="shared" si="535"/>
        <v>20</v>
      </c>
      <c r="AS695" s="285">
        <f t="shared" si="524"/>
        <v>15988.8</v>
      </c>
      <c r="AT695" s="280">
        <f>AT43+AT151+AT259+AT367+AT475+AT580</f>
        <v>15988.8</v>
      </c>
      <c r="AU695" s="280">
        <f>AU41+AU149+AU257+AU365+AU473+AU578</f>
        <v>1</v>
      </c>
      <c r="AV695" s="277">
        <v>100</v>
      </c>
      <c r="AW695" s="280">
        <f t="shared" si="526"/>
        <v>6662</v>
      </c>
      <c r="AX695" s="277"/>
      <c r="AY695" s="277"/>
      <c r="AZ695" s="304">
        <f>AZ41+AZ149+AZ257+AZ365+AZ473+AZ578</f>
        <v>0</v>
      </c>
      <c r="BA695" s="284">
        <f t="shared" si="527"/>
        <v>22650.799999999999</v>
      </c>
      <c r="BB695" s="284">
        <f t="shared" si="528"/>
        <v>108190.88</v>
      </c>
      <c r="BC695" s="284">
        <f t="shared" si="529"/>
        <v>108190.88</v>
      </c>
      <c r="BD695" s="286">
        <f t="shared" si="530"/>
        <v>9015.9066666666677</v>
      </c>
      <c r="BE695" s="286"/>
      <c r="BF695" s="251">
        <f t="shared" si="539"/>
        <v>0</v>
      </c>
      <c r="BG695" s="251">
        <f t="shared" si="540"/>
        <v>0</v>
      </c>
      <c r="BH695" s="251">
        <f t="shared" si="541"/>
        <v>0</v>
      </c>
      <c r="BI695" s="251">
        <f t="shared" si="542"/>
        <v>0</v>
      </c>
      <c r="BJ695" s="251">
        <f t="shared" si="543"/>
        <v>0</v>
      </c>
      <c r="BK695" s="251">
        <f t="shared" si="544"/>
        <v>0</v>
      </c>
      <c r="BL695" s="251">
        <f t="shared" si="545"/>
        <v>108190.88</v>
      </c>
      <c r="BM695" s="251">
        <f t="shared" si="546"/>
        <v>0</v>
      </c>
      <c r="BP695" s="474">
        <f t="shared" si="536"/>
        <v>0</v>
      </c>
    </row>
    <row r="696" spans="1:68" s="287" customFormat="1" x14ac:dyDescent="0.25">
      <c r="A696" s="276"/>
      <c r="B696" s="288"/>
      <c r="C696" s="305"/>
      <c r="D696" s="279"/>
      <c r="E696" s="279"/>
      <c r="F696" s="279"/>
      <c r="G696" s="279"/>
      <c r="H696" s="279"/>
      <c r="I696" s="279"/>
      <c r="J696" s="279"/>
      <c r="K696" s="279"/>
      <c r="L696" s="277"/>
      <c r="M696" s="280"/>
      <c r="N696" s="281"/>
      <c r="O696" s="277"/>
      <c r="P696" s="282"/>
      <c r="Q696" s="277"/>
      <c r="R696" s="283"/>
      <c r="S696" s="280"/>
      <c r="T696" s="425"/>
      <c r="U696" s="284"/>
      <c r="V696" s="277"/>
      <c r="W696" s="285"/>
      <c r="X696" s="285"/>
      <c r="Y696" s="277"/>
      <c r="Z696" s="277"/>
      <c r="AA696" s="277"/>
      <c r="AB696" s="277"/>
      <c r="AC696" s="277"/>
      <c r="AD696" s="277"/>
      <c r="AE696" s="277"/>
      <c r="AF696" s="277"/>
      <c r="AG696" s="277"/>
      <c r="AH696" s="277"/>
      <c r="AI696" s="277"/>
      <c r="AJ696" s="277"/>
      <c r="AK696" s="277"/>
      <c r="AL696" s="277"/>
      <c r="AM696" s="280">
        <f t="shared" si="523"/>
        <v>0</v>
      </c>
      <c r="AN696" s="277"/>
      <c r="AO696" s="277"/>
      <c r="AP696" s="277"/>
      <c r="AQ696" s="284">
        <f t="shared" si="534"/>
        <v>0</v>
      </c>
      <c r="AR696" s="277"/>
      <c r="AS696" s="277"/>
      <c r="AT696" s="280">
        <f>AT44+AT152+AT260+AT368+AT476+AT581</f>
        <v>0</v>
      </c>
      <c r="AU696" s="277"/>
      <c r="AV696" s="277"/>
      <c r="AW696" s="280">
        <f t="shared" si="526"/>
        <v>0</v>
      </c>
      <c r="AX696" s="277"/>
      <c r="AY696" s="277"/>
      <c r="AZ696" s="283"/>
      <c r="BA696" s="284"/>
      <c r="BB696" s="284"/>
      <c r="BC696" s="284"/>
      <c r="BD696" s="286"/>
      <c r="BE696" s="286"/>
      <c r="BF696" s="251"/>
      <c r="BG696" s="251"/>
      <c r="BH696" s="251"/>
      <c r="BI696" s="251"/>
      <c r="BJ696" s="251"/>
      <c r="BK696" s="251"/>
      <c r="BL696" s="251"/>
      <c r="BM696" s="251"/>
      <c r="BP696" s="474">
        <f t="shared" si="536"/>
        <v>0</v>
      </c>
    </row>
    <row r="697" spans="1:68" s="316" customFormat="1" ht="14.25" x14ac:dyDescent="0.25">
      <c r="A697" s="306"/>
      <c r="B697" s="307" t="s">
        <v>229</v>
      </c>
      <c r="C697" s="308">
        <f>SUM(C680:C696)</f>
        <v>19</v>
      </c>
      <c r="D697" s="309"/>
      <c r="E697" s="309"/>
      <c r="F697" s="309"/>
      <c r="G697" s="309"/>
      <c r="H697" s="309"/>
      <c r="I697" s="309"/>
      <c r="J697" s="309"/>
      <c r="K697" s="309"/>
      <c r="L697" s="309"/>
      <c r="M697" s="310"/>
      <c r="N697" s="309"/>
      <c r="O697" s="309"/>
      <c r="P697" s="309"/>
      <c r="Q697" s="309"/>
      <c r="R697" s="310"/>
      <c r="S697" s="310"/>
      <c r="T697" s="311">
        <f>U697/12</f>
        <v>429303</v>
      </c>
      <c r="U697" s="312">
        <f>SUM(U680:U696)</f>
        <v>5151636</v>
      </c>
      <c r="V697" s="309"/>
      <c r="W697" s="309"/>
      <c r="X697" s="312">
        <f>SUM(X680:X696)</f>
        <v>1066123.2000000002</v>
      </c>
      <c r="Y697" s="312"/>
      <c r="Z697" s="312">
        <f>SUM(Z680:Z696)</f>
        <v>0</v>
      </c>
      <c r="AA697" s="312">
        <f>SUM(AA680:AA696)</f>
        <v>0</v>
      </c>
      <c r="AB697" s="313"/>
      <c r="AC697" s="313"/>
      <c r="AD697" s="313">
        <f>SUM(AD680:AD696)</f>
        <v>0</v>
      </c>
      <c r="AE697" s="312"/>
      <c r="AF697" s="312">
        <f>SUM(AF680:AF696)</f>
        <v>0</v>
      </c>
      <c r="AG697" s="312">
        <f>SUM(AG680:AG696)</f>
        <v>0</v>
      </c>
      <c r="AH697" s="312"/>
      <c r="AI697" s="312">
        <f>SUM(AI680:AI696)</f>
        <v>0</v>
      </c>
      <c r="AJ697" s="312">
        <f>SUM(AJ680:AJ696)</f>
        <v>0</v>
      </c>
      <c r="AK697" s="312"/>
      <c r="AL697" s="312">
        <f>SUM(AL680:AL696)</f>
        <v>0</v>
      </c>
      <c r="AM697" s="312">
        <f>SUM(AM680:AM696)</f>
        <v>335778.36000000004</v>
      </c>
      <c r="AN697" s="312"/>
      <c r="AO697" s="312">
        <f>SUM(AO680:AO696)</f>
        <v>0</v>
      </c>
      <c r="AP697" s="312">
        <f>SUM(AP680:AP696)</f>
        <v>0</v>
      </c>
      <c r="AQ697" s="312">
        <f>SUM(AQ680:AQ696)</f>
        <v>1401901.56</v>
      </c>
      <c r="AR697" s="312"/>
      <c r="AS697" s="312">
        <f>SUM(AS680:AS696)</f>
        <v>918375.60000000033</v>
      </c>
      <c r="AT697" s="312">
        <f>SUM(AT680:AT696)</f>
        <v>1056162.0000000002</v>
      </c>
      <c r="AU697" s="312">
        <f>SUM(AU680:AU696)</f>
        <v>19</v>
      </c>
      <c r="AV697" s="312"/>
      <c r="AW697" s="312">
        <f>SUM(AW680:AW696)</f>
        <v>429303</v>
      </c>
      <c r="AX697" s="312"/>
      <c r="AY697" s="312">
        <f>SUM(AY680:AY696)</f>
        <v>0</v>
      </c>
      <c r="AZ697" s="312">
        <f>SUM(AZ680:AZ696)</f>
        <v>0</v>
      </c>
      <c r="BA697" s="312">
        <f>SUM(BA680:BA696)</f>
        <v>1485464.9999999998</v>
      </c>
      <c r="BB697" s="312">
        <f>BC697/C697</f>
        <v>423105.39789473679</v>
      </c>
      <c r="BC697" s="312">
        <f>SUM(BC680:BC696)</f>
        <v>8039002.5599999987</v>
      </c>
      <c r="BD697" s="286">
        <f>BC697/C697/12</f>
        <v>35258.78315789473</v>
      </c>
      <c r="BE697" s="286"/>
      <c r="BF697" s="315">
        <f t="shared" ref="BF697:BM697" si="549">SUM(BF680:BF696)</f>
        <v>0</v>
      </c>
      <c r="BG697" s="315">
        <f t="shared" si="549"/>
        <v>0</v>
      </c>
      <c r="BH697" s="315">
        <f t="shared" si="549"/>
        <v>0</v>
      </c>
      <c r="BI697" s="315">
        <f t="shared" si="549"/>
        <v>0</v>
      </c>
      <c r="BJ697" s="315">
        <f t="shared" si="549"/>
        <v>0</v>
      </c>
      <c r="BK697" s="315">
        <f t="shared" si="549"/>
        <v>0</v>
      </c>
      <c r="BL697" s="315">
        <f t="shared" si="549"/>
        <v>8039002.5599999987</v>
      </c>
      <c r="BM697" s="315">
        <f t="shared" si="549"/>
        <v>0</v>
      </c>
    </row>
    <row r="698" spans="1:68" s="287" customFormat="1" ht="17.25" customHeight="1" x14ac:dyDescent="0.25">
      <c r="A698" s="276"/>
      <c r="B698" s="317"/>
      <c r="C698" s="318"/>
      <c r="D698" s="319"/>
      <c r="E698" s="319"/>
      <c r="F698" s="319"/>
      <c r="G698" s="319"/>
      <c r="H698" s="319"/>
      <c r="I698" s="319"/>
      <c r="J698" s="319"/>
      <c r="K698" s="319"/>
      <c r="L698" s="319"/>
      <c r="M698" s="320"/>
      <c r="N698" s="319"/>
      <c r="O698" s="319"/>
      <c r="P698" s="319"/>
      <c r="Q698" s="319"/>
      <c r="R698" s="320"/>
      <c r="S698" s="320"/>
      <c r="T698" s="319"/>
      <c r="U698" s="476">
        <f>U582+U477+U369+U261+U153+U45</f>
        <v>5151636</v>
      </c>
      <c r="V698" s="476"/>
      <c r="W698" s="476">
        <f t="shared" ref="W698:AJ698" si="550">W582+W477+W369+W261+W153+W45</f>
        <v>0</v>
      </c>
      <c r="X698" s="476">
        <f t="shared" si="550"/>
        <v>1066123.2</v>
      </c>
      <c r="Y698" s="476">
        <f t="shared" si="550"/>
        <v>0</v>
      </c>
      <c r="Z698" s="476">
        <f t="shared" si="550"/>
        <v>0</v>
      </c>
      <c r="AA698" s="476">
        <f t="shared" si="550"/>
        <v>0</v>
      </c>
      <c r="AB698" s="476">
        <f t="shared" si="550"/>
        <v>0</v>
      </c>
      <c r="AC698" s="476">
        <f t="shared" si="550"/>
        <v>0</v>
      </c>
      <c r="AD698" s="476">
        <f t="shared" si="550"/>
        <v>0</v>
      </c>
      <c r="AE698" s="476">
        <f t="shared" si="550"/>
        <v>0</v>
      </c>
      <c r="AF698" s="476">
        <f t="shared" si="550"/>
        <v>0</v>
      </c>
      <c r="AG698" s="476">
        <f t="shared" si="550"/>
        <v>0</v>
      </c>
      <c r="AH698" s="476">
        <f t="shared" si="550"/>
        <v>0</v>
      </c>
      <c r="AI698" s="476">
        <f t="shared" si="550"/>
        <v>0</v>
      </c>
      <c r="AJ698" s="476">
        <f t="shared" si="550"/>
        <v>0</v>
      </c>
      <c r="AK698" s="321"/>
      <c r="AL698" s="476">
        <f t="shared" ref="AL698:BC698" si="551">AL582+AL477+AL369+AL261+AL153+AL45</f>
        <v>0</v>
      </c>
      <c r="AM698" s="476">
        <f t="shared" si="551"/>
        <v>335778.36</v>
      </c>
      <c r="AN698" s="476">
        <f t="shared" si="551"/>
        <v>0</v>
      </c>
      <c r="AO698" s="476">
        <f t="shared" si="551"/>
        <v>0</v>
      </c>
      <c r="AP698" s="476">
        <f t="shared" si="551"/>
        <v>0</v>
      </c>
      <c r="AQ698" s="476">
        <f t="shared" si="551"/>
        <v>1401901.56</v>
      </c>
      <c r="AR698" s="476">
        <f t="shared" si="551"/>
        <v>0</v>
      </c>
      <c r="AS698" s="476">
        <f t="shared" si="551"/>
        <v>902300.4</v>
      </c>
      <c r="AT698" s="476">
        <f t="shared" si="551"/>
        <v>1056162</v>
      </c>
      <c r="AU698" s="476">
        <f t="shared" si="551"/>
        <v>19</v>
      </c>
      <c r="AV698" s="476">
        <f t="shared" si="551"/>
        <v>0</v>
      </c>
      <c r="AW698" s="476">
        <f t="shared" si="551"/>
        <v>429303</v>
      </c>
      <c r="AX698" s="476">
        <f t="shared" si="551"/>
        <v>0</v>
      </c>
      <c r="AY698" s="476">
        <f t="shared" si="551"/>
        <v>4101.7039999999997</v>
      </c>
      <c r="AZ698" s="476">
        <f t="shared" si="551"/>
        <v>0</v>
      </c>
      <c r="BA698" s="476">
        <f t="shared" si="551"/>
        <v>1485465</v>
      </c>
      <c r="BB698" s="476">
        <f t="shared" si="551"/>
        <v>423105.39789473679</v>
      </c>
      <c r="BC698" s="476">
        <f t="shared" si="551"/>
        <v>8039002.5599999987</v>
      </c>
      <c r="BD698" s="286"/>
      <c r="BE698" s="286"/>
      <c r="BF698" s="323"/>
      <c r="BG698" s="323"/>
      <c r="BH698" s="323"/>
      <c r="BI698" s="323"/>
      <c r="BJ698" s="323"/>
      <c r="BK698" s="323"/>
      <c r="BL698" s="323"/>
      <c r="BM698" s="323"/>
    </row>
    <row r="699" spans="1:68" s="275" customFormat="1" ht="14.25" x14ac:dyDescent="0.25">
      <c r="A699" s="270" t="s">
        <v>230</v>
      </c>
      <c r="B699" s="324" t="s">
        <v>231</v>
      </c>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477"/>
      <c r="AC699" s="477"/>
      <c r="AD699" s="477"/>
      <c r="AE699" s="272"/>
      <c r="AF699" s="272"/>
      <c r="AG699" s="272"/>
      <c r="AH699" s="272"/>
      <c r="AI699" s="272"/>
      <c r="AJ699" s="272"/>
      <c r="AK699" s="272"/>
      <c r="AL699" s="272"/>
      <c r="AM699" s="272"/>
      <c r="AN699" s="272"/>
      <c r="AO699" s="272"/>
      <c r="AP699" s="272"/>
      <c r="AQ699" s="272"/>
      <c r="AR699" s="272"/>
      <c r="AS699" s="272"/>
      <c r="AT699" s="272"/>
      <c r="AU699" s="272"/>
      <c r="AV699" s="272"/>
      <c r="AW699" s="272"/>
      <c r="AX699" s="272"/>
      <c r="AY699" s="272"/>
      <c r="AZ699" s="272"/>
      <c r="BA699" s="272"/>
      <c r="BB699" s="272"/>
      <c r="BC699" s="273"/>
      <c r="BD699" s="286"/>
      <c r="BE699" s="286"/>
    </row>
    <row r="700" spans="1:68" s="275" customFormat="1" ht="12.75" customHeight="1" x14ac:dyDescent="0.25">
      <c r="A700" s="270"/>
      <c r="B700" s="324" t="s">
        <v>232</v>
      </c>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477"/>
      <c r="AC700" s="477"/>
      <c r="AD700" s="477"/>
      <c r="AE700" s="272"/>
      <c r="AF700" s="272"/>
      <c r="AG700" s="272"/>
      <c r="AH700" s="272"/>
      <c r="AI700" s="272"/>
      <c r="AJ700" s="272"/>
      <c r="AK700" s="272"/>
      <c r="AL700" s="272"/>
      <c r="AM700" s="272"/>
      <c r="AN700" s="272"/>
      <c r="AO700" s="272"/>
      <c r="AP700" s="272"/>
      <c r="AQ700" s="272"/>
      <c r="AR700" s="272"/>
      <c r="AS700" s="272"/>
      <c r="AT700" s="272"/>
      <c r="AU700" s="272"/>
      <c r="AV700" s="272"/>
      <c r="AW700" s="272"/>
      <c r="AX700" s="272"/>
      <c r="AY700" s="272"/>
      <c r="AZ700" s="272"/>
      <c r="BA700" s="272"/>
      <c r="BB700" s="272"/>
      <c r="BC700" s="273"/>
      <c r="BD700" s="286">
        <f>BC708-BC705</f>
        <v>1742805.3599999999</v>
      </c>
      <c r="BE700" s="286"/>
    </row>
    <row r="701" spans="1:68" s="275" customFormat="1" ht="21" customHeight="1" x14ac:dyDescent="0.25">
      <c r="A701" s="270"/>
      <c r="B701" s="464" t="s">
        <v>233</v>
      </c>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52"/>
      <c r="AC701" s="352"/>
      <c r="AD701" s="352"/>
      <c r="AE701" s="326"/>
      <c r="AF701" s="326"/>
      <c r="AG701" s="326"/>
      <c r="AH701" s="326"/>
      <c r="AI701" s="326"/>
      <c r="AJ701" s="326"/>
      <c r="AK701" s="326"/>
      <c r="AL701" s="326"/>
      <c r="AM701" s="326"/>
      <c r="AN701" s="326"/>
      <c r="AO701" s="326"/>
      <c r="AP701" s="326"/>
      <c r="AQ701" s="326"/>
      <c r="AR701" s="326"/>
      <c r="AS701" s="326"/>
      <c r="AT701" s="326"/>
      <c r="AU701" s="326"/>
      <c r="AV701" s="326"/>
      <c r="AW701" s="326"/>
      <c r="AX701" s="326"/>
      <c r="AY701" s="326"/>
      <c r="AZ701" s="326"/>
      <c r="BA701" s="326"/>
      <c r="BB701" s="326"/>
      <c r="BC701" s="327"/>
      <c r="BD701" s="286"/>
      <c r="BE701" s="286"/>
    </row>
    <row r="702" spans="1:68" s="287" customFormat="1" x14ac:dyDescent="0.25">
      <c r="A702" s="276"/>
      <c r="B702" s="288" t="s">
        <v>234</v>
      </c>
      <c r="C702" s="364">
        <f t="shared" ref="C702:C707" si="552">(C50*3+C158*1+C266*2+C374*4+C482+C587)/12</f>
        <v>1</v>
      </c>
      <c r="D702" s="279"/>
      <c r="E702" s="279"/>
      <c r="F702" s="328"/>
      <c r="G702" s="328"/>
      <c r="H702" s="279">
        <v>1</v>
      </c>
      <c r="I702" s="328"/>
      <c r="J702" s="279"/>
      <c r="K702" s="279"/>
      <c r="L702" s="277"/>
      <c r="M702" s="280">
        <f t="shared" ref="M702:M707" si="553">(M50*3+M158*1+M266*2+M374*4+M482+M587)/12</f>
        <v>3028</v>
      </c>
      <c r="N702" s="364">
        <f t="shared" ref="N702:P707" si="554">(N50*6+N266*1+N374*4+N587)/12</f>
        <v>2</v>
      </c>
      <c r="O702" s="364">
        <f t="shared" si="554"/>
        <v>2.2999999999999998</v>
      </c>
      <c r="P702" s="364">
        <f t="shared" si="554"/>
        <v>1.58</v>
      </c>
      <c r="Q702" s="277"/>
      <c r="R702" s="280">
        <f t="shared" ref="R702:R707" si="555">(R50+R266+R374+R587)</f>
        <v>1832</v>
      </c>
      <c r="S702" s="280">
        <f t="shared" ref="S702:S707" si="556">T702/(R702/12)</f>
        <v>144.15720524017468</v>
      </c>
      <c r="T702" s="425">
        <f t="shared" ref="T702:T707" si="557">ROUND(M702*N702*O702*P702,0)</f>
        <v>22008</v>
      </c>
      <c r="U702" s="284">
        <f t="shared" ref="U702:U707" si="558">U50+U158+U266+U374+U482+U587</f>
        <v>264096</v>
      </c>
      <c r="V702" s="277">
        <v>30</v>
      </c>
      <c r="W702" s="285"/>
      <c r="X702" s="285">
        <f t="shared" ref="X702:X707" si="559">U702*V702%</f>
        <v>79228.800000000003</v>
      </c>
      <c r="Y702" s="277"/>
      <c r="Z702" s="277"/>
      <c r="AA702" s="277"/>
      <c r="AB702" s="277"/>
      <c r="AC702" s="277"/>
      <c r="AD702" s="277"/>
      <c r="AE702" s="277"/>
      <c r="AF702" s="277"/>
      <c r="AG702" s="277"/>
      <c r="AH702" s="277"/>
      <c r="AI702" s="277"/>
      <c r="AJ702" s="277"/>
      <c r="AK702" s="277">
        <v>7</v>
      </c>
      <c r="AL702" s="277">
        <f t="shared" ref="AL702:AL707" si="560">(AL50*3+AL266*3+AL374*4+AL482+AL587)/12</f>
        <v>0</v>
      </c>
      <c r="AM702" s="280">
        <f t="shared" ref="AM702:AM707" si="561">AM50+AM158+AM266+AM374+AM482+AM587</f>
        <v>18486.720000000005</v>
      </c>
      <c r="AN702" s="277"/>
      <c r="AO702" s="277"/>
      <c r="AP702" s="285"/>
      <c r="AQ702" s="284">
        <f t="shared" ref="AQ702:AQ707" si="562">X702+AA702+AD702+AG702+AJ702+AM702+AP702</f>
        <v>97715.520000000004</v>
      </c>
      <c r="AR702" s="277">
        <f>AR$29</f>
        <v>20</v>
      </c>
      <c r="AS702" s="277">
        <f t="shared" ref="AS702:AS707" si="563">AT702/C702</f>
        <v>52819.199999999997</v>
      </c>
      <c r="AT702" s="280">
        <f t="shared" ref="AT702:AU707" si="564">AT50+AT158+AT266+AT374+AT482+AT587</f>
        <v>52819.199999999997</v>
      </c>
      <c r="AU702" s="280">
        <f t="shared" si="564"/>
        <v>1</v>
      </c>
      <c r="AV702" s="277">
        <v>100</v>
      </c>
      <c r="AW702" s="280">
        <f t="shared" ref="AW702:AW707" si="565">AW50+AW158+AW266+AW374+AW482+AW587</f>
        <v>22008</v>
      </c>
      <c r="AX702" s="277"/>
      <c r="AY702" s="277"/>
      <c r="AZ702" s="280">
        <f t="shared" ref="AZ702:AZ707" si="566">AZ50+AZ266+AZ374+AZ482+AZ587</f>
        <v>0</v>
      </c>
      <c r="BA702" s="284">
        <f t="shared" ref="BA702:BA707" si="567">AT702+AW702+AZ702</f>
        <v>74827.199999999997</v>
      </c>
      <c r="BB702" s="284">
        <f t="shared" ref="BB702:BB707" si="568">BC702/C702</f>
        <v>436638.71999999997</v>
      </c>
      <c r="BC702" s="284">
        <f t="shared" ref="BC702:BC707" si="569">BA702+AQ702+U702</f>
        <v>436638.71999999997</v>
      </c>
      <c r="BD702" s="286">
        <f t="shared" ref="BD702:BD708" si="570">BC702/C702/12</f>
        <v>36386.559999999998</v>
      </c>
      <c r="BE702" s="286"/>
      <c r="BF702" s="241">
        <f>IF(D702=1,BC702,0)</f>
        <v>0</v>
      </c>
      <c r="BG702" s="241">
        <f>IF(E702=1,BC702,0)</f>
        <v>0</v>
      </c>
      <c r="BH702" s="241">
        <f>IF(F702=1,BC702,0)</f>
        <v>0</v>
      </c>
      <c r="BI702" s="241">
        <f>IF(G702=1,BC702,0)</f>
        <v>0</v>
      </c>
      <c r="BJ702" s="251">
        <f>IF(H702=1,BC702,0)</f>
        <v>436638.71999999997</v>
      </c>
      <c r="BK702" s="251">
        <f>IF(I702=1,BC702,0)</f>
        <v>0</v>
      </c>
      <c r="BL702" s="251">
        <f>IF(J702=1,BC702,0)</f>
        <v>0</v>
      </c>
      <c r="BM702" s="241">
        <f>IF(K702=1,BC702,0)</f>
        <v>0</v>
      </c>
      <c r="BP702" s="474">
        <f t="shared" ref="BP702:BP707" si="571">AU702-C702</f>
        <v>0</v>
      </c>
    </row>
    <row r="703" spans="1:68" s="287" customFormat="1" ht="19.5" customHeight="1" x14ac:dyDescent="0.25">
      <c r="A703" s="276"/>
      <c r="B703" s="288" t="s">
        <v>235</v>
      </c>
      <c r="C703" s="364">
        <f t="shared" si="552"/>
        <v>1</v>
      </c>
      <c r="D703" s="279"/>
      <c r="E703" s="279"/>
      <c r="F703" s="328"/>
      <c r="G703" s="328"/>
      <c r="H703" s="279">
        <v>1</v>
      </c>
      <c r="I703" s="328"/>
      <c r="J703" s="279"/>
      <c r="K703" s="279"/>
      <c r="L703" s="277"/>
      <c r="M703" s="280">
        <f t="shared" si="553"/>
        <v>3028</v>
      </c>
      <c r="N703" s="364">
        <f t="shared" si="554"/>
        <v>2</v>
      </c>
      <c r="O703" s="364">
        <f t="shared" si="554"/>
        <v>2</v>
      </c>
      <c r="P703" s="364">
        <f t="shared" si="554"/>
        <v>1.58</v>
      </c>
      <c r="Q703" s="277"/>
      <c r="R703" s="280">
        <f t="shared" si="555"/>
        <v>1832</v>
      </c>
      <c r="S703" s="280">
        <f t="shared" si="556"/>
        <v>125.35152838427949</v>
      </c>
      <c r="T703" s="425">
        <f t="shared" si="557"/>
        <v>19137</v>
      </c>
      <c r="U703" s="284">
        <f t="shared" si="558"/>
        <v>229644</v>
      </c>
      <c r="V703" s="277">
        <v>20</v>
      </c>
      <c r="W703" s="285"/>
      <c r="X703" s="285">
        <f t="shared" si="559"/>
        <v>45928.800000000003</v>
      </c>
      <c r="Y703" s="277"/>
      <c r="Z703" s="277"/>
      <c r="AA703" s="277"/>
      <c r="AB703" s="277"/>
      <c r="AC703" s="277"/>
      <c r="AD703" s="277"/>
      <c r="AE703" s="277"/>
      <c r="AF703" s="277"/>
      <c r="AG703" s="277"/>
      <c r="AH703" s="277"/>
      <c r="AI703" s="277"/>
      <c r="AJ703" s="277"/>
      <c r="AK703" s="277">
        <v>15</v>
      </c>
      <c r="AL703" s="277">
        <f t="shared" si="560"/>
        <v>0</v>
      </c>
      <c r="AM703" s="280">
        <f t="shared" si="561"/>
        <v>34446.6</v>
      </c>
      <c r="AN703" s="277"/>
      <c r="AO703" s="277"/>
      <c r="AP703" s="285"/>
      <c r="AQ703" s="284">
        <f t="shared" si="562"/>
        <v>80375.399999999994</v>
      </c>
      <c r="AR703" s="277">
        <f>AR$29</f>
        <v>20</v>
      </c>
      <c r="AS703" s="277">
        <f t="shared" si="563"/>
        <v>45928.800000000003</v>
      </c>
      <c r="AT703" s="280">
        <f t="shared" si="564"/>
        <v>45928.800000000003</v>
      </c>
      <c r="AU703" s="280">
        <f t="shared" si="564"/>
        <v>1</v>
      </c>
      <c r="AV703" s="277">
        <v>100</v>
      </c>
      <c r="AW703" s="280">
        <f t="shared" si="565"/>
        <v>19137</v>
      </c>
      <c r="AX703" s="277"/>
      <c r="AY703" s="277"/>
      <c r="AZ703" s="280">
        <f t="shared" si="566"/>
        <v>0</v>
      </c>
      <c r="BA703" s="284">
        <f t="shared" si="567"/>
        <v>65065.8</v>
      </c>
      <c r="BB703" s="284">
        <f t="shared" si="568"/>
        <v>375085.2</v>
      </c>
      <c r="BC703" s="284">
        <f t="shared" si="569"/>
        <v>375085.2</v>
      </c>
      <c r="BD703" s="286">
        <f t="shared" si="570"/>
        <v>31257.100000000002</v>
      </c>
      <c r="BE703" s="286"/>
      <c r="BF703" s="241"/>
      <c r="BG703" s="241"/>
      <c r="BH703" s="241"/>
      <c r="BI703" s="241"/>
      <c r="BJ703" s="251"/>
      <c r="BK703" s="251"/>
      <c r="BL703" s="251"/>
      <c r="BM703" s="241"/>
      <c r="BP703" s="474">
        <f t="shared" si="571"/>
        <v>0</v>
      </c>
    </row>
    <row r="704" spans="1:68" s="287" customFormat="1" ht="28.5" x14ac:dyDescent="0.25">
      <c r="A704" s="276"/>
      <c r="B704" s="288" t="s">
        <v>236</v>
      </c>
      <c r="C704" s="364">
        <f t="shared" si="552"/>
        <v>1</v>
      </c>
      <c r="D704" s="279"/>
      <c r="E704" s="279"/>
      <c r="F704" s="328"/>
      <c r="G704" s="328"/>
      <c r="H704" s="279">
        <v>1</v>
      </c>
      <c r="I704" s="328"/>
      <c r="J704" s="279"/>
      <c r="K704" s="279"/>
      <c r="L704" s="277"/>
      <c r="M704" s="280">
        <f t="shared" si="553"/>
        <v>3028</v>
      </c>
      <c r="N704" s="364">
        <f t="shared" si="554"/>
        <v>2</v>
      </c>
      <c r="O704" s="364">
        <f t="shared" si="554"/>
        <v>1.8999999999999997</v>
      </c>
      <c r="P704" s="364">
        <f t="shared" si="554"/>
        <v>1.58</v>
      </c>
      <c r="Q704" s="277"/>
      <c r="R704" s="280">
        <f t="shared" si="555"/>
        <v>1832</v>
      </c>
      <c r="S704" s="280">
        <f t="shared" si="556"/>
        <v>119.08296943231441</v>
      </c>
      <c r="T704" s="425">
        <f t="shared" si="557"/>
        <v>18180</v>
      </c>
      <c r="U704" s="284">
        <f t="shared" si="558"/>
        <v>218160</v>
      </c>
      <c r="V704" s="277">
        <v>20</v>
      </c>
      <c r="W704" s="285"/>
      <c r="X704" s="285">
        <f t="shared" si="559"/>
        <v>43632</v>
      </c>
      <c r="Y704" s="277"/>
      <c r="Z704" s="277"/>
      <c r="AA704" s="277"/>
      <c r="AB704" s="277"/>
      <c r="AC704" s="277"/>
      <c r="AD704" s="277"/>
      <c r="AE704" s="277"/>
      <c r="AF704" s="277"/>
      <c r="AG704" s="277"/>
      <c r="AH704" s="277"/>
      <c r="AI704" s="277"/>
      <c r="AJ704" s="277"/>
      <c r="AK704" s="277">
        <v>10</v>
      </c>
      <c r="AL704" s="277">
        <f t="shared" si="560"/>
        <v>0</v>
      </c>
      <c r="AM704" s="280">
        <f t="shared" si="561"/>
        <v>21816</v>
      </c>
      <c r="AN704" s="277"/>
      <c r="AO704" s="277"/>
      <c r="AP704" s="285"/>
      <c r="AQ704" s="284">
        <f t="shared" si="562"/>
        <v>65448</v>
      </c>
      <c r="AR704" s="277">
        <f>AR$29</f>
        <v>20</v>
      </c>
      <c r="AS704" s="277">
        <f t="shared" si="563"/>
        <v>43632</v>
      </c>
      <c r="AT704" s="280">
        <f t="shared" si="564"/>
        <v>43632</v>
      </c>
      <c r="AU704" s="280">
        <f t="shared" si="564"/>
        <v>1</v>
      </c>
      <c r="AV704" s="277">
        <v>100</v>
      </c>
      <c r="AW704" s="280">
        <f t="shared" si="565"/>
        <v>18180</v>
      </c>
      <c r="AX704" s="277"/>
      <c r="AY704" s="277"/>
      <c r="AZ704" s="280">
        <f t="shared" si="566"/>
        <v>0</v>
      </c>
      <c r="BA704" s="284">
        <f t="shared" si="567"/>
        <v>61812</v>
      </c>
      <c r="BB704" s="284">
        <f t="shared" si="568"/>
        <v>345420</v>
      </c>
      <c r="BC704" s="284">
        <f t="shared" si="569"/>
        <v>345420</v>
      </c>
      <c r="BD704" s="286">
        <f t="shared" si="570"/>
        <v>28785</v>
      </c>
      <c r="BE704" s="286"/>
      <c r="BF704" s="241"/>
      <c r="BG704" s="241"/>
      <c r="BH704" s="241"/>
      <c r="BI704" s="241"/>
      <c r="BJ704" s="251"/>
      <c r="BK704" s="251"/>
      <c r="BL704" s="251"/>
      <c r="BM704" s="241"/>
      <c r="BP704" s="474">
        <f t="shared" si="571"/>
        <v>0</v>
      </c>
    </row>
    <row r="705" spans="1:68" s="287" customFormat="1" x14ac:dyDescent="0.25">
      <c r="A705" s="276"/>
      <c r="B705" s="277" t="s">
        <v>237</v>
      </c>
      <c r="C705" s="364">
        <f t="shared" si="552"/>
        <v>1</v>
      </c>
      <c r="D705" s="279"/>
      <c r="E705" s="279"/>
      <c r="F705" s="328"/>
      <c r="G705" s="328"/>
      <c r="H705" s="279">
        <v>1</v>
      </c>
      <c r="I705" s="328"/>
      <c r="J705" s="279"/>
      <c r="K705" s="279"/>
      <c r="L705" s="277"/>
      <c r="M705" s="280">
        <f t="shared" si="553"/>
        <v>3028</v>
      </c>
      <c r="N705" s="364">
        <f t="shared" si="554"/>
        <v>2</v>
      </c>
      <c r="O705" s="364">
        <f t="shared" si="554"/>
        <v>1.8999999999999997</v>
      </c>
      <c r="P705" s="364">
        <f t="shared" si="554"/>
        <v>1.58</v>
      </c>
      <c r="Q705" s="277"/>
      <c r="R705" s="280">
        <f t="shared" si="555"/>
        <v>1832</v>
      </c>
      <c r="S705" s="280">
        <f t="shared" si="556"/>
        <v>119.08296943231441</v>
      </c>
      <c r="T705" s="425">
        <f t="shared" si="557"/>
        <v>18180</v>
      </c>
      <c r="U705" s="284">
        <f t="shared" si="558"/>
        <v>218160</v>
      </c>
      <c r="V705" s="277">
        <v>20</v>
      </c>
      <c r="W705" s="285"/>
      <c r="X705" s="285">
        <f t="shared" si="559"/>
        <v>43632</v>
      </c>
      <c r="Y705" s="277"/>
      <c r="Z705" s="277"/>
      <c r="AA705" s="277"/>
      <c r="AB705" s="277"/>
      <c r="AC705" s="277"/>
      <c r="AD705" s="277"/>
      <c r="AE705" s="277"/>
      <c r="AF705" s="277"/>
      <c r="AG705" s="277"/>
      <c r="AH705" s="277"/>
      <c r="AI705" s="277"/>
      <c r="AJ705" s="277"/>
      <c r="AK705" s="293"/>
      <c r="AL705" s="277">
        <f t="shared" si="560"/>
        <v>0</v>
      </c>
      <c r="AM705" s="280">
        <f t="shared" si="561"/>
        <v>0</v>
      </c>
      <c r="AN705" s="277"/>
      <c r="AO705" s="277"/>
      <c r="AP705" s="277"/>
      <c r="AQ705" s="284">
        <f t="shared" si="562"/>
        <v>43632</v>
      </c>
      <c r="AR705" s="277">
        <f>AR$29</f>
        <v>20</v>
      </c>
      <c r="AS705" s="277">
        <f t="shared" si="563"/>
        <v>43632</v>
      </c>
      <c r="AT705" s="280">
        <f t="shared" si="564"/>
        <v>43632</v>
      </c>
      <c r="AU705" s="280">
        <f t="shared" si="564"/>
        <v>1</v>
      </c>
      <c r="AV705" s="277">
        <v>100</v>
      </c>
      <c r="AW705" s="280">
        <f t="shared" si="565"/>
        <v>18180</v>
      </c>
      <c r="AX705" s="277"/>
      <c r="AY705" s="277"/>
      <c r="AZ705" s="280">
        <f t="shared" si="566"/>
        <v>0</v>
      </c>
      <c r="BA705" s="284">
        <f t="shared" si="567"/>
        <v>61812</v>
      </c>
      <c r="BB705" s="284">
        <f t="shared" si="568"/>
        <v>323604</v>
      </c>
      <c r="BC705" s="478">
        <f t="shared" si="569"/>
        <v>323604</v>
      </c>
      <c r="BD705" s="286">
        <f t="shared" si="570"/>
        <v>26967</v>
      </c>
      <c r="BE705" s="286"/>
      <c r="BF705" s="241">
        <f>IF(D705=1,BC705,0)</f>
        <v>0</v>
      </c>
      <c r="BG705" s="241">
        <f>IF(E705=1,BC705,0)</f>
        <v>0</v>
      </c>
      <c r="BH705" s="241">
        <f>IF(F705=1,BC705,0)</f>
        <v>0</v>
      </c>
      <c r="BI705" s="241">
        <f>IF(G705=1,BC705,0)</f>
        <v>0</v>
      </c>
      <c r="BJ705" s="251">
        <f>IF(H705=1,BC705,0)</f>
        <v>323604</v>
      </c>
      <c r="BK705" s="251">
        <f>IF(I705=1,BC705,0)</f>
        <v>0</v>
      </c>
      <c r="BL705" s="251">
        <f>IF(J705=1,BC705,0)</f>
        <v>0</v>
      </c>
      <c r="BM705" s="241">
        <f>IF(K705=1,BC705,0)</f>
        <v>0</v>
      </c>
      <c r="BP705" s="474">
        <f t="shared" si="571"/>
        <v>0</v>
      </c>
    </row>
    <row r="706" spans="1:68" s="287" customFormat="1" x14ac:dyDescent="0.25">
      <c r="A706" s="276"/>
      <c r="B706" s="288" t="s">
        <v>238</v>
      </c>
      <c r="C706" s="364">
        <f t="shared" si="552"/>
        <v>1</v>
      </c>
      <c r="D706" s="279"/>
      <c r="E706" s="279"/>
      <c r="F706" s="279"/>
      <c r="G706" s="279"/>
      <c r="H706" s="279"/>
      <c r="I706" s="279">
        <v>1</v>
      </c>
      <c r="J706" s="279"/>
      <c r="K706" s="279"/>
      <c r="L706" s="277"/>
      <c r="M706" s="280">
        <f t="shared" si="553"/>
        <v>3028</v>
      </c>
      <c r="N706" s="364">
        <f t="shared" si="554"/>
        <v>2</v>
      </c>
      <c r="O706" s="364">
        <f t="shared" si="554"/>
        <v>2</v>
      </c>
      <c r="P706" s="364">
        <f t="shared" si="554"/>
        <v>1.58</v>
      </c>
      <c r="Q706" s="282"/>
      <c r="R706" s="280">
        <f t="shared" si="555"/>
        <v>1832</v>
      </c>
      <c r="S706" s="280">
        <f t="shared" si="556"/>
        <v>125.35152838427949</v>
      </c>
      <c r="T706" s="425">
        <f t="shared" si="557"/>
        <v>19137</v>
      </c>
      <c r="U706" s="284">
        <f t="shared" si="558"/>
        <v>229644</v>
      </c>
      <c r="V706" s="277">
        <v>20</v>
      </c>
      <c r="W706" s="285"/>
      <c r="X706" s="285">
        <f t="shared" si="559"/>
        <v>45928.800000000003</v>
      </c>
      <c r="Y706" s="277"/>
      <c r="Z706" s="277"/>
      <c r="AA706" s="277"/>
      <c r="AB706" s="277"/>
      <c r="AC706" s="277"/>
      <c r="AD706" s="277"/>
      <c r="AE706" s="277"/>
      <c r="AF706" s="277"/>
      <c r="AG706" s="277"/>
      <c r="AH706" s="277"/>
      <c r="AI706" s="277"/>
      <c r="AJ706" s="277"/>
      <c r="AK706" s="277"/>
      <c r="AL706" s="277">
        <f t="shared" si="560"/>
        <v>0</v>
      </c>
      <c r="AM706" s="280">
        <f t="shared" si="561"/>
        <v>0</v>
      </c>
      <c r="AN706" s="277"/>
      <c r="AO706" s="277"/>
      <c r="AP706" s="277"/>
      <c r="AQ706" s="284">
        <f t="shared" si="562"/>
        <v>45928.800000000003</v>
      </c>
      <c r="AR706" s="277">
        <f>AR$29</f>
        <v>20</v>
      </c>
      <c r="AS706" s="285">
        <f t="shared" si="563"/>
        <v>45928.800000000003</v>
      </c>
      <c r="AT706" s="280">
        <f t="shared" si="564"/>
        <v>45928.800000000003</v>
      </c>
      <c r="AU706" s="280">
        <f t="shared" si="564"/>
        <v>0</v>
      </c>
      <c r="AV706" s="277">
        <v>100</v>
      </c>
      <c r="AW706" s="280">
        <f t="shared" si="565"/>
        <v>0</v>
      </c>
      <c r="AX706" s="277"/>
      <c r="AY706" s="277"/>
      <c r="AZ706" s="280">
        <f t="shared" si="566"/>
        <v>0</v>
      </c>
      <c r="BA706" s="284">
        <f t="shared" si="567"/>
        <v>45928.800000000003</v>
      </c>
      <c r="BB706" s="284">
        <f t="shared" si="568"/>
        <v>321501.59999999998</v>
      </c>
      <c r="BC706" s="284">
        <f t="shared" si="569"/>
        <v>321501.59999999998</v>
      </c>
      <c r="BD706" s="286">
        <f>BC706/C706/12</f>
        <v>26791.8</v>
      </c>
      <c r="BE706" s="286"/>
      <c r="BF706" s="251">
        <f>IF(D706=1,BC706,0)</f>
        <v>0</v>
      </c>
      <c r="BG706" s="251">
        <f>IF(E706=1,BC706,0)</f>
        <v>0</v>
      </c>
      <c r="BH706" s="251">
        <f>IF(F706=1,BC706,0)</f>
        <v>0</v>
      </c>
      <c r="BI706" s="251">
        <f>IF(G706=1,BC706,0)</f>
        <v>0</v>
      </c>
      <c r="BJ706" s="251">
        <f>IF(H706=1,BC706,0)</f>
        <v>0</v>
      </c>
      <c r="BK706" s="251">
        <f>IF(I706=1,BC706,0)</f>
        <v>321501.59999999998</v>
      </c>
      <c r="BL706" s="251">
        <f>IF(J706=1,BC706,0)</f>
        <v>0</v>
      </c>
      <c r="BM706" s="251">
        <f>IF(K706=1,BC706,0)</f>
        <v>0</v>
      </c>
      <c r="BP706" s="474">
        <f t="shared" si="571"/>
        <v>-1</v>
      </c>
    </row>
    <row r="707" spans="1:68" s="1913" customFormat="1" x14ac:dyDescent="0.25">
      <c r="A707" s="1907"/>
      <c r="B707" s="1908" t="s">
        <v>299</v>
      </c>
      <c r="C707" s="1909">
        <f t="shared" si="552"/>
        <v>1</v>
      </c>
      <c r="D707" s="1910"/>
      <c r="E707" s="1910"/>
      <c r="F707" s="1910"/>
      <c r="G707" s="1910"/>
      <c r="H707" s="1910"/>
      <c r="I707" s="1910"/>
      <c r="J707" s="1910">
        <v>1</v>
      </c>
      <c r="K707" s="1910"/>
      <c r="L707" s="339"/>
      <c r="M707" s="461">
        <f t="shared" si="553"/>
        <v>3028</v>
      </c>
      <c r="N707" s="1909">
        <f t="shared" si="554"/>
        <v>2</v>
      </c>
      <c r="O707" s="1909">
        <f t="shared" si="554"/>
        <v>1.7</v>
      </c>
      <c r="P707" s="1909">
        <f t="shared" si="554"/>
        <v>1.58</v>
      </c>
      <c r="Q707" s="339"/>
      <c r="R707" s="461">
        <f t="shared" si="555"/>
        <v>1832</v>
      </c>
      <c r="S707" s="461">
        <f t="shared" si="556"/>
        <v>106.54585152838429</v>
      </c>
      <c r="T707" s="1911">
        <f t="shared" si="557"/>
        <v>16266</v>
      </c>
      <c r="U707" s="478">
        <f t="shared" si="558"/>
        <v>195192</v>
      </c>
      <c r="V707" s="339"/>
      <c r="W707" s="342"/>
      <c r="X707" s="342">
        <f t="shared" si="559"/>
        <v>0</v>
      </c>
      <c r="Y707" s="339"/>
      <c r="Z707" s="339"/>
      <c r="AA707" s="339"/>
      <c r="AB707" s="339"/>
      <c r="AC707" s="339"/>
      <c r="AD707" s="339"/>
      <c r="AE707" s="339"/>
      <c r="AF707" s="339"/>
      <c r="AG707" s="339"/>
      <c r="AH707" s="339"/>
      <c r="AI707" s="339"/>
      <c r="AJ707" s="339"/>
      <c r="AK707" s="339">
        <v>7</v>
      </c>
      <c r="AL707" s="339">
        <f t="shared" si="560"/>
        <v>0</v>
      </c>
      <c r="AM707" s="461">
        <f t="shared" si="561"/>
        <v>13663.440000000002</v>
      </c>
      <c r="AN707" s="339"/>
      <c r="AO707" s="339"/>
      <c r="AP707" s="339"/>
      <c r="AQ707" s="478">
        <f t="shared" si="562"/>
        <v>13663.440000000002</v>
      </c>
      <c r="AR707" s="339">
        <f t="shared" ref="AR707:AR717" si="572">AR$29</f>
        <v>20</v>
      </c>
      <c r="AS707" s="339">
        <f t="shared" si="563"/>
        <v>39038.399999999994</v>
      </c>
      <c r="AT707" s="461">
        <f t="shared" si="564"/>
        <v>39038.399999999994</v>
      </c>
      <c r="AU707" s="461">
        <f t="shared" si="564"/>
        <v>1</v>
      </c>
      <c r="AV707" s="339">
        <v>100</v>
      </c>
      <c r="AW707" s="461">
        <f t="shared" si="565"/>
        <v>16266</v>
      </c>
      <c r="AX707" s="339"/>
      <c r="AY707" s="339"/>
      <c r="AZ707" s="461">
        <f t="shared" si="566"/>
        <v>0</v>
      </c>
      <c r="BA707" s="478">
        <f t="shared" si="567"/>
        <v>55304.399999999994</v>
      </c>
      <c r="BB707" s="478">
        <f t="shared" si="568"/>
        <v>264159.83999999997</v>
      </c>
      <c r="BC707" s="478">
        <f t="shared" si="569"/>
        <v>264159.83999999997</v>
      </c>
      <c r="BD707" s="1912">
        <f>BC707/C707/12</f>
        <v>22013.319999999996</v>
      </c>
      <c r="BE707" s="1912"/>
      <c r="BF707" s="417">
        <f>IF(D707=1,BC707,0)</f>
        <v>0</v>
      </c>
      <c r="BG707" s="417">
        <f>IF(E707=1,BC707,0)</f>
        <v>0</v>
      </c>
      <c r="BH707" s="417">
        <f>IF(F707=1,BC707,0)</f>
        <v>0</v>
      </c>
      <c r="BI707" s="417">
        <f>IF(G707=1,BC707,0)</f>
        <v>0</v>
      </c>
      <c r="BJ707" s="417">
        <f>IF(H707=1,BC707,0)</f>
        <v>0</v>
      </c>
      <c r="BK707" s="417">
        <f>IF(I707=1,BC707,0)</f>
        <v>0</v>
      </c>
      <c r="BL707" s="417">
        <f>IF(J707=1,BC707,0)</f>
        <v>264159.83999999997</v>
      </c>
      <c r="BM707" s="417">
        <f>IF(K707=1,BC707,0)</f>
        <v>0</v>
      </c>
      <c r="BP707" s="1914">
        <f t="shared" si="571"/>
        <v>0</v>
      </c>
    </row>
    <row r="708" spans="1:68" s="316" customFormat="1" x14ac:dyDescent="0.25">
      <c r="A708" s="306"/>
      <c r="B708" s="307" t="s">
        <v>229</v>
      </c>
      <c r="C708" s="329">
        <f>SUM(C702:C707)</f>
        <v>6</v>
      </c>
      <c r="D708" s="330"/>
      <c r="E708" s="330"/>
      <c r="F708" s="330"/>
      <c r="G708" s="330"/>
      <c r="H708" s="330"/>
      <c r="I708" s="330"/>
      <c r="J708" s="330"/>
      <c r="K708" s="330"/>
      <c r="L708" s="307"/>
      <c r="M708" s="331"/>
      <c r="N708" s="307"/>
      <c r="O708" s="307"/>
      <c r="P708" s="332"/>
      <c r="Q708" s="307"/>
      <c r="R708" s="331"/>
      <c r="S708" s="331"/>
      <c r="T708" s="333">
        <f>U708/12</f>
        <v>112908</v>
      </c>
      <c r="U708" s="329">
        <f>SUM(U702:U707)</f>
        <v>1354896</v>
      </c>
      <c r="V708" s="329"/>
      <c r="W708" s="307"/>
      <c r="X708" s="329">
        <f>SUM(X702:X707)</f>
        <v>258350.40000000002</v>
      </c>
      <c r="Y708" s="284"/>
      <c r="Z708" s="284">
        <f>SUM(Z702:Z705)</f>
        <v>0</v>
      </c>
      <c r="AA708" s="329">
        <f>SUM(AA702:AA707)</f>
        <v>0</v>
      </c>
      <c r="AB708" s="479"/>
      <c r="AC708" s="479"/>
      <c r="AD708" s="394">
        <f>SUM(AD702:AD707)</f>
        <v>0</v>
      </c>
      <c r="AE708" s="284"/>
      <c r="AF708" s="284">
        <f>SUM(AF702:AF705)</f>
        <v>0</v>
      </c>
      <c r="AG708" s="329">
        <f>SUM(AG702:AG707)</f>
        <v>0</v>
      </c>
      <c r="AH708" s="284"/>
      <c r="AI708" s="284">
        <f>SUM(AI702:AI705)</f>
        <v>0</v>
      </c>
      <c r="AJ708" s="329">
        <f>SUM(AJ702:AJ707)</f>
        <v>0</v>
      </c>
      <c r="AK708" s="284"/>
      <c r="AL708" s="284">
        <f>SUM(AL702:AL705)</f>
        <v>0</v>
      </c>
      <c r="AM708" s="284">
        <f>SUM(AM702:AM707)</f>
        <v>88412.760000000009</v>
      </c>
      <c r="AN708" s="284"/>
      <c r="AO708" s="284">
        <f>SUM(AO702:AO705)</f>
        <v>0</v>
      </c>
      <c r="AP708" s="329">
        <f>SUM(AP702:AP707)</f>
        <v>0</v>
      </c>
      <c r="AQ708" s="329">
        <f>SUM(AQ702:AQ707)</f>
        <v>346763.16</v>
      </c>
      <c r="AR708" s="284"/>
      <c r="AS708" s="284">
        <f>SUM(AS702:AS705)</f>
        <v>186012</v>
      </c>
      <c r="AT708" s="329">
        <f>SUM(AT702:AT707)</f>
        <v>270979.19999999995</v>
      </c>
      <c r="AU708" s="329">
        <f>SUM(AU702:AU707)</f>
        <v>5</v>
      </c>
      <c r="AV708" s="284"/>
      <c r="AW708" s="329">
        <f>SUM(AW702:AW707)</f>
        <v>93771</v>
      </c>
      <c r="AX708" s="284"/>
      <c r="AY708" s="284">
        <f>SUM(AY702:AY705)</f>
        <v>0</v>
      </c>
      <c r="AZ708" s="329">
        <f>SUM(AZ702:AZ707)</f>
        <v>0</v>
      </c>
      <c r="BA708" s="329">
        <f>SUM(BA702:BA707)</f>
        <v>364750.19999999995</v>
      </c>
      <c r="BB708" s="329">
        <f>SUM(BB702:BB707)</f>
        <v>2066409.3599999999</v>
      </c>
      <c r="BC708" s="329">
        <f>SUM(BC702:BC707)</f>
        <v>2066409.3599999999</v>
      </c>
      <c r="BD708" s="286">
        <f t="shared" si="570"/>
        <v>28700.13</v>
      </c>
      <c r="BE708" s="286"/>
      <c r="BF708" s="316">
        <f t="shared" ref="BF708:BM708" si="573">SUM(BF702:BF705)</f>
        <v>0</v>
      </c>
      <c r="BG708" s="316">
        <f t="shared" si="573"/>
        <v>0</v>
      </c>
      <c r="BH708" s="316">
        <f t="shared" si="573"/>
        <v>0</v>
      </c>
      <c r="BI708" s="316">
        <f t="shared" si="573"/>
        <v>0</v>
      </c>
      <c r="BJ708" s="316">
        <f t="shared" si="573"/>
        <v>760242.72</v>
      </c>
      <c r="BK708" s="316">
        <f t="shared" si="573"/>
        <v>0</v>
      </c>
      <c r="BL708" s="316">
        <f t="shared" si="573"/>
        <v>0</v>
      </c>
      <c r="BM708" s="316">
        <f t="shared" si="573"/>
        <v>0</v>
      </c>
      <c r="BO708" s="315">
        <f>BC708-BC705</f>
        <v>1742805.3599999999</v>
      </c>
    </row>
    <row r="709" spans="1:68" s="287" customFormat="1" x14ac:dyDescent="0.25">
      <c r="A709" s="270"/>
      <c r="B709" s="334" t="s">
        <v>239</v>
      </c>
      <c r="C709" s="336"/>
      <c r="D709" s="336"/>
      <c r="E709" s="336"/>
      <c r="F709" s="336"/>
      <c r="G709" s="336"/>
      <c r="H709" s="336"/>
      <c r="I709" s="336"/>
      <c r="J709" s="336"/>
      <c r="K709" s="336"/>
      <c r="L709" s="336"/>
      <c r="M709" s="336"/>
      <c r="N709" s="336"/>
      <c r="O709" s="336"/>
      <c r="P709" s="336"/>
      <c r="Q709" s="336"/>
      <c r="R709" s="336"/>
      <c r="S709" s="336"/>
      <c r="T709" s="336"/>
      <c r="U709" s="476">
        <f t="shared" ref="U709:AJ709" si="574">U593+U488+U380+U272+U164+U56</f>
        <v>1354896</v>
      </c>
      <c r="V709" s="476">
        <f t="shared" si="574"/>
        <v>0</v>
      </c>
      <c r="W709" s="476">
        <f t="shared" si="574"/>
        <v>0</v>
      </c>
      <c r="X709" s="476">
        <f t="shared" si="574"/>
        <v>258350.40000000002</v>
      </c>
      <c r="Y709" s="476">
        <f t="shared" si="574"/>
        <v>0</v>
      </c>
      <c r="Z709" s="476">
        <f t="shared" si="574"/>
        <v>0</v>
      </c>
      <c r="AA709" s="476">
        <f t="shared" si="574"/>
        <v>0</v>
      </c>
      <c r="AB709" s="476">
        <f t="shared" si="574"/>
        <v>0</v>
      </c>
      <c r="AC709" s="476">
        <f t="shared" si="574"/>
        <v>0</v>
      </c>
      <c r="AD709" s="476">
        <f t="shared" si="574"/>
        <v>0</v>
      </c>
      <c r="AE709" s="476">
        <f t="shared" si="574"/>
        <v>0</v>
      </c>
      <c r="AF709" s="476">
        <f t="shared" si="574"/>
        <v>0</v>
      </c>
      <c r="AG709" s="476">
        <f t="shared" si="574"/>
        <v>0</v>
      </c>
      <c r="AH709" s="476">
        <f t="shared" si="574"/>
        <v>0</v>
      </c>
      <c r="AI709" s="476">
        <f t="shared" si="574"/>
        <v>0</v>
      </c>
      <c r="AJ709" s="476">
        <f t="shared" si="574"/>
        <v>0</v>
      </c>
      <c r="AK709" s="336"/>
      <c r="AL709" s="476">
        <f t="shared" ref="AL709:BC709" si="575">AL593+AL488+AL380+AL272+AL164+AL56</f>
        <v>0</v>
      </c>
      <c r="AM709" s="476">
        <f t="shared" si="575"/>
        <v>88412.76</v>
      </c>
      <c r="AN709" s="476">
        <f t="shared" si="575"/>
        <v>0</v>
      </c>
      <c r="AO709" s="476">
        <f t="shared" si="575"/>
        <v>0</v>
      </c>
      <c r="AP709" s="476">
        <f t="shared" si="575"/>
        <v>0</v>
      </c>
      <c r="AQ709" s="476">
        <f t="shared" si="575"/>
        <v>346763.16</v>
      </c>
      <c r="AR709" s="476">
        <f t="shared" si="575"/>
        <v>0</v>
      </c>
      <c r="AS709" s="476">
        <f t="shared" si="575"/>
        <v>228495.6</v>
      </c>
      <c r="AT709" s="476">
        <f t="shared" si="575"/>
        <v>270979.20000000001</v>
      </c>
      <c r="AU709" s="476">
        <f t="shared" si="575"/>
        <v>5</v>
      </c>
      <c r="AV709" s="476">
        <f t="shared" si="575"/>
        <v>600</v>
      </c>
      <c r="AW709" s="476">
        <f t="shared" si="575"/>
        <v>93771</v>
      </c>
      <c r="AX709" s="476">
        <f t="shared" si="575"/>
        <v>0</v>
      </c>
      <c r="AY709" s="476">
        <f t="shared" si="575"/>
        <v>-817.12800000000061</v>
      </c>
      <c r="AZ709" s="476">
        <f t="shared" si="575"/>
        <v>0</v>
      </c>
      <c r="BA709" s="476">
        <f t="shared" si="575"/>
        <v>364750.2</v>
      </c>
      <c r="BB709" s="476">
        <f t="shared" si="575"/>
        <v>2066409.36</v>
      </c>
      <c r="BC709" s="476">
        <f t="shared" si="575"/>
        <v>2066409.36</v>
      </c>
      <c r="BD709" s="286"/>
      <c r="BE709" s="286"/>
      <c r="BF709" s="338" t="e">
        <f>BC719-#REF!</f>
        <v>#REF!</v>
      </c>
    </row>
    <row r="710" spans="1:68" s="287" customFormat="1" x14ac:dyDescent="0.25">
      <c r="A710" s="276"/>
      <c r="B710" s="288" t="s">
        <v>240</v>
      </c>
      <c r="C710" s="364">
        <f t="shared" ref="C710:C717" si="576">(C58*3+C166*1+C274*2+C382*4+C490+C595)/12</f>
        <v>3</v>
      </c>
      <c r="D710" s="279"/>
      <c r="E710" s="279"/>
      <c r="F710" s="328"/>
      <c r="G710" s="328"/>
      <c r="H710" s="279">
        <v>1</v>
      </c>
      <c r="I710" s="328"/>
      <c r="J710" s="328"/>
      <c r="K710" s="279"/>
      <c r="L710" s="277">
        <v>4</v>
      </c>
      <c r="M710" s="280">
        <f t="shared" ref="M710:M717" si="577">(M58*3+M166*1+M274*2+M382*4+M490+M595)/12</f>
        <v>3028</v>
      </c>
      <c r="N710" s="364">
        <f t="shared" ref="N710:P717" si="578">(N58*6+N274*1+N382*4+N595)/12</f>
        <v>2</v>
      </c>
      <c r="O710" s="364">
        <f t="shared" si="578"/>
        <v>1.43</v>
      </c>
      <c r="P710" s="364">
        <f t="shared" si="578"/>
        <v>1.58</v>
      </c>
      <c r="Q710" s="277"/>
      <c r="R710" s="280">
        <f t="shared" ref="R710:R717" si="579">(R58+R274+R382+R595)</f>
        <v>1832</v>
      </c>
      <c r="S710" s="280">
        <f t="shared" ref="S710:S717" si="580">T710/(R710/12)</f>
        <v>89.626637554585159</v>
      </c>
      <c r="T710" s="425">
        <f t="shared" ref="T710:T717" si="581">ROUND(M710*N710*O710*P710,0)</f>
        <v>13683</v>
      </c>
      <c r="U710" s="284">
        <f t="shared" ref="U710:U717" si="582">U58+U166+U274+U382+U490+U595</f>
        <v>492588</v>
      </c>
      <c r="V710" s="277">
        <v>16</v>
      </c>
      <c r="W710" s="285"/>
      <c r="X710" s="285">
        <f t="shared" ref="X710:X717" si="583">U710*V710%</f>
        <v>78814.080000000002</v>
      </c>
      <c r="Y710" s="277">
        <v>4</v>
      </c>
      <c r="Z710" s="285"/>
      <c r="AA710" s="285">
        <f>U710*Y710%</f>
        <v>19703.52</v>
      </c>
      <c r="AB710" s="277"/>
      <c r="AC710" s="277"/>
      <c r="AD710" s="277"/>
      <c r="AE710" s="277"/>
      <c r="AF710" s="277"/>
      <c r="AG710" s="277"/>
      <c r="AH710" s="277"/>
      <c r="AI710" s="277"/>
      <c r="AJ710" s="277"/>
      <c r="AK710" s="277">
        <v>7</v>
      </c>
      <c r="AL710" s="277">
        <f t="shared" ref="AL710:AL717" si="584">(AL58*3+AL274*3+AL382*4+AL490+AL595)/12</f>
        <v>0</v>
      </c>
      <c r="AM710" s="280">
        <f t="shared" ref="AM710:AM717" si="585">AM58+AM166+AM274+AM382+AM490+AM595</f>
        <v>11493.72</v>
      </c>
      <c r="AN710" s="277"/>
      <c r="AO710" s="277"/>
      <c r="AP710" s="277"/>
      <c r="AQ710" s="284">
        <f t="shared" ref="AQ710:AQ718" si="586">X710+AA710+AD710+AG710+AJ710+AM710+AP710</f>
        <v>110011.32</v>
      </c>
      <c r="AR710" s="277">
        <f t="shared" si="572"/>
        <v>20</v>
      </c>
      <c r="AS710" s="277">
        <f t="shared" ref="AS710:AS717" si="587">AT710/C710</f>
        <v>32839.200000000004</v>
      </c>
      <c r="AT710" s="280">
        <f t="shared" ref="AT710:AU717" si="588">AT58+AT166+AT274+AT382+AT490+AT595</f>
        <v>98517.6</v>
      </c>
      <c r="AU710" s="280">
        <f t="shared" si="588"/>
        <v>3</v>
      </c>
      <c r="AV710" s="277">
        <v>100</v>
      </c>
      <c r="AW710" s="280">
        <f t="shared" ref="AW710:AW717" si="589">AW58+AW166+AW274+AW382+AW490+AW595</f>
        <v>41049</v>
      </c>
      <c r="AX710" s="277"/>
      <c r="AY710" s="277"/>
      <c r="AZ710" s="280">
        <f t="shared" ref="AZ710:AZ717" si="590">AZ58+AZ274+AZ382+AZ490+AZ595</f>
        <v>0</v>
      </c>
      <c r="BA710" s="284">
        <f t="shared" ref="BA710:BA717" si="591">AT710+AW710+AZ710</f>
        <v>139566.6</v>
      </c>
      <c r="BB710" s="284">
        <f t="shared" ref="BB710:BB717" si="592">BC710/C710</f>
        <v>247388.64</v>
      </c>
      <c r="BC710" s="284">
        <f t="shared" ref="BC710:BC717" si="593">BA710+AQ710+U710</f>
        <v>742165.92</v>
      </c>
      <c r="BD710" s="286">
        <f t="shared" ref="BD710:BD717" si="594">BC710/C710/12</f>
        <v>20615.72</v>
      </c>
      <c r="BE710" s="286"/>
      <c r="BF710" s="241">
        <f t="shared" ref="BF710:BF717" si="595">IF(D710=1,BC710,0)</f>
        <v>0</v>
      </c>
      <c r="BG710" s="241">
        <f t="shared" ref="BG710:BG717" si="596">IF(E710=1,BC710,0)</f>
        <v>0</v>
      </c>
      <c r="BH710" s="241">
        <f t="shared" ref="BH710:BH717" si="597">IF(F710=1,BC710,0)</f>
        <v>0</v>
      </c>
      <c r="BI710" s="241">
        <f t="shared" ref="BI710:BI717" si="598">IF(G710=1,BC710,0)</f>
        <v>0</v>
      </c>
      <c r="BJ710" s="251">
        <f t="shared" ref="BJ710:BJ717" si="599">IF(H710=1,BC710,0)</f>
        <v>742165.92</v>
      </c>
      <c r="BK710" s="241">
        <f t="shared" ref="BK710:BK718" si="600">IF(I710=1,BC710,0)</f>
        <v>0</v>
      </c>
      <c r="BL710" s="241">
        <f t="shared" ref="BL710:BL718" si="601">IF(J710=1,BC710,0)</f>
        <v>0</v>
      </c>
      <c r="BM710" s="241">
        <f t="shared" ref="BM710:BM718" si="602">IF(K710=1,BC710,0)</f>
        <v>0</v>
      </c>
      <c r="BP710" s="474">
        <f t="shared" ref="BP710:BP717" si="603">AU710-C710</f>
        <v>0</v>
      </c>
    </row>
    <row r="711" spans="1:68" s="287" customFormat="1" ht="18" customHeight="1" x14ac:dyDescent="0.25">
      <c r="A711" s="276"/>
      <c r="B711" s="288" t="s">
        <v>240</v>
      </c>
      <c r="C711" s="364">
        <f t="shared" si="576"/>
        <v>8</v>
      </c>
      <c r="D711" s="279"/>
      <c r="E711" s="279"/>
      <c r="F711" s="328"/>
      <c r="G711" s="328"/>
      <c r="H711" s="279">
        <v>1</v>
      </c>
      <c r="I711" s="328"/>
      <c r="J711" s="328"/>
      <c r="K711" s="279"/>
      <c r="L711" s="277">
        <v>4</v>
      </c>
      <c r="M711" s="280">
        <f t="shared" si="577"/>
        <v>3028</v>
      </c>
      <c r="N711" s="364">
        <f t="shared" si="578"/>
        <v>2</v>
      </c>
      <c r="O711" s="364">
        <f t="shared" si="578"/>
        <v>1.43</v>
      </c>
      <c r="P711" s="364">
        <f t="shared" si="578"/>
        <v>1.58</v>
      </c>
      <c r="Q711" s="277"/>
      <c r="R711" s="280">
        <f t="shared" si="579"/>
        <v>1832</v>
      </c>
      <c r="S711" s="280">
        <f t="shared" si="580"/>
        <v>89.626637554585159</v>
      </c>
      <c r="T711" s="425">
        <f t="shared" si="581"/>
        <v>13683</v>
      </c>
      <c r="U711" s="284">
        <f t="shared" si="582"/>
        <v>1313568</v>
      </c>
      <c r="V711" s="277">
        <v>16</v>
      </c>
      <c r="W711" s="285"/>
      <c r="X711" s="285">
        <f t="shared" si="583"/>
        <v>210170.88</v>
      </c>
      <c r="Y711" s="277">
        <v>4</v>
      </c>
      <c r="Z711" s="285"/>
      <c r="AA711" s="285">
        <f>U711*Y711%</f>
        <v>52542.720000000001</v>
      </c>
      <c r="AB711" s="277">
        <v>20</v>
      </c>
      <c r="AC711" s="277"/>
      <c r="AD711" s="340">
        <f>SUM([3]ночн.празд!T15)</f>
        <v>48240.968645975481</v>
      </c>
      <c r="AE711" s="341">
        <v>35</v>
      </c>
      <c r="AF711" s="340"/>
      <c r="AG711" s="340">
        <f>SUM([3]ночн.празд!U15:U15)</f>
        <v>168843.39026091417</v>
      </c>
      <c r="AH711" s="341">
        <v>100</v>
      </c>
      <c r="AI711" s="340"/>
      <c r="AJ711" s="340">
        <f>SUM([3]ночн.празд!R15:S15)</f>
        <v>159914.75315842996</v>
      </c>
      <c r="AK711" s="277"/>
      <c r="AL711" s="277">
        <f t="shared" si="584"/>
        <v>0</v>
      </c>
      <c r="AM711" s="280">
        <f t="shared" si="585"/>
        <v>0</v>
      </c>
      <c r="AN711" s="277"/>
      <c r="AO711" s="277"/>
      <c r="AP711" s="277"/>
      <c r="AQ711" s="284">
        <f t="shared" si="586"/>
        <v>639712.71206531953</v>
      </c>
      <c r="AR711" s="277">
        <f t="shared" si="572"/>
        <v>20</v>
      </c>
      <c r="AS711" s="277">
        <f t="shared" si="587"/>
        <v>32839.200000000004</v>
      </c>
      <c r="AT711" s="280">
        <f t="shared" si="588"/>
        <v>262713.60000000003</v>
      </c>
      <c r="AU711" s="280">
        <f t="shared" si="588"/>
        <v>6</v>
      </c>
      <c r="AV711" s="277">
        <v>100</v>
      </c>
      <c r="AW711" s="280">
        <f t="shared" si="589"/>
        <v>82098</v>
      </c>
      <c r="AX711" s="277"/>
      <c r="AY711" s="277"/>
      <c r="AZ711" s="280">
        <f t="shared" si="590"/>
        <v>0</v>
      </c>
      <c r="BA711" s="284">
        <f t="shared" si="591"/>
        <v>344811.60000000003</v>
      </c>
      <c r="BB711" s="284">
        <f t="shared" si="592"/>
        <v>287261.53900816495</v>
      </c>
      <c r="BC711" s="284">
        <f t="shared" si="593"/>
        <v>2298092.3120653196</v>
      </c>
      <c r="BD711" s="286">
        <f t="shared" si="594"/>
        <v>23938.461584013745</v>
      </c>
      <c r="BE711" s="286"/>
      <c r="BF711" s="241">
        <f t="shared" si="595"/>
        <v>0</v>
      </c>
      <c r="BG711" s="241">
        <f t="shared" si="596"/>
        <v>0</v>
      </c>
      <c r="BH711" s="241">
        <f t="shared" si="597"/>
        <v>0</v>
      </c>
      <c r="BI711" s="241">
        <f t="shared" si="598"/>
        <v>0</v>
      </c>
      <c r="BJ711" s="251">
        <f t="shared" si="599"/>
        <v>2298092.3120653196</v>
      </c>
      <c r="BK711" s="241">
        <f t="shared" si="600"/>
        <v>0</v>
      </c>
      <c r="BL711" s="241">
        <f t="shared" si="601"/>
        <v>0</v>
      </c>
      <c r="BM711" s="241">
        <f t="shared" si="602"/>
        <v>0</v>
      </c>
      <c r="BP711" s="474">
        <f t="shared" si="603"/>
        <v>-2</v>
      </c>
    </row>
    <row r="712" spans="1:68" s="287" customFormat="1" x14ac:dyDescent="0.25">
      <c r="A712" s="276"/>
      <c r="B712" s="288" t="s">
        <v>240</v>
      </c>
      <c r="C712" s="364">
        <f t="shared" si="576"/>
        <v>3</v>
      </c>
      <c r="D712" s="279"/>
      <c r="E712" s="279"/>
      <c r="F712" s="328"/>
      <c r="G712" s="328"/>
      <c r="H712" s="279">
        <v>1</v>
      </c>
      <c r="I712" s="328"/>
      <c r="J712" s="328"/>
      <c r="K712" s="279"/>
      <c r="L712" s="277">
        <v>5</v>
      </c>
      <c r="M712" s="280">
        <f t="shared" si="577"/>
        <v>3028</v>
      </c>
      <c r="N712" s="364">
        <f t="shared" si="578"/>
        <v>2</v>
      </c>
      <c r="O712" s="364">
        <f t="shared" si="578"/>
        <v>1.67</v>
      </c>
      <c r="P712" s="364">
        <f t="shared" si="578"/>
        <v>1.58</v>
      </c>
      <c r="Q712" s="277"/>
      <c r="R712" s="280">
        <f t="shared" si="579"/>
        <v>1832</v>
      </c>
      <c r="S712" s="280">
        <f t="shared" si="580"/>
        <v>104.66593886462883</v>
      </c>
      <c r="T712" s="425">
        <f t="shared" si="581"/>
        <v>15979</v>
      </c>
      <c r="U712" s="284">
        <f t="shared" si="582"/>
        <v>575244</v>
      </c>
      <c r="V712" s="277">
        <v>20</v>
      </c>
      <c r="W712" s="285"/>
      <c r="X712" s="285">
        <f t="shared" si="583"/>
        <v>115048.8</v>
      </c>
      <c r="Y712" s="277">
        <v>4</v>
      </c>
      <c r="Z712" s="285"/>
      <c r="AA712" s="285">
        <f>U712*Y712%</f>
        <v>23009.760000000002</v>
      </c>
      <c r="AB712" s="277"/>
      <c r="AC712" s="277"/>
      <c r="AD712" s="277"/>
      <c r="AE712" s="367"/>
      <c r="AF712" s="277"/>
      <c r="AG712" s="277"/>
      <c r="AH712" s="277"/>
      <c r="AI712" s="277"/>
      <c r="AJ712" s="277"/>
      <c r="AK712" s="277">
        <f>(10+10+15)/3</f>
        <v>11.666666666666666</v>
      </c>
      <c r="AL712" s="277">
        <f t="shared" si="584"/>
        <v>0</v>
      </c>
      <c r="AM712" s="280">
        <f t="shared" si="585"/>
        <v>67111.799999999988</v>
      </c>
      <c r="AN712" s="277"/>
      <c r="AO712" s="277"/>
      <c r="AP712" s="277"/>
      <c r="AQ712" s="284">
        <f t="shared" si="586"/>
        <v>205170.36</v>
      </c>
      <c r="AR712" s="277">
        <f t="shared" si="572"/>
        <v>20</v>
      </c>
      <c r="AS712" s="277">
        <f t="shared" si="587"/>
        <v>38349.599999999999</v>
      </c>
      <c r="AT712" s="280">
        <f t="shared" si="588"/>
        <v>115048.79999999999</v>
      </c>
      <c r="AU712" s="280">
        <f t="shared" si="588"/>
        <v>3</v>
      </c>
      <c r="AV712" s="277">
        <v>100</v>
      </c>
      <c r="AW712" s="280">
        <f t="shared" si="589"/>
        <v>47937</v>
      </c>
      <c r="AX712" s="277"/>
      <c r="AY712" s="277"/>
      <c r="AZ712" s="280">
        <f t="shared" si="590"/>
        <v>0</v>
      </c>
      <c r="BA712" s="284">
        <f t="shared" si="591"/>
        <v>162985.79999999999</v>
      </c>
      <c r="BB712" s="284">
        <f t="shared" si="592"/>
        <v>314466.71999999997</v>
      </c>
      <c r="BC712" s="284">
        <f t="shared" si="593"/>
        <v>943400.15999999992</v>
      </c>
      <c r="BD712" s="286">
        <f t="shared" si="594"/>
        <v>26205.559999999998</v>
      </c>
      <c r="BE712" s="286"/>
      <c r="BF712" s="241">
        <f t="shared" si="595"/>
        <v>0</v>
      </c>
      <c r="BG712" s="241">
        <f t="shared" si="596"/>
        <v>0</v>
      </c>
      <c r="BH712" s="241">
        <f t="shared" si="597"/>
        <v>0</v>
      </c>
      <c r="BI712" s="241">
        <f t="shared" si="598"/>
        <v>0</v>
      </c>
      <c r="BJ712" s="251">
        <f t="shared" si="599"/>
        <v>943400.15999999992</v>
      </c>
      <c r="BK712" s="241">
        <f t="shared" si="600"/>
        <v>0</v>
      </c>
      <c r="BL712" s="241">
        <f t="shared" si="601"/>
        <v>0</v>
      </c>
      <c r="BM712" s="241">
        <f t="shared" si="602"/>
        <v>0</v>
      </c>
      <c r="BP712" s="474">
        <f t="shared" si="603"/>
        <v>0</v>
      </c>
    </row>
    <row r="713" spans="1:68" s="287" customFormat="1" x14ac:dyDescent="0.25">
      <c r="A713" s="276"/>
      <c r="B713" s="288" t="s">
        <v>240</v>
      </c>
      <c r="C713" s="364">
        <f t="shared" si="576"/>
        <v>4</v>
      </c>
      <c r="D713" s="279"/>
      <c r="E713" s="279"/>
      <c r="F713" s="328"/>
      <c r="G713" s="328"/>
      <c r="H713" s="279">
        <v>1</v>
      </c>
      <c r="I713" s="328"/>
      <c r="J713" s="328"/>
      <c r="K713" s="279"/>
      <c r="L713" s="277">
        <v>5</v>
      </c>
      <c r="M713" s="280">
        <f t="shared" si="577"/>
        <v>3028</v>
      </c>
      <c r="N713" s="364">
        <f t="shared" si="578"/>
        <v>2</v>
      </c>
      <c r="O713" s="364">
        <f t="shared" si="578"/>
        <v>1.67</v>
      </c>
      <c r="P713" s="364">
        <f t="shared" si="578"/>
        <v>1.58</v>
      </c>
      <c r="Q713" s="277"/>
      <c r="R713" s="280">
        <f t="shared" si="579"/>
        <v>1832</v>
      </c>
      <c r="S713" s="280">
        <f t="shared" si="580"/>
        <v>104.66593886462883</v>
      </c>
      <c r="T713" s="425">
        <f t="shared" si="581"/>
        <v>15979</v>
      </c>
      <c r="U713" s="284">
        <f t="shared" si="582"/>
        <v>766992</v>
      </c>
      <c r="V713" s="277">
        <v>20</v>
      </c>
      <c r="W713" s="285"/>
      <c r="X713" s="285">
        <f t="shared" si="583"/>
        <v>153398.39999999999</v>
      </c>
      <c r="Y713" s="277">
        <v>4</v>
      </c>
      <c r="Z713" s="285"/>
      <c r="AA713" s="285">
        <f>U713*Y713%</f>
        <v>30679.68</v>
      </c>
      <c r="AB713" s="277">
        <v>20</v>
      </c>
      <c r="AC713" s="277"/>
      <c r="AD713" s="340">
        <f>SUM([3]ночн.празд!L15)</f>
        <v>28167.88854761537</v>
      </c>
      <c r="AE713" s="341">
        <v>35</v>
      </c>
      <c r="AF713" s="340"/>
      <c r="AG713" s="340">
        <f>SUM([3]ночн.празд!M15:M15)</f>
        <v>98587.609916653804</v>
      </c>
      <c r="AH713" s="341">
        <v>100</v>
      </c>
      <c r="AI713" s="340"/>
      <c r="AJ713" s="340">
        <f>SUM([3]ночн.празд!J15:K15)</f>
        <v>118062.5141839787</v>
      </c>
      <c r="AK713" s="277">
        <f>(7+7)/2</f>
        <v>7</v>
      </c>
      <c r="AL713" s="277">
        <f t="shared" si="584"/>
        <v>0</v>
      </c>
      <c r="AM713" s="280">
        <f t="shared" si="585"/>
        <v>26844.720000000008</v>
      </c>
      <c r="AN713" s="277"/>
      <c r="AO713" s="277"/>
      <c r="AP713" s="277"/>
      <c r="AQ713" s="284">
        <f t="shared" si="586"/>
        <v>455740.81264824787</v>
      </c>
      <c r="AR713" s="277">
        <f t="shared" si="572"/>
        <v>20</v>
      </c>
      <c r="AS713" s="277">
        <f t="shared" si="587"/>
        <v>38349.600000000006</v>
      </c>
      <c r="AT713" s="280">
        <f t="shared" si="588"/>
        <v>153398.40000000002</v>
      </c>
      <c r="AU713" s="280">
        <f t="shared" si="588"/>
        <v>4</v>
      </c>
      <c r="AV713" s="277">
        <v>100</v>
      </c>
      <c r="AW713" s="280">
        <f t="shared" si="589"/>
        <v>63916</v>
      </c>
      <c r="AX713" s="277"/>
      <c r="AY713" s="277"/>
      <c r="AZ713" s="280">
        <f t="shared" si="590"/>
        <v>0</v>
      </c>
      <c r="BA713" s="284">
        <f t="shared" si="591"/>
        <v>217314.40000000002</v>
      </c>
      <c r="BB713" s="284">
        <f t="shared" si="592"/>
        <v>360011.80316206196</v>
      </c>
      <c r="BC713" s="284">
        <f t="shared" si="593"/>
        <v>1440047.2126482478</v>
      </c>
      <c r="BD713" s="286">
        <f t="shared" si="594"/>
        <v>30000.983596838498</v>
      </c>
      <c r="BE713" s="286"/>
      <c r="BF713" s="241">
        <f t="shared" si="595"/>
        <v>0</v>
      </c>
      <c r="BG713" s="241">
        <f t="shared" si="596"/>
        <v>0</v>
      </c>
      <c r="BH713" s="241">
        <f t="shared" si="597"/>
        <v>0</v>
      </c>
      <c r="BI713" s="241">
        <f t="shared" si="598"/>
        <v>0</v>
      </c>
      <c r="BJ713" s="251">
        <f t="shared" si="599"/>
        <v>1440047.2126482478</v>
      </c>
      <c r="BK713" s="241">
        <f t="shared" si="600"/>
        <v>0</v>
      </c>
      <c r="BL713" s="241">
        <f t="shared" si="601"/>
        <v>0</v>
      </c>
      <c r="BM713" s="241">
        <f t="shared" si="602"/>
        <v>0</v>
      </c>
      <c r="BP713" s="474">
        <f t="shared" si="603"/>
        <v>0</v>
      </c>
    </row>
    <row r="714" spans="1:68" s="287" customFormat="1" x14ac:dyDescent="0.25">
      <c r="A714" s="276"/>
      <c r="B714" s="288" t="s">
        <v>241</v>
      </c>
      <c r="C714" s="364">
        <f t="shared" si="576"/>
        <v>2</v>
      </c>
      <c r="D714" s="279"/>
      <c r="E714" s="279"/>
      <c r="F714" s="328"/>
      <c r="G714" s="328"/>
      <c r="H714" s="279">
        <v>1</v>
      </c>
      <c r="I714" s="328"/>
      <c r="J714" s="328"/>
      <c r="K714" s="279"/>
      <c r="L714" s="277">
        <v>5</v>
      </c>
      <c r="M714" s="280">
        <f t="shared" si="577"/>
        <v>3028</v>
      </c>
      <c r="N714" s="364">
        <f t="shared" si="578"/>
        <v>2</v>
      </c>
      <c r="O714" s="364">
        <f t="shared" si="578"/>
        <v>1.67</v>
      </c>
      <c r="P714" s="364">
        <f t="shared" si="578"/>
        <v>1.58</v>
      </c>
      <c r="Q714" s="277"/>
      <c r="R714" s="280">
        <f t="shared" si="579"/>
        <v>1832</v>
      </c>
      <c r="S714" s="280">
        <f t="shared" si="580"/>
        <v>104.66593886462883</v>
      </c>
      <c r="T714" s="425">
        <f t="shared" si="581"/>
        <v>15979</v>
      </c>
      <c r="U714" s="284">
        <f t="shared" si="582"/>
        <v>383496</v>
      </c>
      <c r="V714" s="277">
        <v>20</v>
      </c>
      <c r="W714" s="285"/>
      <c r="X714" s="285">
        <f t="shared" si="583"/>
        <v>76699.199999999997</v>
      </c>
      <c r="Y714" s="277">
        <v>8</v>
      </c>
      <c r="Z714" s="285"/>
      <c r="AA714" s="285">
        <f>U714*Y714%</f>
        <v>30679.68</v>
      </c>
      <c r="AB714" s="277"/>
      <c r="AC714" s="277"/>
      <c r="AD714" s="277"/>
      <c r="AE714" s="277"/>
      <c r="AF714" s="277"/>
      <c r="AG714" s="277"/>
      <c r="AH714" s="277"/>
      <c r="AI714" s="277"/>
      <c r="AJ714" s="277"/>
      <c r="AK714" s="277">
        <f>(30+10)/2</f>
        <v>20</v>
      </c>
      <c r="AL714" s="277">
        <f t="shared" si="584"/>
        <v>0</v>
      </c>
      <c r="AM714" s="280">
        <f t="shared" si="585"/>
        <v>76699.200000000012</v>
      </c>
      <c r="AN714" s="277"/>
      <c r="AO714" s="277"/>
      <c r="AP714" s="277"/>
      <c r="AQ714" s="284">
        <f t="shared" si="586"/>
        <v>184078.08000000002</v>
      </c>
      <c r="AR714" s="277">
        <f t="shared" si="572"/>
        <v>20</v>
      </c>
      <c r="AS714" s="277">
        <f t="shared" si="587"/>
        <v>38349.600000000006</v>
      </c>
      <c r="AT714" s="280">
        <f t="shared" si="588"/>
        <v>76699.200000000012</v>
      </c>
      <c r="AU714" s="280">
        <f t="shared" si="588"/>
        <v>2</v>
      </c>
      <c r="AV714" s="277">
        <v>100</v>
      </c>
      <c r="AW714" s="280">
        <f t="shared" si="589"/>
        <v>31958</v>
      </c>
      <c r="AX714" s="277"/>
      <c r="AY714" s="277"/>
      <c r="AZ714" s="280">
        <f t="shared" si="590"/>
        <v>0</v>
      </c>
      <c r="BA714" s="284">
        <f t="shared" si="591"/>
        <v>108657.20000000001</v>
      </c>
      <c r="BB714" s="284">
        <f t="shared" si="592"/>
        <v>338115.64</v>
      </c>
      <c r="BC714" s="284">
        <f t="shared" si="593"/>
        <v>676231.28</v>
      </c>
      <c r="BD714" s="286">
        <f t="shared" si="594"/>
        <v>28176.303333333333</v>
      </c>
      <c r="BE714" s="286"/>
      <c r="BF714" s="251">
        <f t="shared" si="595"/>
        <v>0</v>
      </c>
      <c r="BG714" s="251">
        <f t="shared" si="596"/>
        <v>0</v>
      </c>
      <c r="BH714" s="251">
        <f t="shared" si="597"/>
        <v>0</v>
      </c>
      <c r="BI714" s="251">
        <f t="shared" si="598"/>
        <v>0</v>
      </c>
      <c r="BJ714" s="251">
        <f t="shared" si="599"/>
        <v>676231.28</v>
      </c>
      <c r="BK714" s="251">
        <f t="shared" si="600"/>
        <v>0</v>
      </c>
      <c r="BL714" s="251">
        <f t="shared" si="601"/>
        <v>0</v>
      </c>
      <c r="BM714" s="251">
        <f t="shared" si="602"/>
        <v>0</v>
      </c>
      <c r="BP714" s="474">
        <f t="shared" si="603"/>
        <v>0</v>
      </c>
    </row>
    <row r="715" spans="1:68" x14ac:dyDescent="0.25">
      <c r="A715" s="344"/>
      <c r="B715" s="288" t="s">
        <v>243</v>
      </c>
      <c r="C715" s="364">
        <f t="shared" si="576"/>
        <v>1</v>
      </c>
      <c r="D715" s="279"/>
      <c r="E715" s="279"/>
      <c r="F715" s="328"/>
      <c r="G715" s="328"/>
      <c r="H715" s="279">
        <v>1</v>
      </c>
      <c r="I715" s="328"/>
      <c r="J715" s="328"/>
      <c r="K715" s="279"/>
      <c r="L715" s="277"/>
      <c r="M715" s="280">
        <f t="shared" si="577"/>
        <v>3028</v>
      </c>
      <c r="N715" s="364">
        <f t="shared" si="578"/>
        <v>2</v>
      </c>
      <c r="O715" s="364">
        <f t="shared" si="578"/>
        <v>1.86</v>
      </c>
      <c r="P715" s="364">
        <f t="shared" si="578"/>
        <v>1</v>
      </c>
      <c r="Q715" s="277"/>
      <c r="R715" s="280">
        <f t="shared" si="579"/>
        <v>1832</v>
      </c>
      <c r="S715" s="280">
        <f t="shared" si="580"/>
        <v>73.78165938864629</v>
      </c>
      <c r="T715" s="278">
        <f t="shared" si="581"/>
        <v>11264</v>
      </c>
      <c r="U715" s="284">
        <f t="shared" si="582"/>
        <v>135168</v>
      </c>
      <c r="V715" s="277"/>
      <c r="W715" s="285"/>
      <c r="X715" s="285">
        <f t="shared" si="583"/>
        <v>0</v>
      </c>
      <c r="Y715" s="277"/>
      <c r="Z715" s="277"/>
      <c r="AA715" s="277"/>
      <c r="AB715" s="345"/>
      <c r="AC715" s="345"/>
      <c r="AD715" s="345"/>
      <c r="AE715" s="345"/>
      <c r="AF715" s="345"/>
      <c r="AG715" s="345"/>
      <c r="AH715" s="345"/>
      <c r="AI715" s="345"/>
      <c r="AJ715" s="345"/>
      <c r="AK715" s="277"/>
      <c r="AL715" s="277">
        <f t="shared" si="584"/>
        <v>0</v>
      </c>
      <c r="AM715" s="280">
        <f t="shared" si="585"/>
        <v>0</v>
      </c>
      <c r="AN715" s="277">
        <v>25</v>
      </c>
      <c r="AO715" s="285"/>
      <c r="AP715" s="285">
        <f>U715*AN715%</f>
        <v>33792</v>
      </c>
      <c r="AQ715" s="284">
        <f t="shared" si="586"/>
        <v>33792</v>
      </c>
      <c r="AR715" s="277">
        <f t="shared" si="572"/>
        <v>20</v>
      </c>
      <c r="AS715" s="277">
        <f t="shared" si="587"/>
        <v>27033.599999999999</v>
      </c>
      <c r="AT715" s="280">
        <f t="shared" si="588"/>
        <v>27033.599999999999</v>
      </c>
      <c r="AU715" s="280">
        <f t="shared" si="588"/>
        <v>1</v>
      </c>
      <c r="AV715" s="277">
        <v>100</v>
      </c>
      <c r="AW715" s="280">
        <f t="shared" si="589"/>
        <v>11264</v>
      </c>
      <c r="AX715" s="277"/>
      <c r="AY715" s="277"/>
      <c r="AZ715" s="280">
        <f t="shared" si="590"/>
        <v>0</v>
      </c>
      <c r="BA715" s="284">
        <f t="shared" si="591"/>
        <v>38297.599999999999</v>
      </c>
      <c r="BB715" s="284">
        <f t="shared" si="592"/>
        <v>207257.60000000001</v>
      </c>
      <c r="BC715" s="284">
        <f t="shared" si="593"/>
        <v>207257.60000000001</v>
      </c>
      <c r="BD715" s="286">
        <f t="shared" si="594"/>
        <v>17271.466666666667</v>
      </c>
      <c r="BE715" s="286"/>
      <c r="BF715" s="251">
        <f t="shared" si="595"/>
        <v>0</v>
      </c>
      <c r="BG715" s="251">
        <f t="shared" si="596"/>
        <v>0</v>
      </c>
      <c r="BH715" s="251">
        <f t="shared" si="597"/>
        <v>0</v>
      </c>
      <c r="BI715" s="251">
        <f t="shared" si="598"/>
        <v>0</v>
      </c>
      <c r="BJ715" s="251">
        <f t="shared" si="599"/>
        <v>207257.60000000001</v>
      </c>
      <c r="BK715" s="251">
        <f t="shared" si="600"/>
        <v>0</v>
      </c>
      <c r="BL715" s="251">
        <f t="shared" si="601"/>
        <v>0</v>
      </c>
      <c r="BM715" s="251">
        <f t="shared" si="602"/>
        <v>0</v>
      </c>
      <c r="BP715" s="474">
        <f t="shared" si="603"/>
        <v>0</v>
      </c>
    </row>
    <row r="716" spans="1:68" x14ac:dyDescent="0.25">
      <c r="A716" s="344"/>
      <c r="B716" s="288" t="s">
        <v>243</v>
      </c>
      <c r="C716" s="364">
        <f t="shared" si="576"/>
        <v>1</v>
      </c>
      <c r="D716" s="279"/>
      <c r="E716" s="279"/>
      <c r="F716" s="328"/>
      <c r="G716" s="328"/>
      <c r="H716" s="279">
        <v>1</v>
      </c>
      <c r="I716" s="328"/>
      <c r="J716" s="328"/>
      <c r="K716" s="279"/>
      <c r="L716" s="277"/>
      <c r="M716" s="280">
        <f t="shared" si="577"/>
        <v>3028</v>
      </c>
      <c r="N716" s="364">
        <f t="shared" si="578"/>
        <v>2</v>
      </c>
      <c r="O716" s="364">
        <f t="shared" si="578"/>
        <v>1.8</v>
      </c>
      <c r="P716" s="364">
        <f t="shared" si="578"/>
        <v>1</v>
      </c>
      <c r="Q716" s="277"/>
      <c r="R716" s="280">
        <f t="shared" si="579"/>
        <v>1832</v>
      </c>
      <c r="S716" s="280">
        <f>T716/(R716/12)</f>
        <v>71.403930131004373</v>
      </c>
      <c r="T716" s="278">
        <f>ROUND(M716*N716*O716*P716,0)</f>
        <v>10901</v>
      </c>
      <c r="U716" s="284">
        <f t="shared" si="582"/>
        <v>130812</v>
      </c>
      <c r="V716" s="277"/>
      <c r="W716" s="285"/>
      <c r="X716" s="285">
        <f>U716*V716%</f>
        <v>0</v>
      </c>
      <c r="Y716" s="277"/>
      <c r="Z716" s="277"/>
      <c r="AA716" s="277"/>
      <c r="AB716" s="345"/>
      <c r="AC716" s="345"/>
      <c r="AD716" s="345"/>
      <c r="AE716" s="345"/>
      <c r="AF716" s="345"/>
      <c r="AG716" s="345"/>
      <c r="AH716" s="345"/>
      <c r="AI716" s="345"/>
      <c r="AJ716" s="345"/>
      <c r="AK716" s="277">
        <v>7</v>
      </c>
      <c r="AL716" s="277">
        <f t="shared" si="584"/>
        <v>0</v>
      </c>
      <c r="AM716" s="280">
        <f t="shared" si="585"/>
        <v>9156.84</v>
      </c>
      <c r="AN716" s="277">
        <v>25</v>
      </c>
      <c r="AO716" s="285"/>
      <c r="AP716" s="285">
        <f>U716*AN716%</f>
        <v>32703</v>
      </c>
      <c r="AQ716" s="284">
        <f t="shared" si="586"/>
        <v>41859.839999999997</v>
      </c>
      <c r="AR716" s="277">
        <f t="shared" si="572"/>
        <v>20</v>
      </c>
      <c r="AS716" s="277">
        <f t="shared" si="587"/>
        <v>26162.400000000001</v>
      </c>
      <c r="AT716" s="280">
        <f t="shared" si="588"/>
        <v>26162.400000000001</v>
      </c>
      <c r="AU716" s="280">
        <f t="shared" si="588"/>
        <v>2</v>
      </c>
      <c r="AV716" s="277">
        <v>100</v>
      </c>
      <c r="AW716" s="280">
        <f t="shared" si="589"/>
        <v>10901</v>
      </c>
      <c r="AX716" s="277"/>
      <c r="AY716" s="277"/>
      <c r="AZ716" s="280">
        <f t="shared" si="590"/>
        <v>0</v>
      </c>
      <c r="BA716" s="284">
        <f>AT716+AW716+AZ716</f>
        <v>37063.4</v>
      </c>
      <c r="BB716" s="284">
        <f t="shared" si="592"/>
        <v>209735.24</v>
      </c>
      <c r="BC716" s="284">
        <f t="shared" si="593"/>
        <v>209735.24</v>
      </c>
      <c r="BD716" s="286">
        <f t="shared" si="594"/>
        <v>17477.936666666665</v>
      </c>
      <c r="BE716" s="286"/>
      <c r="BF716" s="251">
        <f t="shared" si="595"/>
        <v>0</v>
      </c>
      <c r="BG716" s="251">
        <f t="shared" si="596"/>
        <v>0</v>
      </c>
      <c r="BH716" s="251">
        <f t="shared" si="597"/>
        <v>0</v>
      </c>
      <c r="BI716" s="251">
        <f t="shared" si="598"/>
        <v>0</v>
      </c>
      <c r="BJ716" s="251">
        <f t="shared" si="599"/>
        <v>209735.24</v>
      </c>
      <c r="BK716" s="251">
        <f t="shared" si="600"/>
        <v>0</v>
      </c>
      <c r="BL716" s="251">
        <f t="shared" si="601"/>
        <v>0</v>
      </c>
      <c r="BM716" s="251">
        <f t="shared" si="602"/>
        <v>0</v>
      </c>
      <c r="BP716" s="474">
        <f t="shared" si="603"/>
        <v>1</v>
      </c>
    </row>
    <row r="717" spans="1:68" x14ac:dyDescent="0.25">
      <c r="A717" s="344"/>
      <c r="B717" s="288" t="s">
        <v>244</v>
      </c>
      <c r="C717" s="364">
        <f t="shared" si="576"/>
        <v>1</v>
      </c>
      <c r="D717" s="279"/>
      <c r="E717" s="279"/>
      <c r="F717" s="328"/>
      <c r="G717" s="328"/>
      <c r="H717" s="279">
        <v>1</v>
      </c>
      <c r="I717" s="328"/>
      <c r="J717" s="328"/>
      <c r="K717" s="279"/>
      <c r="L717" s="277">
        <v>5</v>
      </c>
      <c r="M717" s="280">
        <f t="shared" si="577"/>
        <v>3028</v>
      </c>
      <c r="N717" s="364">
        <f t="shared" si="578"/>
        <v>2</v>
      </c>
      <c r="O717" s="364">
        <f t="shared" si="578"/>
        <v>1.67</v>
      </c>
      <c r="P717" s="364">
        <f t="shared" si="578"/>
        <v>1.58</v>
      </c>
      <c r="Q717" s="277"/>
      <c r="R717" s="280">
        <f t="shared" si="579"/>
        <v>1832</v>
      </c>
      <c r="S717" s="280">
        <f t="shared" si="580"/>
        <v>104.66593886462883</v>
      </c>
      <c r="T717" s="425">
        <f t="shared" si="581"/>
        <v>15979</v>
      </c>
      <c r="U717" s="284">
        <f t="shared" si="582"/>
        <v>191748</v>
      </c>
      <c r="V717" s="277">
        <v>20</v>
      </c>
      <c r="W717" s="285"/>
      <c r="X717" s="285">
        <f t="shared" si="583"/>
        <v>38349.599999999999</v>
      </c>
      <c r="Y717" s="277"/>
      <c r="Z717" s="277"/>
      <c r="AA717" s="277"/>
      <c r="AB717" s="345"/>
      <c r="AC717" s="345"/>
      <c r="AD717" s="345"/>
      <c r="AE717" s="345"/>
      <c r="AF717" s="345"/>
      <c r="AG717" s="345"/>
      <c r="AH717" s="345"/>
      <c r="AI717" s="345"/>
      <c r="AJ717" s="345"/>
      <c r="AK717" s="277">
        <v>15</v>
      </c>
      <c r="AL717" s="277">
        <f t="shared" si="584"/>
        <v>0</v>
      </c>
      <c r="AM717" s="280">
        <f t="shared" si="585"/>
        <v>28762.199999999997</v>
      </c>
      <c r="AN717" s="345"/>
      <c r="AO717" s="345"/>
      <c r="AP717" s="345"/>
      <c r="AQ717" s="284">
        <f t="shared" si="586"/>
        <v>67111.799999999988</v>
      </c>
      <c r="AR717" s="277">
        <f t="shared" si="572"/>
        <v>20</v>
      </c>
      <c r="AS717" s="277">
        <f t="shared" si="587"/>
        <v>38349.600000000006</v>
      </c>
      <c r="AT717" s="280">
        <f t="shared" si="588"/>
        <v>38349.600000000006</v>
      </c>
      <c r="AU717" s="280">
        <f t="shared" si="588"/>
        <v>1</v>
      </c>
      <c r="AV717" s="277">
        <v>100</v>
      </c>
      <c r="AW717" s="280">
        <f t="shared" si="589"/>
        <v>15979</v>
      </c>
      <c r="AX717" s="277"/>
      <c r="AY717" s="277"/>
      <c r="AZ717" s="280">
        <f t="shared" si="590"/>
        <v>0</v>
      </c>
      <c r="BA717" s="284">
        <f t="shared" si="591"/>
        <v>54328.600000000006</v>
      </c>
      <c r="BB717" s="284">
        <f t="shared" si="592"/>
        <v>313188.40000000002</v>
      </c>
      <c r="BC717" s="284">
        <f t="shared" si="593"/>
        <v>313188.40000000002</v>
      </c>
      <c r="BD717" s="286">
        <f t="shared" si="594"/>
        <v>26099.033333333336</v>
      </c>
      <c r="BE717" s="286"/>
      <c r="BF717" s="251">
        <f t="shared" si="595"/>
        <v>0</v>
      </c>
      <c r="BG717" s="251">
        <f t="shared" si="596"/>
        <v>0</v>
      </c>
      <c r="BH717" s="251">
        <f t="shared" si="597"/>
        <v>0</v>
      </c>
      <c r="BI717" s="251">
        <f t="shared" si="598"/>
        <v>0</v>
      </c>
      <c r="BJ717" s="251">
        <f t="shared" si="599"/>
        <v>313188.40000000002</v>
      </c>
      <c r="BK717" s="251">
        <f t="shared" si="600"/>
        <v>0</v>
      </c>
      <c r="BL717" s="251">
        <f t="shared" si="601"/>
        <v>0</v>
      </c>
      <c r="BM717" s="251">
        <f t="shared" si="602"/>
        <v>0</v>
      </c>
      <c r="BP717" s="474">
        <f t="shared" si="603"/>
        <v>0</v>
      </c>
    </row>
    <row r="718" spans="1:68" x14ac:dyDescent="0.25">
      <c r="A718" s="344"/>
      <c r="B718" s="346" t="s">
        <v>245</v>
      </c>
      <c r="C718" s="345"/>
      <c r="D718" s="328"/>
      <c r="E718" s="328"/>
      <c r="F718" s="328"/>
      <c r="G718" s="328"/>
      <c r="H718" s="328"/>
      <c r="I718" s="328"/>
      <c r="J718" s="328"/>
      <c r="K718" s="328"/>
      <c r="L718" s="345"/>
      <c r="M718" s="347"/>
      <c r="N718" s="345"/>
      <c r="O718" s="345"/>
      <c r="P718" s="345"/>
      <c r="Q718" s="345"/>
      <c r="R718" s="347"/>
      <c r="S718" s="347"/>
      <c r="T718" s="345"/>
      <c r="U718" s="348"/>
      <c r="V718" s="345"/>
      <c r="W718" s="345"/>
      <c r="X718" s="345"/>
      <c r="Y718" s="345"/>
      <c r="Z718" s="345"/>
      <c r="AA718" s="345"/>
      <c r="AB718" s="345"/>
      <c r="AC718" s="345"/>
      <c r="AD718" s="345"/>
      <c r="AE718" s="345"/>
      <c r="AF718" s="345"/>
      <c r="AG718" s="345"/>
      <c r="AH718" s="345"/>
      <c r="AI718" s="345"/>
      <c r="AJ718" s="345"/>
      <c r="AK718" s="345"/>
      <c r="AL718" s="345"/>
      <c r="AM718" s="345"/>
      <c r="AN718" s="345"/>
      <c r="AO718" s="345"/>
      <c r="AP718" s="345"/>
      <c r="AQ718" s="284">
        <f t="shared" si="586"/>
        <v>0</v>
      </c>
      <c r="AR718" s="345"/>
      <c r="AS718" s="345"/>
      <c r="AT718" s="347"/>
      <c r="AU718" s="345"/>
      <c r="AV718" s="345"/>
      <c r="AW718" s="345"/>
      <c r="AX718" s="345"/>
      <c r="AY718" s="345"/>
      <c r="AZ718" s="347"/>
      <c r="BA718" s="330"/>
      <c r="BB718" s="330"/>
      <c r="BC718" s="330"/>
      <c r="BD718" s="286"/>
      <c r="BE718" s="286"/>
      <c r="BK718" s="241">
        <f t="shared" si="600"/>
        <v>0</v>
      </c>
      <c r="BL718" s="241">
        <f t="shared" si="601"/>
        <v>0</v>
      </c>
      <c r="BM718" s="241">
        <f t="shared" si="602"/>
        <v>0</v>
      </c>
    </row>
    <row r="719" spans="1:68" s="316" customFormat="1" ht="14.25" x14ac:dyDescent="0.25">
      <c r="A719" s="306"/>
      <c r="B719" s="307" t="s">
        <v>229</v>
      </c>
      <c r="C719" s="308">
        <f>SUM(C710:C717)</f>
        <v>23</v>
      </c>
      <c r="D719" s="309"/>
      <c r="E719" s="309"/>
      <c r="F719" s="309"/>
      <c r="G719" s="309"/>
      <c r="H719" s="309"/>
      <c r="I719" s="309"/>
      <c r="J719" s="309"/>
      <c r="K719" s="309"/>
      <c r="L719" s="309"/>
      <c r="M719" s="310"/>
      <c r="N719" s="309"/>
      <c r="O719" s="309"/>
      <c r="P719" s="309"/>
      <c r="Q719" s="309"/>
      <c r="R719" s="310"/>
      <c r="S719" s="310"/>
      <c r="T719" s="349">
        <f>U719/12</f>
        <v>332468</v>
      </c>
      <c r="U719" s="329">
        <f>SUM(U710:U718)</f>
        <v>3989616</v>
      </c>
      <c r="V719" s="309"/>
      <c r="W719" s="309"/>
      <c r="X719" s="329">
        <f>SUM(X710:X717)</f>
        <v>672480.96</v>
      </c>
      <c r="Y719" s="329"/>
      <c r="Z719" s="329"/>
      <c r="AA719" s="329">
        <f>SUM(AA710:AA717)</f>
        <v>156615.35999999999</v>
      </c>
      <c r="AB719" s="394"/>
      <c r="AC719" s="394"/>
      <c r="AD719" s="394">
        <f>SUM(AD710:AD717)</f>
        <v>76408.857193590855</v>
      </c>
      <c r="AE719" s="329"/>
      <c r="AF719" s="329"/>
      <c r="AG719" s="329">
        <f>SUM(AG710:AG717)</f>
        <v>267431.00017756794</v>
      </c>
      <c r="AH719" s="329"/>
      <c r="AI719" s="329"/>
      <c r="AJ719" s="329">
        <f>SUM(AJ710:AJ717)</f>
        <v>277977.26734240865</v>
      </c>
      <c r="AK719" s="329"/>
      <c r="AL719" s="329"/>
      <c r="AM719" s="329">
        <f>SUM(AM710:AM717)</f>
        <v>220068.47999999998</v>
      </c>
      <c r="AN719" s="329"/>
      <c r="AO719" s="329"/>
      <c r="AP719" s="329">
        <f>SUM(AP710:AP717)</f>
        <v>66495</v>
      </c>
      <c r="AQ719" s="329">
        <f>SUM(AQ710:AQ717)</f>
        <v>1737476.9247135676</v>
      </c>
      <c r="AR719" s="329"/>
      <c r="AS719" s="329">
        <f>SUM(AS710:AS717)</f>
        <v>272272.80000000005</v>
      </c>
      <c r="AT719" s="329">
        <f>SUM(AT710:AT717)</f>
        <v>797923.20000000007</v>
      </c>
      <c r="AU719" s="329">
        <f>SUM(AU710:AU717)</f>
        <v>22</v>
      </c>
      <c r="AV719" s="329"/>
      <c r="AW719" s="329">
        <f>SUM(AW710:AW717)</f>
        <v>305102</v>
      </c>
      <c r="AX719" s="329"/>
      <c r="AY719" s="329">
        <f>SUM(AY710:AY717)</f>
        <v>0</v>
      </c>
      <c r="AZ719" s="329">
        <f>SUM(AZ710:AZ717)</f>
        <v>0</v>
      </c>
      <c r="BA719" s="329">
        <f>SUM(BA710:BA717)</f>
        <v>1103025.2000000002</v>
      </c>
      <c r="BB719" s="329">
        <f>SUM(BB710:BB717)</f>
        <v>2277425.5821702271</v>
      </c>
      <c r="BC719" s="329">
        <f>SUM(BC710:BC717)</f>
        <v>6830118.1247135671</v>
      </c>
      <c r="BD719" s="286">
        <f>BC719/C719/12</f>
        <v>24746.804799686837</v>
      </c>
      <c r="BE719" s="286"/>
      <c r="BF719" s="316">
        <f t="shared" ref="BF719:BM719" si="604">SUM(BF710:BF717)</f>
        <v>0</v>
      </c>
      <c r="BG719" s="316">
        <f t="shared" si="604"/>
        <v>0</v>
      </c>
      <c r="BH719" s="316">
        <f t="shared" si="604"/>
        <v>0</v>
      </c>
      <c r="BI719" s="316">
        <f t="shared" si="604"/>
        <v>0</v>
      </c>
      <c r="BJ719" s="316">
        <f t="shared" si="604"/>
        <v>6830118.1247135671</v>
      </c>
      <c r="BK719" s="316">
        <f t="shared" si="604"/>
        <v>0</v>
      </c>
      <c r="BL719" s="316">
        <f t="shared" si="604"/>
        <v>0</v>
      </c>
      <c r="BM719" s="316">
        <f t="shared" si="604"/>
        <v>0</v>
      </c>
      <c r="BO719" s="315">
        <f>BC719+BC705</f>
        <v>7153722.1247135671</v>
      </c>
    </row>
    <row r="720" spans="1:68" s="287" customFormat="1" ht="20.25" customHeight="1" x14ac:dyDescent="0.25">
      <c r="A720" s="276"/>
      <c r="B720" s="317"/>
      <c r="C720" s="318">
        <f>C719+C705</f>
        <v>24</v>
      </c>
      <c r="D720" s="351"/>
      <c r="E720" s="351"/>
      <c r="F720" s="351"/>
      <c r="G720" s="351"/>
      <c r="H720" s="351"/>
      <c r="I720" s="351"/>
      <c r="J720" s="351"/>
      <c r="K720" s="351"/>
      <c r="L720" s="352"/>
      <c r="M720" s="353"/>
      <c r="N720" s="352"/>
      <c r="O720" s="352"/>
      <c r="P720" s="354"/>
      <c r="Q720" s="352"/>
      <c r="R720" s="353"/>
      <c r="S720" s="353"/>
      <c r="T720" s="355"/>
      <c r="U720" s="476">
        <f t="shared" ref="U720:AJ720" si="605">U604+U499+U391+U283+U175+U67</f>
        <v>3989616</v>
      </c>
      <c r="V720" s="476">
        <f t="shared" si="605"/>
        <v>0</v>
      </c>
      <c r="W720" s="476">
        <f t="shared" si="605"/>
        <v>0</v>
      </c>
      <c r="X720" s="476">
        <f t="shared" si="605"/>
        <v>672480.96000000008</v>
      </c>
      <c r="Y720" s="476">
        <f t="shared" si="605"/>
        <v>0</v>
      </c>
      <c r="Z720" s="476">
        <f t="shared" si="605"/>
        <v>0</v>
      </c>
      <c r="AA720" s="476">
        <f t="shared" si="605"/>
        <v>156615.35999999999</v>
      </c>
      <c r="AB720" s="476">
        <f t="shared" si="605"/>
        <v>0</v>
      </c>
      <c r="AC720" s="476">
        <f t="shared" si="605"/>
        <v>0</v>
      </c>
      <c r="AD720" s="476">
        <f t="shared" si="605"/>
        <v>76408.857193590855</v>
      </c>
      <c r="AE720" s="476">
        <f t="shared" si="605"/>
        <v>0</v>
      </c>
      <c r="AF720" s="476">
        <f t="shared" si="605"/>
        <v>0</v>
      </c>
      <c r="AG720" s="476">
        <f t="shared" si="605"/>
        <v>267431.00017756794</v>
      </c>
      <c r="AH720" s="476">
        <f t="shared" si="605"/>
        <v>0</v>
      </c>
      <c r="AI720" s="476">
        <f t="shared" si="605"/>
        <v>0</v>
      </c>
      <c r="AJ720" s="476">
        <f t="shared" si="605"/>
        <v>277977.26734240865</v>
      </c>
      <c r="AK720" s="356"/>
      <c r="AL720" s="476">
        <f t="shared" ref="AL720:BC720" si="606">AL604+AL499+AL391+AL283+AL175+AL67</f>
        <v>0</v>
      </c>
      <c r="AM720" s="476">
        <f t="shared" si="606"/>
        <v>220068.48000000001</v>
      </c>
      <c r="AN720" s="476">
        <f t="shared" si="606"/>
        <v>0</v>
      </c>
      <c r="AO720" s="476">
        <f t="shared" si="606"/>
        <v>0</v>
      </c>
      <c r="AP720" s="476">
        <f t="shared" si="606"/>
        <v>66495</v>
      </c>
      <c r="AQ720" s="476">
        <f t="shared" si="606"/>
        <v>1737476.9247135674</v>
      </c>
      <c r="AR720" s="476">
        <f t="shared" si="606"/>
        <v>0</v>
      </c>
      <c r="AS720" s="476">
        <f t="shared" si="606"/>
        <v>265732.19999999995</v>
      </c>
      <c r="AT720" s="476">
        <f t="shared" si="606"/>
        <v>797923.2</v>
      </c>
      <c r="AU720" s="476">
        <f t="shared" si="606"/>
        <v>22</v>
      </c>
      <c r="AV720" s="476">
        <f t="shared" si="606"/>
        <v>0</v>
      </c>
      <c r="AW720" s="476">
        <f t="shared" si="606"/>
        <v>305102</v>
      </c>
      <c r="AX720" s="476">
        <f t="shared" si="606"/>
        <v>0</v>
      </c>
      <c r="AY720" s="476">
        <f t="shared" si="606"/>
        <v>0</v>
      </c>
      <c r="AZ720" s="476">
        <f t="shared" si="606"/>
        <v>0</v>
      </c>
      <c r="BA720" s="476">
        <f t="shared" si="606"/>
        <v>1103025.2000000002</v>
      </c>
      <c r="BB720" s="476">
        <f t="shared" si="606"/>
        <v>2277425.5821702271</v>
      </c>
      <c r="BC720" s="476">
        <f t="shared" si="606"/>
        <v>6830118.1247135662</v>
      </c>
      <c r="BD720" s="286">
        <f>BC67+BC283+BC391+BC604</f>
        <v>5683299.6097435076</v>
      </c>
      <c r="BE720" s="286">
        <f>BC719+BC708</f>
        <v>8896527.4847135674</v>
      </c>
      <c r="BF720" s="323">
        <f>BD720+BE720</f>
        <v>14579827.094457075</v>
      </c>
      <c r="BG720" s="323">
        <f>BC719-BD720</f>
        <v>1146818.5149700595</v>
      </c>
    </row>
    <row r="721" spans="1:68" s="287" customFormat="1" x14ac:dyDescent="0.25">
      <c r="A721" s="270"/>
      <c r="B721" s="334" t="s">
        <v>246</v>
      </c>
      <c r="C721" s="335"/>
      <c r="D721" s="335"/>
      <c r="E721" s="335"/>
      <c r="F721" s="335"/>
      <c r="G721" s="335"/>
      <c r="H721" s="335"/>
      <c r="I721" s="335"/>
      <c r="J721" s="335"/>
      <c r="K721" s="335"/>
      <c r="L721" s="335"/>
      <c r="M721" s="335"/>
      <c r="N721" s="335"/>
      <c r="O721" s="335"/>
      <c r="P721" s="335"/>
      <c r="Q721" s="335"/>
      <c r="R721" s="335"/>
      <c r="S721" s="335"/>
      <c r="T721" s="335"/>
      <c r="U721" s="335"/>
      <c r="V721" s="335"/>
      <c r="W721" s="335"/>
      <c r="X721" s="335"/>
      <c r="Y721" s="335"/>
      <c r="Z721" s="335"/>
      <c r="AA721" s="335"/>
      <c r="AB721" s="335"/>
      <c r="AC721" s="335"/>
      <c r="AD721" s="335"/>
      <c r="AE721" s="335"/>
      <c r="AF721" s="335"/>
      <c r="AG721" s="335"/>
      <c r="AH721" s="335"/>
      <c r="AI721" s="335"/>
      <c r="AJ721" s="335"/>
      <c r="AK721" s="335"/>
      <c r="AL721" s="335"/>
      <c r="AM721" s="335"/>
      <c r="AN721" s="335"/>
      <c r="AO721" s="335"/>
      <c r="AP721" s="335"/>
      <c r="AQ721" s="335"/>
      <c r="AR721" s="335"/>
      <c r="AS721" s="335"/>
      <c r="AT721" s="335"/>
      <c r="AU721" s="335"/>
      <c r="AV721" s="335"/>
      <c r="AW721" s="335"/>
      <c r="AX721" s="335"/>
      <c r="AY721" s="335"/>
      <c r="AZ721" s="335"/>
      <c r="BA721" s="335"/>
      <c r="BB721" s="335"/>
      <c r="BC721" s="362"/>
      <c r="BD721" s="286">
        <f>BC730+BC737</f>
        <v>5584880.6323234923</v>
      </c>
      <c r="BE721" s="286"/>
      <c r="BF721" s="338" t="e">
        <f>BC728-#REF!</f>
        <v>#REF!</v>
      </c>
    </row>
    <row r="722" spans="1:68" s="275" customFormat="1" x14ac:dyDescent="0.25">
      <c r="A722" s="270"/>
      <c r="B722" s="361" t="s">
        <v>247</v>
      </c>
      <c r="C722" s="335"/>
      <c r="D722" s="335"/>
      <c r="E722" s="335"/>
      <c r="F722" s="335"/>
      <c r="G722" s="335"/>
      <c r="H722" s="335"/>
      <c r="I722" s="335"/>
      <c r="J722" s="335"/>
      <c r="K722" s="335"/>
      <c r="L722" s="335"/>
      <c r="M722" s="335"/>
      <c r="N722" s="335"/>
      <c r="O722" s="335"/>
      <c r="P722" s="335"/>
      <c r="Q722" s="335"/>
      <c r="R722" s="335"/>
      <c r="S722" s="335"/>
      <c r="T722" s="335"/>
      <c r="U722" s="335"/>
      <c r="V722" s="335"/>
      <c r="W722" s="335"/>
      <c r="X722" s="335"/>
      <c r="Y722" s="335"/>
      <c r="Z722" s="335"/>
      <c r="AA722" s="335"/>
      <c r="AB722" s="335"/>
      <c r="AC722" s="335"/>
      <c r="AD722" s="335"/>
      <c r="AE722" s="335"/>
      <c r="AF722" s="335"/>
      <c r="AG722" s="335"/>
      <c r="AH722" s="335"/>
      <c r="AI722" s="335"/>
      <c r="AJ722" s="335"/>
      <c r="AK722" s="335"/>
      <c r="AL722" s="335"/>
      <c r="AM722" s="335"/>
      <c r="AN722" s="335"/>
      <c r="AO722" s="335"/>
      <c r="AP722" s="335"/>
      <c r="AQ722" s="335"/>
      <c r="AR722" s="335"/>
      <c r="AS722" s="335"/>
      <c r="AT722" s="335"/>
      <c r="AU722" s="335"/>
      <c r="AV722" s="335"/>
      <c r="AW722" s="335"/>
      <c r="AX722" s="335"/>
      <c r="AY722" s="335"/>
      <c r="AZ722" s="335"/>
      <c r="BA722" s="335"/>
      <c r="BB722" s="335"/>
      <c r="BC722" s="362"/>
      <c r="BD722" s="286"/>
      <c r="BE722" s="286"/>
    </row>
    <row r="723" spans="1:68" s="287" customFormat="1" ht="14.25" x14ac:dyDescent="0.25">
      <c r="A723" s="276"/>
      <c r="B723" s="277" t="s">
        <v>248</v>
      </c>
      <c r="C723" s="364">
        <f t="shared" ref="C723:C728" si="607">(C71*3+C179*1+C287*2+C395*4+C503+C608)/12</f>
        <v>4</v>
      </c>
      <c r="D723" s="279"/>
      <c r="E723" s="279"/>
      <c r="F723" s="279"/>
      <c r="G723" s="279"/>
      <c r="H723" s="279">
        <v>1</v>
      </c>
      <c r="I723" s="279"/>
      <c r="J723" s="279"/>
      <c r="K723" s="279"/>
      <c r="L723" s="277">
        <v>3</v>
      </c>
      <c r="M723" s="280">
        <f t="shared" ref="M723:M728" si="608">(M71*3+M179*1+M287*2+M395*4+M503+M608)/12</f>
        <v>3028</v>
      </c>
      <c r="N723" s="364">
        <f t="shared" ref="N723:P728" si="609">(N71*6+N287*1+N395*4+N608)/12</f>
        <v>2</v>
      </c>
      <c r="O723" s="364">
        <f t="shared" si="609"/>
        <v>1.25</v>
      </c>
      <c r="P723" s="364">
        <f t="shared" si="609"/>
        <v>1.58</v>
      </c>
      <c r="Q723" s="277"/>
      <c r="R723" s="280">
        <f t="shared" ref="R723:R728" si="610">(R71+R287+R395+R608)</f>
        <v>1832</v>
      </c>
      <c r="S723" s="280">
        <f t="shared" ref="S723:S728" si="611">T723/(R723/12)</f>
        <v>78.3471615720524</v>
      </c>
      <c r="T723" s="425">
        <f t="shared" ref="T723:T728" si="612">ROUND(M723*N723*O723*P723,0)</f>
        <v>11961</v>
      </c>
      <c r="U723" s="284">
        <f t="shared" ref="U723:U728" si="613">U71+U179+U287+U395+U503+U608</f>
        <v>574128</v>
      </c>
      <c r="V723" s="277">
        <v>12</v>
      </c>
      <c r="W723" s="285"/>
      <c r="X723" s="285">
        <f t="shared" ref="X723:X728" si="614">U723*V723%</f>
        <v>68895.360000000001</v>
      </c>
      <c r="Y723" s="277"/>
      <c r="Z723" s="277"/>
      <c r="AA723" s="277"/>
      <c r="AB723" s="277">
        <v>20</v>
      </c>
      <c r="AC723" s="277"/>
      <c r="AD723" s="340">
        <f>SUM([3]ночн.празд!D15)</f>
        <v>21084.931154517017</v>
      </c>
      <c r="AE723" s="341">
        <v>35</v>
      </c>
      <c r="AF723" s="340"/>
      <c r="AG723" s="340">
        <f>SUM([3]ночн.празд!E15:E15)</f>
        <v>73797.259040809542</v>
      </c>
      <c r="AH723" s="341">
        <v>100</v>
      </c>
      <c r="AI723" s="340"/>
      <c r="AJ723" s="340">
        <f>SUM([3]ночн.празд!B15:C15)</f>
        <v>88375.100579170728</v>
      </c>
      <c r="AK723" s="277">
        <f>(30+25+10+20)/4</f>
        <v>21.25</v>
      </c>
      <c r="AL723" s="277">
        <f t="shared" ref="AL723:AL728" si="615">(AL71*3+AL287*3+AL395*4+AL503+AL608)/12</f>
        <v>0</v>
      </c>
      <c r="AM723" s="280">
        <f t="shared" ref="AM723:AM728" si="616">AM71+AM179+AM287+AM395+AM503+AM608</f>
        <v>122002.20000000001</v>
      </c>
      <c r="AN723" s="277"/>
      <c r="AO723" s="277"/>
      <c r="AP723" s="285"/>
      <c r="AQ723" s="284">
        <f t="shared" ref="AQ723:AQ729" si="617">X723+AA723+AD723+AG723+AJ723+AM723+AP723</f>
        <v>374154.85077449732</v>
      </c>
      <c r="AR723" s="277">
        <f t="shared" ref="AR723:AR728" si="618">AR$29</f>
        <v>20</v>
      </c>
      <c r="AS723" s="285">
        <f t="shared" ref="AS723:AS728" si="619">AT723/C723</f>
        <v>28706.400000000001</v>
      </c>
      <c r="AT723" s="280">
        <f t="shared" ref="AT723:AU728" si="620">AT71+AT179+AT287+AT395+AT503+AT608</f>
        <v>114825.60000000001</v>
      </c>
      <c r="AU723" s="280">
        <f t="shared" si="620"/>
        <v>4</v>
      </c>
      <c r="AV723" s="277">
        <v>100</v>
      </c>
      <c r="AW723" s="280">
        <f t="shared" ref="AW723:AW728" si="621">AW71+AW179+AW287+AW395+AW503+AW608</f>
        <v>47844</v>
      </c>
      <c r="AX723" s="277"/>
      <c r="AY723" s="277"/>
      <c r="AZ723" s="280">
        <f t="shared" ref="AZ723:AZ728" si="622">AZ71+AZ287+AZ395+AZ503+AZ608</f>
        <v>0</v>
      </c>
      <c r="BA723" s="284">
        <f t="shared" ref="BA723:BA728" si="623">AT723+AW723+AZ723</f>
        <v>162669.6</v>
      </c>
      <c r="BB723" s="363">
        <f t="shared" ref="BB723:BB728" si="624">BC723/C723</f>
        <v>277738.11269362434</v>
      </c>
      <c r="BC723" s="284">
        <f t="shared" ref="BC723:BC728" si="625">BA723+AQ723+U723</f>
        <v>1110952.4507744974</v>
      </c>
      <c r="BD723" s="286">
        <f t="shared" ref="BD723:BD728" si="626">BC723/C723/12</f>
        <v>23144.842724468694</v>
      </c>
      <c r="BE723" s="286"/>
      <c r="BP723" s="474">
        <f t="shared" ref="BP723:BP728" si="627">AU723-C723</f>
        <v>0</v>
      </c>
    </row>
    <row r="724" spans="1:68" s="377" customFormat="1" x14ac:dyDescent="0.25">
      <c r="A724" s="375"/>
      <c r="B724" s="290" t="s">
        <v>249</v>
      </c>
      <c r="C724" s="364">
        <f t="shared" si="607"/>
        <v>1</v>
      </c>
      <c r="D724" s="292"/>
      <c r="E724" s="292"/>
      <c r="F724" s="292"/>
      <c r="G724" s="292"/>
      <c r="H724" s="292">
        <v>1</v>
      </c>
      <c r="I724" s="292"/>
      <c r="J724" s="292"/>
      <c r="K724" s="292"/>
      <c r="L724" s="293">
        <v>4</v>
      </c>
      <c r="M724" s="280">
        <f t="shared" si="608"/>
        <v>3028</v>
      </c>
      <c r="N724" s="475">
        <f t="shared" si="609"/>
        <v>2</v>
      </c>
      <c r="O724" s="475">
        <f t="shared" si="609"/>
        <v>1.43</v>
      </c>
      <c r="P724" s="475">
        <f t="shared" si="609"/>
        <v>1.58</v>
      </c>
      <c r="Q724" s="293"/>
      <c r="R724" s="294">
        <f t="shared" si="610"/>
        <v>1832</v>
      </c>
      <c r="S724" s="294">
        <f t="shared" si="611"/>
        <v>89.626637554585159</v>
      </c>
      <c r="T724" s="291">
        <f t="shared" si="612"/>
        <v>13683</v>
      </c>
      <c r="U724" s="284">
        <f t="shared" si="613"/>
        <v>164196</v>
      </c>
      <c r="V724" s="293">
        <v>16</v>
      </c>
      <c r="W724" s="298"/>
      <c r="X724" s="298">
        <f t="shared" si="614"/>
        <v>26271.360000000001</v>
      </c>
      <c r="Y724" s="277">
        <v>4</v>
      </c>
      <c r="Z724" s="285"/>
      <c r="AA724" s="285">
        <f>U724*Y724%</f>
        <v>6567.84</v>
      </c>
      <c r="AB724" s="293">
        <v>20</v>
      </c>
      <c r="AC724" s="293"/>
      <c r="AD724" s="298"/>
      <c r="AE724" s="293"/>
      <c r="AF724" s="298"/>
      <c r="AG724" s="298"/>
      <c r="AH724" s="293"/>
      <c r="AI724" s="298"/>
      <c r="AJ724" s="298"/>
      <c r="AK724" s="293"/>
      <c r="AL724" s="293">
        <f t="shared" si="615"/>
        <v>0</v>
      </c>
      <c r="AM724" s="280">
        <f t="shared" si="616"/>
        <v>0</v>
      </c>
      <c r="AN724" s="293"/>
      <c r="AO724" s="293"/>
      <c r="AP724" s="298"/>
      <c r="AQ724" s="297">
        <f>X724+AA724+AD724+AG724+AJ724+AM724+AP724</f>
        <v>32839.199999999997</v>
      </c>
      <c r="AR724" s="293">
        <f t="shared" si="618"/>
        <v>20</v>
      </c>
      <c r="AS724" s="293">
        <f t="shared" si="619"/>
        <v>32839.200000000004</v>
      </c>
      <c r="AT724" s="280">
        <f t="shared" si="620"/>
        <v>32839.200000000004</v>
      </c>
      <c r="AU724" s="280">
        <f t="shared" si="620"/>
        <v>1</v>
      </c>
      <c r="AV724" s="293">
        <v>100</v>
      </c>
      <c r="AW724" s="280">
        <f t="shared" si="621"/>
        <v>13683</v>
      </c>
      <c r="AX724" s="293"/>
      <c r="AY724" s="293"/>
      <c r="AZ724" s="294">
        <f t="shared" si="622"/>
        <v>0</v>
      </c>
      <c r="BA724" s="297">
        <f t="shared" si="623"/>
        <v>46522.200000000004</v>
      </c>
      <c r="BB724" s="297">
        <f t="shared" si="624"/>
        <v>243557.4</v>
      </c>
      <c r="BC724" s="297">
        <f t="shared" si="625"/>
        <v>243557.4</v>
      </c>
      <c r="BD724" s="299">
        <f t="shared" si="626"/>
        <v>20296.45</v>
      </c>
      <c r="BE724" s="299"/>
      <c r="BP724" s="474">
        <f t="shared" si="627"/>
        <v>0</v>
      </c>
    </row>
    <row r="725" spans="1:68" s="287" customFormat="1" ht="42.75" x14ac:dyDescent="0.25">
      <c r="A725" s="276"/>
      <c r="B725" s="277" t="s">
        <v>250</v>
      </c>
      <c r="C725" s="364">
        <f t="shared" si="607"/>
        <v>1</v>
      </c>
      <c r="D725" s="279"/>
      <c r="E725" s="279"/>
      <c r="F725" s="279"/>
      <c r="G725" s="279"/>
      <c r="H725" s="279">
        <v>1</v>
      </c>
      <c r="I725" s="279"/>
      <c r="J725" s="279"/>
      <c r="K725" s="279"/>
      <c r="L725" s="277">
        <v>5</v>
      </c>
      <c r="M725" s="280">
        <f t="shared" si="608"/>
        <v>3028</v>
      </c>
      <c r="N725" s="364">
        <f t="shared" si="609"/>
        <v>2</v>
      </c>
      <c r="O725" s="364">
        <f t="shared" si="609"/>
        <v>1.67</v>
      </c>
      <c r="P725" s="364">
        <f t="shared" si="609"/>
        <v>1.58</v>
      </c>
      <c r="Q725" s="277"/>
      <c r="R725" s="280">
        <f t="shared" si="610"/>
        <v>1832</v>
      </c>
      <c r="S725" s="280">
        <f t="shared" si="611"/>
        <v>104.66593886462883</v>
      </c>
      <c r="T725" s="425">
        <f t="shared" si="612"/>
        <v>15979</v>
      </c>
      <c r="U725" s="284">
        <f t="shared" si="613"/>
        <v>191748</v>
      </c>
      <c r="V725" s="277">
        <v>20</v>
      </c>
      <c r="W725" s="285"/>
      <c r="X725" s="285">
        <f t="shared" si="614"/>
        <v>38349.599999999999</v>
      </c>
      <c r="Y725" s="277"/>
      <c r="Z725" s="277"/>
      <c r="AA725" s="277"/>
      <c r="AB725" s="277"/>
      <c r="AC725" s="277"/>
      <c r="AD725" s="277"/>
      <c r="AE725" s="277"/>
      <c r="AF725" s="277"/>
      <c r="AG725" s="277"/>
      <c r="AH725" s="277"/>
      <c r="AI725" s="277"/>
      <c r="AJ725" s="277"/>
      <c r="AK725" s="277">
        <v>15</v>
      </c>
      <c r="AL725" s="277">
        <f t="shared" si="615"/>
        <v>0</v>
      </c>
      <c r="AM725" s="280">
        <f t="shared" si="616"/>
        <v>28762.199999999997</v>
      </c>
      <c r="AN725" s="277"/>
      <c r="AO725" s="277"/>
      <c r="AP725" s="277"/>
      <c r="AQ725" s="284">
        <f t="shared" si="617"/>
        <v>67111.799999999988</v>
      </c>
      <c r="AR725" s="277">
        <f t="shared" si="618"/>
        <v>20</v>
      </c>
      <c r="AS725" s="285">
        <f t="shared" si="619"/>
        <v>38349.600000000006</v>
      </c>
      <c r="AT725" s="280">
        <f t="shared" si="620"/>
        <v>38349.600000000006</v>
      </c>
      <c r="AU725" s="280">
        <f t="shared" si="620"/>
        <v>1</v>
      </c>
      <c r="AV725" s="277">
        <v>100</v>
      </c>
      <c r="AW725" s="280">
        <f t="shared" si="621"/>
        <v>15979</v>
      </c>
      <c r="AX725" s="277"/>
      <c r="AY725" s="277"/>
      <c r="AZ725" s="280">
        <f t="shared" si="622"/>
        <v>0</v>
      </c>
      <c r="BA725" s="284">
        <f t="shared" si="623"/>
        <v>54328.600000000006</v>
      </c>
      <c r="BB725" s="363">
        <f t="shared" si="624"/>
        <v>313188.40000000002</v>
      </c>
      <c r="BC725" s="284">
        <f t="shared" si="625"/>
        <v>313188.40000000002</v>
      </c>
      <c r="BD725" s="286">
        <f t="shared" si="626"/>
        <v>26099.033333333336</v>
      </c>
      <c r="BE725" s="286"/>
      <c r="BP725" s="474">
        <f t="shared" si="627"/>
        <v>0</v>
      </c>
    </row>
    <row r="726" spans="1:68" s="287" customFormat="1" ht="28.5" x14ac:dyDescent="0.25">
      <c r="A726" s="276"/>
      <c r="B726" s="277" t="s">
        <v>292</v>
      </c>
      <c r="C726" s="364">
        <f t="shared" si="607"/>
        <v>1</v>
      </c>
      <c r="D726" s="279"/>
      <c r="E726" s="279"/>
      <c r="F726" s="279"/>
      <c r="G726" s="279"/>
      <c r="H726" s="279">
        <v>1</v>
      </c>
      <c r="I726" s="279"/>
      <c r="J726" s="279"/>
      <c r="K726" s="279"/>
      <c r="L726" s="277">
        <v>5</v>
      </c>
      <c r="M726" s="280">
        <f t="shared" si="608"/>
        <v>3028</v>
      </c>
      <c r="N726" s="364">
        <f t="shared" si="609"/>
        <v>2</v>
      </c>
      <c r="O726" s="364">
        <f t="shared" si="609"/>
        <v>1.67</v>
      </c>
      <c r="P726" s="364">
        <f t="shared" si="609"/>
        <v>1.58</v>
      </c>
      <c r="Q726" s="277"/>
      <c r="R726" s="280">
        <f t="shared" si="610"/>
        <v>1337</v>
      </c>
      <c r="S726" s="280">
        <f t="shared" si="611"/>
        <v>143.4166043380703</v>
      </c>
      <c r="T726" s="425">
        <f t="shared" si="612"/>
        <v>15979</v>
      </c>
      <c r="U726" s="284">
        <f t="shared" si="613"/>
        <v>191748</v>
      </c>
      <c r="V726" s="277">
        <v>20</v>
      </c>
      <c r="W726" s="285"/>
      <c r="X726" s="285">
        <f t="shared" si="614"/>
        <v>38349.599999999999</v>
      </c>
      <c r="Y726" s="277"/>
      <c r="Z726" s="277"/>
      <c r="AA726" s="285"/>
      <c r="AB726" s="277"/>
      <c r="AC726" s="277"/>
      <c r="AD726" s="277"/>
      <c r="AE726" s="277"/>
      <c r="AF726" s="277"/>
      <c r="AG726" s="277"/>
      <c r="AH726" s="277"/>
      <c r="AI726" s="277"/>
      <c r="AJ726" s="277"/>
      <c r="AK726" s="277">
        <v>0</v>
      </c>
      <c r="AL726" s="277">
        <f t="shared" si="615"/>
        <v>0</v>
      </c>
      <c r="AM726" s="280">
        <f t="shared" si="616"/>
        <v>0</v>
      </c>
      <c r="AN726" s="277"/>
      <c r="AO726" s="277"/>
      <c r="AP726" s="277"/>
      <c r="AQ726" s="284">
        <f t="shared" si="617"/>
        <v>38349.599999999999</v>
      </c>
      <c r="AR726" s="277">
        <f t="shared" si="618"/>
        <v>20</v>
      </c>
      <c r="AS726" s="285">
        <f t="shared" si="619"/>
        <v>38349.600000000006</v>
      </c>
      <c r="AT726" s="280">
        <f t="shared" si="620"/>
        <v>38349.600000000006</v>
      </c>
      <c r="AU726" s="280">
        <f t="shared" si="620"/>
        <v>1</v>
      </c>
      <c r="AV726" s="277">
        <v>100</v>
      </c>
      <c r="AW726" s="280">
        <f t="shared" si="621"/>
        <v>15979</v>
      </c>
      <c r="AX726" s="277"/>
      <c r="AY726" s="277"/>
      <c r="AZ726" s="280">
        <f t="shared" si="622"/>
        <v>0</v>
      </c>
      <c r="BA726" s="284">
        <f t="shared" si="623"/>
        <v>54328.600000000006</v>
      </c>
      <c r="BB726" s="363">
        <f t="shared" si="624"/>
        <v>284426.2</v>
      </c>
      <c r="BC726" s="284">
        <f t="shared" si="625"/>
        <v>284426.2</v>
      </c>
      <c r="BD726" s="286">
        <f t="shared" si="626"/>
        <v>23702.183333333334</v>
      </c>
      <c r="BE726" s="286"/>
      <c r="BP726" s="474">
        <f t="shared" si="627"/>
        <v>0</v>
      </c>
    </row>
    <row r="727" spans="1:68" s="287" customFormat="1" ht="14.25" x14ac:dyDescent="0.25">
      <c r="A727" s="276"/>
      <c r="B727" s="277" t="s">
        <v>252</v>
      </c>
      <c r="C727" s="364">
        <f t="shared" si="607"/>
        <v>1</v>
      </c>
      <c r="D727" s="279"/>
      <c r="E727" s="279"/>
      <c r="F727" s="279"/>
      <c r="G727" s="279"/>
      <c r="H727" s="279">
        <v>1</v>
      </c>
      <c r="I727" s="279"/>
      <c r="J727" s="279"/>
      <c r="K727" s="279"/>
      <c r="L727" s="277">
        <v>3</v>
      </c>
      <c r="M727" s="280">
        <f t="shared" si="608"/>
        <v>3028</v>
      </c>
      <c r="N727" s="364">
        <f t="shared" si="609"/>
        <v>2</v>
      </c>
      <c r="O727" s="364">
        <f t="shared" si="609"/>
        <v>1.25</v>
      </c>
      <c r="P727" s="364">
        <f t="shared" si="609"/>
        <v>1.58</v>
      </c>
      <c r="Q727" s="277"/>
      <c r="R727" s="280">
        <f t="shared" si="610"/>
        <v>1832</v>
      </c>
      <c r="S727" s="280">
        <f t="shared" si="611"/>
        <v>78.3471615720524</v>
      </c>
      <c r="T727" s="425">
        <f t="shared" si="612"/>
        <v>11961</v>
      </c>
      <c r="U727" s="284">
        <f t="shared" si="613"/>
        <v>143532</v>
      </c>
      <c r="V727" s="277">
        <v>12</v>
      </c>
      <c r="W727" s="285"/>
      <c r="X727" s="285">
        <f t="shared" si="614"/>
        <v>17223.84</v>
      </c>
      <c r="Y727" s="277">
        <v>4</v>
      </c>
      <c r="Z727" s="285"/>
      <c r="AA727" s="285">
        <f>U727*Y727%</f>
        <v>5741.28</v>
      </c>
      <c r="AB727" s="277"/>
      <c r="AC727" s="277"/>
      <c r="AD727" s="277"/>
      <c r="AE727" s="277"/>
      <c r="AF727" s="277"/>
      <c r="AG727" s="277"/>
      <c r="AH727" s="277"/>
      <c r="AI727" s="277"/>
      <c r="AJ727" s="277"/>
      <c r="AK727" s="277"/>
      <c r="AL727" s="277">
        <f t="shared" si="615"/>
        <v>0</v>
      </c>
      <c r="AM727" s="280">
        <f t="shared" si="616"/>
        <v>0</v>
      </c>
      <c r="AN727" s="277"/>
      <c r="AO727" s="277"/>
      <c r="AP727" s="277"/>
      <c r="AQ727" s="284">
        <f t="shared" si="617"/>
        <v>22965.119999999999</v>
      </c>
      <c r="AR727" s="277">
        <f t="shared" si="618"/>
        <v>20</v>
      </c>
      <c r="AS727" s="285">
        <f t="shared" si="619"/>
        <v>28706.400000000001</v>
      </c>
      <c r="AT727" s="280">
        <f t="shared" si="620"/>
        <v>28706.400000000001</v>
      </c>
      <c r="AU727" s="280">
        <f t="shared" si="620"/>
        <v>1</v>
      </c>
      <c r="AV727" s="277">
        <v>100</v>
      </c>
      <c r="AW727" s="280">
        <f t="shared" si="621"/>
        <v>11961</v>
      </c>
      <c r="AX727" s="277"/>
      <c r="AY727" s="277"/>
      <c r="AZ727" s="280">
        <f t="shared" si="622"/>
        <v>0</v>
      </c>
      <c r="BA727" s="284">
        <f t="shared" si="623"/>
        <v>40667.4</v>
      </c>
      <c r="BB727" s="363">
        <f t="shared" si="624"/>
        <v>207164.52000000002</v>
      </c>
      <c r="BC727" s="284">
        <f t="shared" si="625"/>
        <v>207164.52000000002</v>
      </c>
      <c r="BD727" s="286">
        <f t="shared" si="626"/>
        <v>17263.710000000003</v>
      </c>
      <c r="BE727" s="286"/>
      <c r="BP727" s="474">
        <f t="shared" si="627"/>
        <v>0</v>
      </c>
    </row>
    <row r="728" spans="1:68" s="287" customFormat="1" ht="14.25" x14ac:dyDescent="0.25">
      <c r="A728" s="276"/>
      <c r="B728" s="277" t="s">
        <v>253</v>
      </c>
      <c r="C728" s="364">
        <f t="shared" si="607"/>
        <v>2</v>
      </c>
      <c r="D728" s="279"/>
      <c r="E728" s="279"/>
      <c r="F728" s="279"/>
      <c r="G728" s="279"/>
      <c r="H728" s="279">
        <v>1</v>
      </c>
      <c r="I728" s="279"/>
      <c r="J728" s="279"/>
      <c r="K728" s="279"/>
      <c r="L728" s="366"/>
      <c r="M728" s="280">
        <f t="shared" si="608"/>
        <v>3028</v>
      </c>
      <c r="N728" s="364">
        <f t="shared" si="609"/>
        <v>2</v>
      </c>
      <c r="O728" s="364">
        <f t="shared" si="609"/>
        <v>1.32</v>
      </c>
      <c r="P728" s="364">
        <f t="shared" si="609"/>
        <v>1</v>
      </c>
      <c r="Q728" s="366"/>
      <c r="R728" s="280">
        <f t="shared" si="610"/>
        <v>1832</v>
      </c>
      <c r="S728" s="280">
        <f t="shared" si="611"/>
        <v>52.362445414847166</v>
      </c>
      <c r="T728" s="368">
        <f t="shared" si="612"/>
        <v>7994</v>
      </c>
      <c r="U728" s="284">
        <f t="shared" si="613"/>
        <v>191856</v>
      </c>
      <c r="V728" s="366">
        <v>0</v>
      </c>
      <c r="W728" s="285"/>
      <c r="X728" s="369">
        <f t="shared" si="614"/>
        <v>0</v>
      </c>
      <c r="Y728" s="366"/>
      <c r="Z728" s="366"/>
      <c r="AA728" s="366"/>
      <c r="AB728" s="366"/>
      <c r="AC728" s="366"/>
      <c r="AD728" s="366"/>
      <c r="AE728" s="366"/>
      <c r="AF728" s="366"/>
      <c r="AG728" s="366"/>
      <c r="AH728" s="366"/>
      <c r="AI728" s="366"/>
      <c r="AJ728" s="366"/>
      <c r="AK728" s="366"/>
      <c r="AL728" s="277">
        <f t="shared" si="615"/>
        <v>0</v>
      </c>
      <c r="AM728" s="280">
        <f t="shared" si="616"/>
        <v>0</v>
      </c>
      <c r="AN728" s="366"/>
      <c r="AO728" s="366"/>
      <c r="AP728" s="366"/>
      <c r="AQ728" s="284">
        <f t="shared" si="617"/>
        <v>0</v>
      </c>
      <c r="AR728" s="277">
        <f t="shared" si="618"/>
        <v>20</v>
      </c>
      <c r="AS728" s="285">
        <f t="shared" si="619"/>
        <v>19185.600000000002</v>
      </c>
      <c r="AT728" s="280">
        <f t="shared" si="620"/>
        <v>38371.200000000004</v>
      </c>
      <c r="AU728" s="280">
        <f t="shared" si="620"/>
        <v>1</v>
      </c>
      <c r="AV728" s="277">
        <v>100</v>
      </c>
      <c r="AW728" s="280">
        <f t="shared" si="621"/>
        <v>7994</v>
      </c>
      <c r="AX728" s="277"/>
      <c r="AY728" s="277"/>
      <c r="AZ728" s="280">
        <f t="shared" si="622"/>
        <v>0</v>
      </c>
      <c r="BA728" s="284">
        <f t="shared" si="623"/>
        <v>46365.200000000004</v>
      </c>
      <c r="BB728" s="363">
        <f t="shared" si="624"/>
        <v>119110.6</v>
      </c>
      <c r="BC728" s="284">
        <f t="shared" si="625"/>
        <v>238221.2</v>
      </c>
      <c r="BD728" s="286">
        <f t="shared" si="626"/>
        <v>9925.8833333333332</v>
      </c>
      <c r="BE728" s="286"/>
      <c r="BP728" s="474">
        <f t="shared" si="627"/>
        <v>-1</v>
      </c>
    </row>
    <row r="729" spans="1:68" s="287" customFormat="1" ht="25.5" customHeight="1" x14ac:dyDescent="0.25">
      <c r="A729" s="276"/>
      <c r="B729" s="277"/>
      <c r="C729" s="425"/>
      <c r="D729" s="279"/>
      <c r="E729" s="279"/>
      <c r="F729" s="279"/>
      <c r="G729" s="279"/>
      <c r="H729" s="279"/>
      <c r="I729" s="279"/>
      <c r="J729" s="279"/>
      <c r="K729" s="279"/>
      <c r="L729" s="277"/>
      <c r="M729" s="283"/>
      <c r="N729" s="277"/>
      <c r="O729" s="277"/>
      <c r="P729" s="277"/>
      <c r="Q729" s="277"/>
      <c r="R729" s="283"/>
      <c r="S729" s="283"/>
      <c r="T729" s="425"/>
      <c r="U729" s="307"/>
      <c r="V729" s="277"/>
      <c r="W729" s="277"/>
      <c r="X729" s="277"/>
      <c r="Y729" s="277"/>
      <c r="Z729" s="277"/>
      <c r="AA729" s="277"/>
      <c r="AB729" s="277"/>
      <c r="AC729" s="277"/>
      <c r="AD729" s="277"/>
      <c r="AE729" s="277"/>
      <c r="AF729" s="277"/>
      <c r="AG729" s="277"/>
      <c r="AH729" s="277"/>
      <c r="AI729" s="277"/>
      <c r="AJ729" s="277"/>
      <c r="AK729" s="277"/>
      <c r="AL729" s="277"/>
      <c r="AM729" s="280">
        <f>AM77+AM293+AM401+AM509+AM614</f>
        <v>0</v>
      </c>
      <c r="AN729" s="277"/>
      <c r="AO729" s="277"/>
      <c r="AP729" s="277"/>
      <c r="AQ729" s="284">
        <f t="shared" si="617"/>
        <v>0</v>
      </c>
      <c r="AR729" s="277"/>
      <c r="AS729" s="277"/>
      <c r="AT729" s="283"/>
      <c r="AU729" s="277"/>
      <c r="AV729" s="277"/>
      <c r="AW729" s="277"/>
      <c r="AX729" s="277"/>
      <c r="AY729" s="277"/>
      <c r="AZ729" s="283"/>
      <c r="BA729" s="370"/>
      <c r="BB729" s="307"/>
      <c r="BC729" s="370"/>
      <c r="BD729" s="286"/>
      <c r="BE729" s="286"/>
    </row>
    <row r="730" spans="1:68" s="316" customFormat="1" ht="21" customHeight="1" x14ac:dyDescent="0.25">
      <c r="A730" s="306"/>
      <c r="B730" s="372" t="s">
        <v>229</v>
      </c>
      <c r="C730" s="308">
        <f>SUM(C723:C729)</f>
        <v>10</v>
      </c>
      <c r="D730" s="309"/>
      <c r="E730" s="309"/>
      <c r="F730" s="309"/>
      <c r="G730" s="309"/>
      <c r="H730" s="309"/>
      <c r="I730" s="309"/>
      <c r="J730" s="309"/>
      <c r="K730" s="309"/>
      <c r="L730" s="309"/>
      <c r="M730" s="310"/>
      <c r="N730" s="309"/>
      <c r="O730" s="309"/>
      <c r="P730" s="309"/>
      <c r="Q730" s="309"/>
      <c r="R730" s="310"/>
      <c r="S730" s="310"/>
      <c r="T730" s="349">
        <f>U730/12</f>
        <v>121434</v>
      </c>
      <c r="U730" s="329">
        <f>SUM(U723:U729)</f>
        <v>1457208</v>
      </c>
      <c r="V730" s="309"/>
      <c r="W730" s="329"/>
      <c r="X730" s="329">
        <f>SUM(X723:X729)</f>
        <v>189089.76</v>
      </c>
      <c r="Y730" s="329"/>
      <c r="Z730" s="329">
        <f>SUM(Z723:Z729)</f>
        <v>0</v>
      </c>
      <c r="AA730" s="329">
        <f>SUM(AA723:AA729)</f>
        <v>12309.119999999999</v>
      </c>
      <c r="AB730" s="394"/>
      <c r="AC730" s="394"/>
      <c r="AD730" s="394">
        <f>SUM(AD723:AD729)</f>
        <v>21084.931154517017</v>
      </c>
      <c r="AE730" s="329"/>
      <c r="AF730" s="329">
        <f>SUM(AF723:AF729)</f>
        <v>0</v>
      </c>
      <c r="AG730" s="329">
        <f>SUM(AG723:AG729)</f>
        <v>73797.259040809542</v>
      </c>
      <c r="AH730" s="329"/>
      <c r="AI730" s="329">
        <f>SUM(AI723:AI729)</f>
        <v>0</v>
      </c>
      <c r="AJ730" s="329">
        <f>SUM(AJ723:AJ729)</f>
        <v>88375.100579170728</v>
      </c>
      <c r="AK730" s="309"/>
      <c r="AL730" s="309">
        <f>SUM(AL723:AL729)</f>
        <v>0</v>
      </c>
      <c r="AM730" s="309">
        <f>SUM(AM723:AM729)</f>
        <v>150764.40000000002</v>
      </c>
      <c r="AN730" s="329"/>
      <c r="AO730" s="329">
        <f>SUM(AO723:AO729)</f>
        <v>0</v>
      </c>
      <c r="AP730" s="329">
        <f>SUM(AP723:AP729)</f>
        <v>0</v>
      </c>
      <c r="AQ730" s="329">
        <f>SUM(AQ723:AQ729)</f>
        <v>535420.57077449735</v>
      </c>
      <c r="AR730" s="329"/>
      <c r="AS730" s="329">
        <f>SUM(AS723:AS729)</f>
        <v>186136.80000000002</v>
      </c>
      <c r="AT730" s="329">
        <f>SUM(AT723:AT729)</f>
        <v>291441.60000000003</v>
      </c>
      <c r="AU730" s="329">
        <f>SUM(AU723:AU729)</f>
        <v>9</v>
      </c>
      <c r="AV730" s="329"/>
      <c r="AW730" s="329">
        <f>SUM(AW723:AW729)</f>
        <v>113440</v>
      </c>
      <c r="AX730" s="329"/>
      <c r="AY730" s="329">
        <f>SUM(AY723:AY729)</f>
        <v>0</v>
      </c>
      <c r="AZ730" s="329">
        <f>SUM(AZ723:AZ729)</f>
        <v>0</v>
      </c>
      <c r="BA730" s="329">
        <f>SUM(BA723:BA729)</f>
        <v>404881.60000000003</v>
      </c>
      <c r="BB730" s="329">
        <f>BC730/C730</f>
        <v>239751.01707744971</v>
      </c>
      <c r="BC730" s="329">
        <f>SUM(BC723:BC729)</f>
        <v>2397510.1707744971</v>
      </c>
      <c r="BD730" s="286">
        <f>BC730/C730/12</f>
        <v>19979.251423120808</v>
      </c>
      <c r="BE730" s="286"/>
      <c r="BN730" s="316" t="e">
        <f>BC730+BC737+#REF!</f>
        <v>#REF!</v>
      </c>
    </row>
    <row r="731" spans="1:68" s="374" customFormat="1" ht="23.25" customHeight="1" x14ac:dyDescent="0.25">
      <c r="A731" s="373"/>
      <c r="B731" s="361" t="s">
        <v>254</v>
      </c>
      <c r="C731" s="335"/>
      <c r="D731" s="335"/>
      <c r="E731" s="335"/>
      <c r="F731" s="335"/>
      <c r="G731" s="335"/>
      <c r="H731" s="335"/>
      <c r="I731" s="335"/>
      <c r="J731" s="335"/>
      <c r="K731" s="335"/>
      <c r="L731" s="335"/>
      <c r="M731" s="335"/>
      <c r="N731" s="335"/>
      <c r="O731" s="335"/>
      <c r="P731" s="335"/>
      <c r="Q731" s="335"/>
      <c r="R731" s="335"/>
      <c r="S731" s="335"/>
      <c r="T731" s="335"/>
      <c r="U731" s="476">
        <f t="shared" ref="U731:AJ731" si="628">U615+U510+U402+U294+U186+U78</f>
        <v>1457208</v>
      </c>
      <c r="V731" s="476">
        <f t="shared" si="628"/>
        <v>0</v>
      </c>
      <c r="W731" s="476">
        <f t="shared" si="628"/>
        <v>0</v>
      </c>
      <c r="X731" s="476">
        <f t="shared" si="628"/>
        <v>189089.76</v>
      </c>
      <c r="Y731" s="476">
        <f t="shared" si="628"/>
        <v>0</v>
      </c>
      <c r="Z731" s="476">
        <f t="shared" si="628"/>
        <v>0</v>
      </c>
      <c r="AA731" s="476">
        <f t="shared" si="628"/>
        <v>12309.119999999999</v>
      </c>
      <c r="AB731" s="476">
        <f t="shared" si="628"/>
        <v>0</v>
      </c>
      <c r="AC731" s="476">
        <f t="shared" si="628"/>
        <v>0</v>
      </c>
      <c r="AD731" s="476">
        <f t="shared" si="628"/>
        <v>21084.93115451702</v>
      </c>
      <c r="AE731" s="476">
        <f t="shared" si="628"/>
        <v>0</v>
      </c>
      <c r="AF731" s="476">
        <f t="shared" si="628"/>
        <v>0</v>
      </c>
      <c r="AG731" s="476">
        <f t="shared" si="628"/>
        <v>73797.259040809557</v>
      </c>
      <c r="AH731" s="476">
        <f t="shared" si="628"/>
        <v>0</v>
      </c>
      <c r="AI731" s="476">
        <f t="shared" si="628"/>
        <v>0</v>
      </c>
      <c r="AJ731" s="476">
        <f t="shared" si="628"/>
        <v>88375.100579170728</v>
      </c>
      <c r="AK731" s="335"/>
      <c r="AL731" s="476">
        <f t="shared" ref="AL731:BC731" si="629">AL615+AL510+AL402+AL294+AL186+AL78</f>
        <v>0</v>
      </c>
      <c r="AM731" s="476">
        <f t="shared" si="629"/>
        <v>150764.40000000002</v>
      </c>
      <c r="AN731" s="476">
        <f t="shared" si="629"/>
        <v>0</v>
      </c>
      <c r="AO731" s="476">
        <f t="shared" si="629"/>
        <v>0</v>
      </c>
      <c r="AP731" s="476">
        <f t="shared" si="629"/>
        <v>0</v>
      </c>
      <c r="AQ731" s="476">
        <f t="shared" si="629"/>
        <v>535420.57077449735</v>
      </c>
      <c r="AR731" s="476">
        <f t="shared" si="629"/>
        <v>0</v>
      </c>
      <c r="AS731" s="476">
        <f t="shared" si="629"/>
        <v>186136.80000000002</v>
      </c>
      <c r="AT731" s="476">
        <f t="shared" si="629"/>
        <v>291441.60000000003</v>
      </c>
      <c r="AU731" s="476">
        <f t="shared" si="629"/>
        <v>9</v>
      </c>
      <c r="AV731" s="476">
        <f t="shared" si="629"/>
        <v>0</v>
      </c>
      <c r="AW731" s="476">
        <f t="shared" si="629"/>
        <v>113440</v>
      </c>
      <c r="AX731" s="476">
        <f t="shared" si="629"/>
        <v>0</v>
      </c>
      <c r="AY731" s="476">
        <f t="shared" si="629"/>
        <v>0</v>
      </c>
      <c r="AZ731" s="476">
        <f t="shared" si="629"/>
        <v>0</v>
      </c>
      <c r="BA731" s="476">
        <f t="shared" si="629"/>
        <v>404881.60000000003</v>
      </c>
      <c r="BB731" s="476">
        <f t="shared" si="629"/>
        <v>239751.01707744971</v>
      </c>
      <c r="BC731" s="476">
        <f t="shared" si="629"/>
        <v>2397510.1707744971</v>
      </c>
      <c r="BD731" s="286"/>
      <c r="BE731" s="286"/>
    </row>
    <row r="732" spans="1:68" x14ac:dyDescent="0.25">
      <c r="A732" s="344"/>
      <c r="B732" s="288" t="s">
        <v>255</v>
      </c>
      <c r="C732" s="364">
        <f>(C80*3+C188*1+C296*2+C404*4+C512+C617)/12</f>
        <v>9</v>
      </c>
      <c r="D732" s="279"/>
      <c r="E732" s="279"/>
      <c r="F732" s="279"/>
      <c r="G732" s="279"/>
      <c r="H732" s="279">
        <v>1</v>
      </c>
      <c r="I732" s="279"/>
      <c r="J732" s="279"/>
      <c r="K732" s="279"/>
      <c r="L732" s="277">
        <v>3</v>
      </c>
      <c r="M732" s="280">
        <f>(M80*3+M188*1+M296*2+M404*4+M512+M617)/12</f>
        <v>3028</v>
      </c>
      <c r="N732" s="364">
        <f t="shared" ref="N732:P735" si="630">(N80*6+N296*1+N404*4+N617)/12</f>
        <v>2</v>
      </c>
      <c r="O732" s="364">
        <f t="shared" si="630"/>
        <v>1.25</v>
      </c>
      <c r="P732" s="364">
        <f t="shared" si="630"/>
        <v>1.58</v>
      </c>
      <c r="Q732" s="277"/>
      <c r="R732" s="280">
        <f>(R80+R296+R404+R617)</f>
        <v>1832</v>
      </c>
      <c r="S732" s="280">
        <f>T732/(R732/12)</f>
        <v>78.3471615720524</v>
      </c>
      <c r="T732" s="425">
        <f>ROUND(M732*N732*O732*P732,0)</f>
        <v>11961</v>
      </c>
      <c r="U732" s="284">
        <f>U80+U188+U296+U404+U512+U617</f>
        <v>1291788</v>
      </c>
      <c r="V732" s="277">
        <v>12</v>
      </c>
      <c r="W732" s="285"/>
      <c r="X732" s="285">
        <f>U732*V732%</f>
        <v>155014.56</v>
      </c>
      <c r="Y732" s="277">
        <v>4</v>
      </c>
      <c r="Z732" s="285"/>
      <c r="AA732" s="285">
        <f>U732*Y732%</f>
        <v>51671.520000000004</v>
      </c>
      <c r="AB732" s="277">
        <v>20</v>
      </c>
      <c r="AC732" s="277"/>
      <c r="AD732" s="340">
        <f>SUM([3]ночн.празд!P15)</f>
        <v>42169.862309034033</v>
      </c>
      <c r="AE732" s="341">
        <v>35</v>
      </c>
      <c r="AF732" s="340"/>
      <c r="AG732" s="340">
        <f>SUM([3]ночн.празд!Q15:Q15)</f>
        <v>147594.51808161908</v>
      </c>
      <c r="AH732" s="341">
        <v>100</v>
      </c>
      <c r="AI732" s="340"/>
      <c r="AJ732" s="340">
        <f>SUM([3]ночн.празд!N15:O15)</f>
        <v>176750.20115834146</v>
      </c>
      <c r="AK732" s="277">
        <f>(7+25+15+7+10+20+15+15+10)/9</f>
        <v>13.777777777777779</v>
      </c>
      <c r="AL732" s="277">
        <f>(AL80*3+AL296*3+AL404*4+AL512+AL617)/12</f>
        <v>0</v>
      </c>
      <c r="AM732" s="280">
        <f>AM80+AM188+AM296+AM404+AM512+AM617</f>
        <v>177979.68</v>
      </c>
      <c r="AN732" s="277"/>
      <c r="AO732" s="277"/>
      <c r="AP732" s="285"/>
      <c r="AQ732" s="284">
        <f>X732+AA732+AD732+AG732+AJ732+AM732+AP732</f>
        <v>751180.34154899465</v>
      </c>
      <c r="AR732" s="277">
        <f>AR$29</f>
        <v>20</v>
      </c>
      <c r="AS732" s="277">
        <f>AT732/C732</f>
        <v>28706.400000000005</v>
      </c>
      <c r="AT732" s="280">
        <f t="shared" ref="AT732:AU735" si="631">AT80+AT188+AT296+AT404+AT512+AT617</f>
        <v>258357.60000000003</v>
      </c>
      <c r="AU732" s="280">
        <f t="shared" si="631"/>
        <v>9</v>
      </c>
      <c r="AV732" s="277">
        <v>100</v>
      </c>
      <c r="AW732" s="280">
        <f>AW80+AW188+AW296+AW404+AW512+AW617</f>
        <v>107649</v>
      </c>
      <c r="AX732" s="277"/>
      <c r="AY732" s="277"/>
      <c r="AZ732" s="280">
        <f>AZ80+AZ296+AZ404+AZ512+AZ617</f>
        <v>0</v>
      </c>
      <c r="BA732" s="284">
        <f>AT732+AW732+AZ732</f>
        <v>366006.60000000003</v>
      </c>
      <c r="BB732" s="284">
        <f>BC732/C732</f>
        <v>267663.88239433273</v>
      </c>
      <c r="BC732" s="284">
        <f>BA732+AQ732+U732</f>
        <v>2408974.9415489947</v>
      </c>
      <c r="BD732" s="286">
        <f>BC732/C732/12</f>
        <v>22305.323532861061</v>
      </c>
      <c r="BE732" s="286"/>
      <c r="BP732" s="474">
        <f>AU732-C732</f>
        <v>0</v>
      </c>
    </row>
    <row r="733" spans="1:68" s="377" customFormat="1" x14ac:dyDescent="0.25">
      <c r="A733" s="375"/>
      <c r="B733" s="290" t="s">
        <v>249</v>
      </c>
      <c r="C733" s="364">
        <f>(C81*3+C189*1+C297*2+C405*4+C513+C618)/12</f>
        <v>1</v>
      </c>
      <c r="D733" s="292"/>
      <c r="E733" s="292"/>
      <c r="F733" s="292"/>
      <c r="G733" s="292"/>
      <c r="H733" s="292">
        <v>1</v>
      </c>
      <c r="I733" s="292"/>
      <c r="J733" s="292"/>
      <c r="K733" s="292"/>
      <c r="L733" s="293">
        <v>4</v>
      </c>
      <c r="M733" s="280">
        <f>(M81*3+M189*1+M297*2+M405*4+M513+M618)/12</f>
        <v>3028</v>
      </c>
      <c r="N733" s="475">
        <f t="shared" si="630"/>
        <v>2</v>
      </c>
      <c r="O733" s="475">
        <f t="shared" si="630"/>
        <v>1.43</v>
      </c>
      <c r="P733" s="475">
        <f t="shared" si="630"/>
        <v>1.58</v>
      </c>
      <c r="Q733" s="293"/>
      <c r="R733" s="294">
        <f>(R81+R297+R405+R618)</f>
        <v>1832</v>
      </c>
      <c r="S733" s="294">
        <f>T733/(R733/12)</f>
        <v>89.626637554585159</v>
      </c>
      <c r="T733" s="291">
        <f>ROUND(M733*N733*O733*P733,0)</f>
        <v>13683</v>
      </c>
      <c r="U733" s="284">
        <f>U81+U189+U297+U405+U513+U618</f>
        <v>164196</v>
      </c>
      <c r="V733" s="293">
        <v>16</v>
      </c>
      <c r="W733" s="298"/>
      <c r="X733" s="298">
        <f>U733*V733%</f>
        <v>26271.360000000001</v>
      </c>
      <c r="Y733" s="277">
        <v>4</v>
      </c>
      <c r="Z733" s="285"/>
      <c r="AA733" s="285">
        <f>U733*Y733%</f>
        <v>6567.84</v>
      </c>
      <c r="AB733" s="293">
        <v>20</v>
      </c>
      <c r="AC733" s="293"/>
      <c r="AD733" s="298"/>
      <c r="AE733" s="293"/>
      <c r="AF733" s="298"/>
      <c r="AG733" s="298"/>
      <c r="AH733" s="293"/>
      <c r="AI733" s="298"/>
      <c r="AJ733" s="298"/>
      <c r="AK733" s="293"/>
      <c r="AL733" s="293">
        <f>(AL81*3+AL297*3+AL405*4+AL513+AL618)/12</f>
        <v>0</v>
      </c>
      <c r="AM733" s="280">
        <f>AM81+AM189+AM297+AM405+AM513+AM618</f>
        <v>0</v>
      </c>
      <c r="AN733" s="293"/>
      <c r="AO733" s="293"/>
      <c r="AP733" s="298"/>
      <c r="AQ733" s="297">
        <f>X733+AA733+AD733+AG733+AJ733+AM733+AP733</f>
        <v>32839.199999999997</v>
      </c>
      <c r="AR733" s="293">
        <f>AR$29</f>
        <v>20</v>
      </c>
      <c r="AS733" s="293">
        <f>AT733/C733</f>
        <v>32839.200000000004</v>
      </c>
      <c r="AT733" s="280">
        <f t="shared" si="631"/>
        <v>32839.200000000004</v>
      </c>
      <c r="AU733" s="280">
        <f t="shared" si="631"/>
        <v>1</v>
      </c>
      <c r="AV733" s="293">
        <v>100</v>
      </c>
      <c r="AW733" s="280">
        <f>AW81+AW189+AW297+AW405+AW513+AW618</f>
        <v>13683</v>
      </c>
      <c r="AX733" s="293"/>
      <c r="AY733" s="293"/>
      <c r="AZ733" s="294">
        <f>AZ81+AZ297+AZ405+AZ513+AZ618</f>
        <v>0</v>
      </c>
      <c r="BA733" s="297">
        <f>AT733+AW733+AZ733</f>
        <v>46522.200000000004</v>
      </c>
      <c r="BB733" s="297">
        <f>BC733/C733</f>
        <v>243557.4</v>
      </c>
      <c r="BC733" s="297">
        <f>BA733+AQ733+U733</f>
        <v>243557.4</v>
      </c>
      <c r="BD733" s="299">
        <f>BC733/C733/12</f>
        <v>20296.45</v>
      </c>
      <c r="BE733" s="299"/>
      <c r="BP733" s="474">
        <f>AU733-C733</f>
        <v>0</v>
      </c>
    </row>
    <row r="734" spans="1:68" s="287" customFormat="1" ht="22.5" customHeight="1" x14ac:dyDescent="0.25">
      <c r="A734" s="276"/>
      <c r="B734" s="277" t="s">
        <v>292</v>
      </c>
      <c r="C734" s="364">
        <f>(C82*3+C190*1+C298*2+C406*4+C514+C619)/12</f>
        <v>1</v>
      </c>
      <c r="D734" s="279"/>
      <c r="E734" s="279"/>
      <c r="F734" s="279"/>
      <c r="G734" s="279"/>
      <c r="H734" s="279">
        <v>1</v>
      </c>
      <c r="I734" s="279"/>
      <c r="J734" s="279"/>
      <c r="K734" s="279"/>
      <c r="L734" s="277">
        <v>4</v>
      </c>
      <c r="M734" s="280">
        <f>(M82*3+M190*1+M298*2+M406*4+M514+M619)/12</f>
        <v>3028</v>
      </c>
      <c r="N734" s="364">
        <f t="shared" si="630"/>
        <v>2</v>
      </c>
      <c r="O734" s="364">
        <f t="shared" si="630"/>
        <v>1.43</v>
      </c>
      <c r="P734" s="364">
        <f t="shared" si="630"/>
        <v>1.58</v>
      </c>
      <c r="Q734" s="277"/>
      <c r="R734" s="280">
        <f>(R82+R298+R406+R619)</f>
        <v>1832</v>
      </c>
      <c r="S734" s="280">
        <f>T734/(R734/12)</f>
        <v>89.626637554585159</v>
      </c>
      <c r="T734" s="425">
        <f>ROUND(M734*N734*O734*P734,0)</f>
        <v>13683</v>
      </c>
      <c r="U734" s="284">
        <f>U82+U190+U298+U406+U514+U619</f>
        <v>164196</v>
      </c>
      <c r="V734" s="277">
        <v>16</v>
      </c>
      <c r="W734" s="285"/>
      <c r="X734" s="285">
        <f>U734*V734%</f>
        <v>26271.360000000001</v>
      </c>
      <c r="Y734" s="277"/>
      <c r="Z734" s="277"/>
      <c r="AA734" s="285"/>
      <c r="AB734" s="277"/>
      <c r="AC734" s="277"/>
      <c r="AD734" s="277"/>
      <c r="AE734" s="277"/>
      <c r="AF734" s="277"/>
      <c r="AG734" s="277"/>
      <c r="AH734" s="277"/>
      <c r="AI734" s="277"/>
      <c r="AJ734" s="277"/>
      <c r="AK734" s="277"/>
      <c r="AL734" s="277">
        <f>(AL82*3+AL298*3+AL406*4+AL514+AL619)/12</f>
        <v>0</v>
      </c>
      <c r="AM734" s="280">
        <f>AM82+AM190+AM298+AM406+AM514+AM619</f>
        <v>0</v>
      </c>
      <c r="AN734" s="277"/>
      <c r="AO734" s="277"/>
      <c r="AP734" s="277"/>
      <c r="AQ734" s="284">
        <f>X734+AA734+AD734+AG734+AJ734+AM734+AP734</f>
        <v>26271.360000000001</v>
      </c>
      <c r="AR734" s="277">
        <f>AR$29</f>
        <v>20</v>
      </c>
      <c r="AS734" s="285">
        <f>AT734/C734</f>
        <v>32839.200000000004</v>
      </c>
      <c r="AT734" s="280">
        <f t="shared" si="631"/>
        <v>32839.200000000004</v>
      </c>
      <c r="AU734" s="280">
        <f t="shared" si="631"/>
        <v>1</v>
      </c>
      <c r="AV734" s="277">
        <v>100</v>
      </c>
      <c r="AW734" s="280">
        <f>AW82+AW190+AW298+AW406+AW514+AW619</f>
        <v>13683</v>
      </c>
      <c r="AX734" s="277"/>
      <c r="AY734" s="277"/>
      <c r="AZ734" s="280">
        <f>AZ82+AZ298+AZ406+AZ514+AZ619</f>
        <v>0</v>
      </c>
      <c r="BA734" s="284">
        <f>AT734+AW734+AZ734</f>
        <v>46522.200000000004</v>
      </c>
      <c r="BB734" s="363">
        <f>BC734/C734</f>
        <v>236989.56</v>
      </c>
      <c r="BC734" s="284">
        <f>BA734+AQ734+U734</f>
        <v>236989.56</v>
      </c>
      <c r="BD734" s="286">
        <f>BC734/C734/12</f>
        <v>19749.13</v>
      </c>
      <c r="BE734" s="286"/>
      <c r="BP734" s="474">
        <f>AU734-C734</f>
        <v>0</v>
      </c>
    </row>
    <row r="735" spans="1:68" ht="28.5" x14ac:dyDescent="0.25">
      <c r="A735" s="344"/>
      <c r="B735" s="288" t="s">
        <v>256</v>
      </c>
      <c r="C735" s="364">
        <f>(C83*3+C191*1+C299*2+C407*4+C515+C620)/12</f>
        <v>1</v>
      </c>
      <c r="D735" s="279"/>
      <c r="E735" s="279"/>
      <c r="F735" s="279"/>
      <c r="G735" s="279"/>
      <c r="H735" s="279">
        <v>1</v>
      </c>
      <c r="I735" s="279"/>
      <c r="J735" s="279"/>
      <c r="K735" s="279"/>
      <c r="L735" s="277">
        <v>5</v>
      </c>
      <c r="M735" s="280">
        <f>(M83*3+M191*1+M299*2+M407*4+M515+M620)/12</f>
        <v>3028</v>
      </c>
      <c r="N735" s="364">
        <f t="shared" si="630"/>
        <v>2</v>
      </c>
      <c r="O735" s="364">
        <f t="shared" si="630"/>
        <v>1.67</v>
      </c>
      <c r="P735" s="364">
        <f t="shared" si="630"/>
        <v>1.58</v>
      </c>
      <c r="Q735" s="277"/>
      <c r="R735" s="280">
        <f>(R83+R299+R407+R620)</f>
        <v>1832</v>
      </c>
      <c r="S735" s="280">
        <f>T735/(R735/12)</f>
        <v>104.66593886462883</v>
      </c>
      <c r="T735" s="425">
        <f>ROUND(M735*N735*O735*P735,0)</f>
        <v>15979</v>
      </c>
      <c r="U735" s="284">
        <f>U83+U191+U299+U407+U515+U620</f>
        <v>191748</v>
      </c>
      <c r="V735" s="277">
        <v>20</v>
      </c>
      <c r="W735" s="285"/>
      <c r="X735" s="285">
        <f>U735*V735%</f>
        <v>38349.599999999999</v>
      </c>
      <c r="Y735" s="277"/>
      <c r="Z735" s="277"/>
      <c r="AA735" s="277"/>
      <c r="AB735" s="277"/>
      <c r="AC735" s="277"/>
      <c r="AD735" s="285"/>
      <c r="AE735" s="277"/>
      <c r="AF735" s="277"/>
      <c r="AG735" s="285"/>
      <c r="AH735" s="277"/>
      <c r="AI735" s="277"/>
      <c r="AJ735" s="285"/>
      <c r="AK735" s="277">
        <v>7</v>
      </c>
      <c r="AL735" s="277">
        <f>(AL83*3+AL299*3+AL407*4+AL515+AL620)/12</f>
        <v>0</v>
      </c>
      <c r="AM735" s="280">
        <f>AM83+AM191+AM299+AM407+AM515+AM620</f>
        <v>13422.360000000004</v>
      </c>
      <c r="AN735" s="277"/>
      <c r="AO735" s="277"/>
      <c r="AP735" s="285"/>
      <c r="AQ735" s="284">
        <f>X735+AA735+AD735+AG735+AJ735+AM735+AP735</f>
        <v>51771.960000000006</v>
      </c>
      <c r="AR735" s="277">
        <f>AR$29</f>
        <v>20</v>
      </c>
      <c r="AS735" s="277">
        <f>AT735/C735</f>
        <v>38349.600000000006</v>
      </c>
      <c r="AT735" s="280">
        <f t="shared" si="631"/>
        <v>38349.600000000006</v>
      </c>
      <c r="AU735" s="280">
        <f t="shared" si="631"/>
        <v>1</v>
      </c>
      <c r="AV735" s="277">
        <v>100</v>
      </c>
      <c r="AW735" s="280">
        <f>AW83+AW191+AW299+AW407+AW515+AW620</f>
        <v>15979</v>
      </c>
      <c r="AX735" s="277"/>
      <c r="AY735" s="277"/>
      <c r="AZ735" s="280">
        <f>AZ83+AZ299+AZ407+AZ515+AZ620</f>
        <v>0</v>
      </c>
      <c r="BA735" s="284">
        <f>AT735+AW735+AZ735</f>
        <v>54328.600000000006</v>
      </c>
      <c r="BB735" s="284">
        <f>BC735/C735</f>
        <v>297848.56</v>
      </c>
      <c r="BC735" s="284">
        <f>BA735+AQ735+U735</f>
        <v>297848.56</v>
      </c>
      <c r="BD735" s="286">
        <f>BC735/C735/12</f>
        <v>24820.713333333333</v>
      </c>
      <c r="BE735" s="286"/>
      <c r="BP735" s="474">
        <f>AU735-C735</f>
        <v>0</v>
      </c>
    </row>
    <row r="736" spans="1:68" s="287" customFormat="1" ht="25.9" customHeight="1" x14ac:dyDescent="0.25">
      <c r="A736" s="276"/>
      <c r="B736" s="277"/>
      <c r="C736" s="425"/>
      <c r="D736" s="279"/>
      <c r="E736" s="279"/>
      <c r="F736" s="279"/>
      <c r="G736" s="279"/>
      <c r="H736" s="279"/>
      <c r="I736" s="279"/>
      <c r="J736" s="279"/>
      <c r="K736" s="279"/>
      <c r="L736" s="277"/>
      <c r="M736" s="283"/>
      <c r="N736" s="277"/>
      <c r="O736" s="277"/>
      <c r="P736" s="277"/>
      <c r="Q736" s="277"/>
      <c r="R736" s="283"/>
      <c r="S736" s="283"/>
      <c r="T736" s="425"/>
      <c r="U736" s="284"/>
      <c r="V736" s="277"/>
      <c r="W736" s="277"/>
      <c r="X736" s="277"/>
      <c r="Y736" s="277"/>
      <c r="Z736" s="277"/>
      <c r="AA736" s="277"/>
      <c r="AB736" s="277"/>
      <c r="AC736" s="277"/>
      <c r="AD736" s="277"/>
      <c r="AE736" s="277"/>
      <c r="AF736" s="277"/>
      <c r="AG736" s="277"/>
      <c r="AH736" s="277"/>
      <c r="AI736" s="277"/>
      <c r="AJ736" s="277"/>
      <c r="AK736" s="277"/>
      <c r="AL736" s="277">
        <f>(AL84*3+AL300*3+AL408*4+AL516+AL621)/12</f>
        <v>0</v>
      </c>
      <c r="AM736" s="280">
        <f>AM84+AM300+AM408+AM516+AM621</f>
        <v>0</v>
      </c>
      <c r="AN736" s="277"/>
      <c r="AO736" s="277"/>
      <c r="AP736" s="277"/>
      <c r="AQ736" s="284">
        <f>X736+AA736+AD736+AG736+AJ736+AM736+AP736</f>
        <v>0</v>
      </c>
      <c r="AR736" s="277">
        <f>AR$29</f>
        <v>20</v>
      </c>
      <c r="AS736" s="277"/>
      <c r="AT736" s="280">
        <f>AT84+AT192+AT300+AT408+AT516+AT621</f>
        <v>0</v>
      </c>
      <c r="AU736" s="277"/>
      <c r="AV736" s="277"/>
      <c r="AW736" s="277"/>
      <c r="AX736" s="277"/>
      <c r="AY736" s="277"/>
      <c r="AZ736" s="280"/>
      <c r="BA736" s="284"/>
      <c r="BB736" s="284"/>
      <c r="BC736" s="284"/>
      <c r="BD736" s="286"/>
      <c r="BE736" s="286"/>
    </row>
    <row r="737" spans="1:68" s="316" customFormat="1" ht="14.25" x14ac:dyDescent="0.25">
      <c r="A737" s="306"/>
      <c r="B737" s="372" t="s">
        <v>229</v>
      </c>
      <c r="C737" s="308">
        <f>SUM(C732:C736)</f>
        <v>12</v>
      </c>
      <c r="D737" s="309"/>
      <c r="E737" s="309"/>
      <c r="F737" s="309"/>
      <c r="G737" s="309"/>
      <c r="H737" s="309"/>
      <c r="I737" s="309"/>
      <c r="J737" s="309"/>
      <c r="K737" s="309"/>
      <c r="L737" s="309"/>
      <c r="M737" s="310"/>
      <c r="N737" s="309"/>
      <c r="O737" s="309"/>
      <c r="P737" s="309"/>
      <c r="Q737" s="309"/>
      <c r="R737" s="310"/>
      <c r="S737" s="310"/>
      <c r="T737" s="349">
        <f>U737/12</f>
        <v>150994</v>
      </c>
      <c r="U737" s="329">
        <f>SUM(U732:U736)</f>
        <v>1811928</v>
      </c>
      <c r="V737" s="309"/>
      <c r="W737" s="329"/>
      <c r="X737" s="329">
        <f>SUM(X732:X736)</f>
        <v>245906.87999999998</v>
      </c>
      <c r="Y737" s="329"/>
      <c r="Z737" s="329"/>
      <c r="AA737" s="329">
        <f>SUM(AA732:AA736)</f>
        <v>58239.360000000001</v>
      </c>
      <c r="AB737" s="394"/>
      <c r="AC737" s="394"/>
      <c r="AD737" s="394">
        <f>SUM(AD732:AD736)</f>
        <v>42169.862309034033</v>
      </c>
      <c r="AE737" s="329"/>
      <c r="AF737" s="329"/>
      <c r="AG737" s="329">
        <f>SUM(AG732:AG736)</f>
        <v>147594.51808161908</v>
      </c>
      <c r="AH737" s="329"/>
      <c r="AI737" s="329"/>
      <c r="AJ737" s="329">
        <f>SUM(AJ732:AJ736)</f>
        <v>176750.20115834146</v>
      </c>
      <c r="AK737" s="309"/>
      <c r="AL737" s="309"/>
      <c r="AM737" s="329">
        <f>SUM(AM732:AM736)</f>
        <v>191402.04</v>
      </c>
      <c r="AN737" s="329"/>
      <c r="AO737" s="329"/>
      <c r="AP737" s="329">
        <f>SUM(AP732:AP736)</f>
        <v>0</v>
      </c>
      <c r="AQ737" s="329">
        <f>SUM(AQ732:AQ736)</f>
        <v>862062.86154899455</v>
      </c>
      <c r="AR737" s="329"/>
      <c r="AS737" s="329">
        <f>SUM(AS732:AS736)</f>
        <v>132734.40000000002</v>
      </c>
      <c r="AT737" s="329">
        <f>SUM(AT732:AT736)</f>
        <v>362385.60000000009</v>
      </c>
      <c r="AU737" s="329">
        <f>SUM(AU732:AU736)</f>
        <v>12</v>
      </c>
      <c r="AV737" s="329"/>
      <c r="AW737" s="329">
        <f>SUM(AW732:AW736)</f>
        <v>150994</v>
      </c>
      <c r="AX737" s="329"/>
      <c r="AY737" s="329">
        <f>SUM(AY732:AY736)</f>
        <v>0</v>
      </c>
      <c r="AZ737" s="329">
        <f>SUM(AZ732:AZ736)</f>
        <v>0</v>
      </c>
      <c r="BA737" s="329">
        <f>SUM(BA732:BA736)</f>
        <v>513379.60000000009</v>
      </c>
      <c r="BB737" s="329">
        <f>BC737/C737</f>
        <v>265614.2051290829</v>
      </c>
      <c r="BC737" s="329">
        <f>SUM(BC732:BC736)</f>
        <v>3187370.4615489948</v>
      </c>
      <c r="BD737" s="286">
        <f>BC737/C737/12</f>
        <v>22134.517094090243</v>
      </c>
      <c r="BE737" s="286"/>
    </row>
    <row r="738" spans="1:68" s="316" customFormat="1" ht="13.5" customHeight="1" x14ac:dyDescent="0.25">
      <c r="A738" s="306"/>
      <c r="B738" s="307" t="s">
        <v>257</v>
      </c>
      <c r="C738" s="308">
        <f>C708+C719+C730+C737</f>
        <v>51</v>
      </c>
      <c r="D738" s="309"/>
      <c r="E738" s="309"/>
      <c r="F738" s="309"/>
      <c r="G738" s="309"/>
      <c r="H738" s="309"/>
      <c r="I738" s="309"/>
      <c r="J738" s="309"/>
      <c r="K738" s="309"/>
      <c r="L738" s="309"/>
      <c r="M738" s="310"/>
      <c r="N738" s="309"/>
      <c r="O738" s="309"/>
      <c r="P738" s="309"/>
      <c r="Q738" s="309"/>
      <c r="R738" s="310"/>
      <c r="S738" s="310"/>
      <c r="T738" s="349">
        <f>U738/12</f>
        <v>717804</v>
      </c>
      <c r="U738" s="329">
        <f>U708+U719+U730+U737</f>
        <v>8613648</v>
      </c>
      <c r="V738" s="309"/>
      <c r="W738" s="329"/>
      <c r="X738" s="329">
        <f>X708+X719+X730+X737</f>
        <v>1365828</v>
      </c>
      <c r="Y738" s="329"/>
      <c r="Z738" s="329">
        <f>Z708+Z719+Z730+Z737</f>
        <v>0</v>
      </c>
      <c r="AA738" s="329">
        <f>AA708+AA719+AA730+AA737</f>
        <v>227163.83999999997</v>
      </c>
      <c r="AB738" s="394"/>
      <c r="AC738" s="394"/>
      <c r="AD738" s="394">
        <f>AD708+AD719+AD730+AD737</f>
        <v>139663.6506571419</v>
      </c>
      <c r="AE738" s="329"/>
      <c r="AF738" s="329">
        <f>AF708+AF719+AF730+AF737</f>
        <v>0</v>
      </c>
      <c r="AG738" s="329">
        <f>AG708+AG719+AG730+AG737</f>
        <v>488822.77729999658</v>
      </c>
      <c r="AH738" s="329"/>
      <c r="AI738" s="329">
        <f>AI708+AI719+AI730+AI737</f>
        <v>0</v>
      </c>
      <c r="AJ738" s="329">
        <f>AJ708+AJ719+AJ730+AJ737</f>
        <v>543102.56907992088</v>
      </c>
      <c r="AK738" s="329"/>
      <c r="AL738" s="329">
        <f>AL708+AL719+AL730+AL737</f>
        <v>0</v>
      </c>
      <c r="AM738" s="329">
        <f>AM708+AM719+AM730+AM737</f>
        <v>650647.68000000005</v>
      </c>
      <c r="AN738" s="329"/>
      <c r="AO738" s="329">
        <f>AO708+AO719+AO730+AO737</f>
        <v>0</v>
      </c>
      <c r="AP738" s="329">
        <f>AP708+AP719+AP730+AP737</f>
        <v>66495</v>
      </c>
      <c r="AQ738" s="329">
        <f>AQ708+AQ719+AQ730+AQ737</f>
        <v>3481723.5170370596</v>
      </c>
      <c r="AR738" s="329"/>
      <c r="AS738" s="329">
        <f>AS708+AS719+AS730+AS737</f>
        <v>777156.00000000012</v>
      </c>
      <c r="AT738" s="329">
        <f>AT708+AT719+AT730+AT737</f>
        <v>1722729.6</v>
      </c>
      <c r="AU738" s="329">
        <f>AU708+AU719+AU730+AU737</f>
        <v>48</v>
      </c>
      <c r="AV738" s="329"/>
      <c r="AW738" s="329">
        <f>AW708+AW719+AW730+AW737</f>
        <v>663307</v>
      </c>
      <c r="AX738" s="329"/>
      <c r="AY738" s="329">
        <f>AY708+AY719+AY730+AY737</f>
        <v>0</v>
      </c>
      <c r="AZ738" s="329">
        <f>AZ708+AZ719+AZ730+AZ737</f>
        <v>0</v>
      </c>
      <c r="BA738" s="329">
        <f>BA708+BA719+BA730+BA737</f>
        <v>2386036.6000000006</v>
      </c>
      <c r="BB738" s="329">
        <f>BB708+BB719+BB730+BB737</f>
        <v>4849200.1643767599</v>
      </c>
      <c r="BC738" s="329">
        <f>BC708+BC719+BC730+BC737</f>
        <v>14481408.11703706</v>
      </c>
      <c r="BD738" s="286">
        <f>BC738/C738/12</f>
        <v>23662.431563786045</v>
      </c>
      <c r="BE738" s="286"/>
      <c r="BF738" s="329">
        <f t="shared" ref="BF738:BM738" si="632">BF708+BF730+BF737</f>
        <v>0</v>
      </c>
      <c r="BG738" s="329">
        <f t="shared" si="632"/>
        <v>0</v>
      </c>
      <c r="BH738" s="329">
        <f t="shared" si="632"/>
        <v>0</v>
      </c>
      <c r="BI738" s="329">
        <f t="shared" si="632"/>
        <v>0</v>
      </c>
      <c r="BJ738" s="329">
        <f t="shared" si="632"/>
        <v>760242.72</v>
      </c>
      <c r="BK738" s="329">
        <f t="shared" si="632"/>
        <v>0</v>
      </c>
      <c r="BL738" s="329">
        <f t="shared" si="632"/>
        <v>0</v>
      </c>
      <c r="BM738" s="329">
        <f t="shared" si="632"/>
        <v>0</v>
      </c>
    </row>
    <row r="739" spans="1:68" s="287" customFormat="1" ht="20.25" customHeight="1" x14ac:dyDescent="0.25">
      <c r="A739" s="380"/>
      <c r="B739" s="274"/>
      <c r="C739" s="381"/>
      <c r="M739" s="382"/>
      <c r="R739" s="382"/>
      <c r="S739" s="382"/>
      <c r="T739" s="323"/>
      <c r="U739" s="476">
        <f t="shared" ref="U739:AJ739" si="633">U623+U518+U410+U302+U194+U86</f>
        <v>8613648</v>
      </c>
      <c r="V739" s="476">
        <f t="shared" si="633"/>
        <v>0</v>
      </c>
      <c r="W739" s="476">
        <f t="shared" si="633"/>
        <v>0</v>
      </c>
      <c r="X739" s="476">
        <f t="shared" si="633"/>
        <v>1365828</v>
      </c>
      <c r="Y739" s="476">
        <f t="shared" si="633"/>
        <v>0</v>
      </c>
      <c r="Z739" s="476">
        <f t="shared" si="633"/>
        <v>0</v>
      </c>
      <c r="AA739" s="476">
        <f t="shared" si="633"/>
        <v>227163.84</v>
      </c>
      <c r="AB739" s="476">
        <f t="shared" si="633"/>
        <v>0</v>
      </c>
      <c r="AC739" s="476">
        <f t="shared" si="633"/>
        <v>0</v>
      </c>
      <c r="AD739" s="476">
        <f t="shared" si="633"/>
        <v>139663.65065714193</v>
      </c>
      <c r="AE739" s="476">
        <f t="shared" si="633"/>
        <v>0</v>
      </c>
      <c r="AF739" s="476">
        <f t="shared" si="633"/>
        <v>0</v>
      </c>
      <c r="AG739" s="476">
        <f t="shared" si="633"/>
        <v>488822.77729999664</v>
      </c>
      <c r="AH739" s="476">
        <f t="shared" si="633"/>
        <v>0</v>
      </c>
      <c r="AI739" s="476">
        <f t="shared" si="633"/>
        <v>0</v>
      </c>
      <c r="AJ739" s="476">
        <f t="shared" si="633"/>
        <v>543102.56907992088</v>
      </c>
      <c r="AK739" s="323"/>
      <c r="AL739" s="476">
        <f t="shared" ref="AL739:BC739" si="634">AL623+AL518+AL410+AL302+AL194+AL86</f>
        <v>0</v>
      </c>
      <c r="AM739" s="476">
        <f t="shared" si="634"/>
        <v>650647.68000000005</v>
      </c>
      <c r="AN739" s="476">
        <f t="shared" si="634"/>
        <v>0</v>
      </c>
      <c r="AO739" s="476">
        <f t="shared" si="634"/>
        <v>0</v>
      </c>
      <c r="AP739" s="476">
        <f t="shared" si="634"/>
        <v>66495</v>
      </c>
      <c r="AQ739" s="476">
        <f t="shared" si="634"/>
        <v>3481723.5170370596</v>
      </c>
      <c r="AR739" s="476">
        <f t="shared" si="634"/>
        <v>0</v>
      </c>
      <c r="AS739" s="476">
        <f t="shared" si="634"/>
        <v>804889.20000000019</v>
      </c>
      <c r="AT739" s="476">
        <f t="shared" si="634"/>
        <v>1722729.6</v>
      </c>
      <c r="AU739" s="476">
        <f t="shared" si="634"/>
        <v>48</v>
      </c>
      <c r="AV739" s="476">
        <f t="shared" si="634"/>
        <v>0</v>
      </c>
      <c r="AW739" s="476">
        <f t="shared" si="634"/>
        <v>663307</v>
      </c>
      <c r="AX739" s="476">
        <f t="shared" si="634"/>
        <v>0</v>
      </c>
      <c r="AY739" s="476">
        <f t="shared" si="634"/>
        <v>-817.12800000000061</v>
      </c>
      <c r="AZ739" s="476">
        <f t="shared" si="634"/>
        <v>0</v>
      </c>
      <c r="BA739" s="476">
        <f t="shared" si="634"/>
        <v>2386036.6000000006</v>
      </c>
      <c r="BB739" s="476">
        <f t="shared" si="634"/>
        <v>4849200.1643767599</v>
      </c>
      <c r="BC739" s="476">
        <f t="shared" si="634"/>
        <v>14481408.117037058</v>
      </c>
      <c r="BD739" s="286"/>
      <c r="BE739" s="286"/>
    </row>
    <row r="740" spans="1:68" s="275" customFormat="1" ht="34.5" customHeight="1" x14ac:dyDescent="0.25">
      <c r="A740" s="270" t="s">
        <v>263</v>
      </c>
      <c r="B740" s="271" t="s">
        <v>99</v>
      </c>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72"/>
      <c r="AF740" s="272"/>
      <c r="AG740" s="272"/>
      <c r="AH740" s="272"/>
      <c r="AI740" s="272"/>
      <c r="AJ740" s="272"/>
      <c r="AK740" s="272"/>
      <c r="AL740" s="272"/>
      <c r="AM740" s="272"/>
      <c r="AN740" s="272"/>
      <c r="AO740" s="272"/>
      <c r="AP740" s="272"/>
      <c r="AQ740" s="272"/>
      <c r="AR740" s="272"/>
      <c r="AS740" s="272"/>
      <c r="AT740" s="272"/>
      <c r="AU740" s="272"/>
      <c r="AV740" s="272"/>
      <c r="AW740" s="272"/>
      <c r="AX740" s="272"/>
      <c r="AY740" s="272"/>
      <c r="AZ740" s="272"/>
      <c r="BA740" s="272"/>
      <c r="BB740" s="272"/>
      <c r="BC740" s="273"/>
      <c r="BD740" s="286"/>
      <c r="BE740" s="286"/>
    </row>
    <row r="741" spans="1:68" s="388" customFormat="1" ht="17.25" customHeight="1" x14ac:dyDescent="0.25">
      <c r="A741" s="383"/>
      <c r="B741" s="384" t="s">
        <v>259</v>
      </c>
      <c r="C741" s="385"/>
      <c r="D741" s="384"/>
      <c r="E741" s="384"/>
      <c r="F741" s="384"/>
      <c r="G741" s="384"/>
      <c r="H741" s="384"/>
      <c r="I741" s="384"/>
      <c r="J741" s="384"/>
      <c r="K741" s="384"/>
      <c r="L741" s="384"/>
      <c r="M741" s="386"/>
      <c r="N741" s="384"/>
      <c r="O741" s="384"/>
      <c r="P741" s="384"/>
      <c r="Q741" s="384"/>
      <c r="R741" s="386"/>
      <c r="S741" s="386"/>
      <c r="T741" s="385"/>
      <c r="U741" s="384"/>
      <c r="V741" s="384"/>
      <c r="W741" s="384"/>
      <c r="X741" s="384"/>
      <c r="Y741" s="384"/>
      <c r="Z741" s="384"/>
      <c r="AA741" s="384"/>
      <c r="AB741" s="277"/>
      <c r="AC741" s="277"/>
      <c r="AD741" s="277"/>
      <c r="AE741" s="384"/>
      <c r="AF741" s="384"/>
      <c r="AG741" s="384"/>
      <c r="AH741" s="384"/>
      <c r="AI741" s="384"/>
      <c r="AJ741" s="384"/>
      <c r="AK741" s="384"/>
      <c r="AL741" s="384"/>
      <c r="AM741" s="384"/>
      <c r="AN741" s="384"/>
      <c r="AO741" s="384"/>
      <c r="AP741" s="384"/>
      <c r="AQ741" s="387"/>
      <c r="AR741" s="384"/>
      <c r="AS741" s="384"/>
      <c r="AT741" s="386"/>
      <c r="AU741" s="384"/>
      <c r="AV741" s="384"/>
      <c r="AW741" s="384"/>
      <c r="AX741" s="384"/>
      <c r="AY741" s="384"/>
      <c r="AZ741" s="386"/>
      <c r="BA741" s="384"/>
      <c r="BB741" s="384"/>
      <c r="BC741" s="387"/>
      <c r="BD741" s="286"/>
      <c r="BE741" s="286"/>
    </row>
    <row r="742" spans="1:68" s="287" customFormat="1" ht="26.45" customHeight="1" x14ac:dyDescent="0.25">
      <c r="A742" s="276"/>
      <c r="B742" s="277" t="s">
        <v>260</v>
      </c>
      <c r="C742" s="364">
        <f t="shared" ref="C742:C747" si="635">(C90*3+C198*1+C306*2+C414*4+C522+C627)/12</f>
        <v>1</v>
      </c>
      <c r="D742" s="279"/>
      <c r="E742" s="279"/>
      <c r="F742" s="279"/>
      <c r="G742" s="279"/>
      <c r="H742" s="279"/>
      <c r="I742" s="279"/>
      <c r="J742" s="279">
        <v>1</v>
      </c>
      <c r="K742" s="279"/>
      <c r="L742" s="277"/>
      <c r="M742" s="280">
        <f t="shared" ref="M742:M747" si="636">(M90*3+M198*1+M306*2+M414*4+M522+M627)/12</f>
        <v>3028</v>
      </c>
      <c r="N742" s="364">
        <f t="shared" ref="N742:P747" si="637">(N90*6+N306*1+N414*4+N627)/12</f>
        <v>2</v>
      </c>
      <c r="O742" s="364">
        <f t="shared" si="637"/>
        <v>2.35</v>
      </c>
      <c r="P742" s="364">
        <f t="shared" si="637"/>
        <v>1.58</v>
      </c>
      <c r="Q742" s="282"/>
      <c r="R742" s="280">
        <f t="shared" ref="R742:R747" si="638">(R90+R306+R414+R627)</f>
        <v>1832</v>
      </c>
      <c r="S742" s="280">
        <f t="shared" ref="S742:S747" si="639">T742/(R742/12)</f>
        <v>147.2882096069869</v>
      </c>
      <c r="T742" s="425">
        <f t="shared" ref="T742:T747" si="640">ROUND(M742*N742*O742*P742,0)</f>
        <v>22486</v>
      </c>
      <c r="U742" s="284">
        <f t="shared" ref="U742:U747" si="641">U90+U198+U306+U414+U522+U627</f>
        <v>269832</v>
      </c>
      <c r="V742" s="277">
        <v>30</v>
      </c>
      <c r="W742" s="285"/>
      <c r="X742" s="285">
        <f t="shared" ref="X742:X747" si="642">U742*V742%</f>
        <v>80949.599999999991</v>
      </c>
      <c r="Y742" s="277"/>
      <c r="Z742" s="277"/>
      <c r="AA742" s="277"/>
      <c r="AB742" s="277"/>
      <c r="AC742" s="277"/>
      <c r="AD742" s="277"/>
      <c r="AE742" s="277"/>
      <c r="AF742" s="277"/>
      <c r="AG742" s="277"/>
      <c r="AH742" s="277"/>
      <c r="AI742" s="277"/>
      <c r="AJ742" s="277"/>
      <c r="AK742" s="277">
        <v>15</v>
      </c>
      <c r="AL742" s="277">
        <f t="shared" ref="AL742:AL748" si="643">(AL90*3+AL306*3+AL414*4+AL522+AL627)/12</f>
        <v>0</v>
      </c>
      <c r="AM742" s="280">
        <f t="shared" ref="AM742:AM747" si="644">AM90+AM198+AM306+AM414+AM522+AM627</f>
        <v>40474.800000000003</v>
      </c>
      <c r="AN742" s="277"/>
      <c r="AO742" s="277"/>
      <c r="AP742" s="277"/>
      <c r="AQ742" s="284">
        <f t="shared" ref="AQ742:AQ748" si="645">X742+AA742+AD742+AG742+AJ742+AM742+AP742</f>
        <v>121424.4</v>
      </c>
      <c r="AR742" s="277">
        <f>AR$29</f>
        <v>20</v>
      </c>
      <c r="AS742" s="277">
        <f t="shared" ref="AS742:AS747" si="646">AT742/C742</f>
        <v>53966.399999999994</v>
      </c>
      <c r="AT742" s="280">
        <f t="shared" ref="AT742:AU747" si="647">AT90+AT198+AT306+AT414+AT522+AT627</f>
        <v>53966.399999999994</v>
      </c>
      <c r="AU742" s="280">
        <f t="shared" si="647"/>
        <v>1</v>
      </c>
      <c r="AV742" s="277">
        <v>100</v>
      </c>
      <c r="AW742" s="280">
        <f t="shared" ref="AW742:AW747" si="648">AW90+AW198+AW306+AW414+AW522+AW627</f>
        <v>22486</v>
      </c>
      <c r="AX742" s="277"/>
      <c r="AY742" s="277"/>
      <c r="AZ742" s="280">
        <f>AZ90+AZ306+AZ414+AZ522+AZ627</f>
        <v>0</v>
      </c>
      <c r="BA742" s="284">
        <f t="shared" ref="BA742:BA747" si="649">AT742+AW742+AZ742</f>
        <v>76452.399999999994</v>
      </c>
      <c r="BB742" s="284">
        <f t="shared" ref="BB742:BB747" si="650">BC742/C742</f>
        <v>467708.8</v>
      </c>
      <c r="BC742" s="284">
        <f t="shared" ref="BC742:BC747" si="651">BA742+AQ742+U742</f>
        <v>467708.8</v>
      </c>
      <c r="BD742" s="286">
        <f t="shared" ref="BD742:BD747" si="652">BC742/C742/12</f>
        <v>38975.73333333333</v>
      </c>
      <c r="BE742" s="286"/>
      <c r="BF742" s="251">
        <f t="shared" ref="BF742:BF747" si="653">IF(D742=1,BC742,0)</f>
        <v>0</v>
      </c>
      <c r="BG742" s="251">
        <f t="shared" ref="BG742:BG747" si="654">IF(E742=1,BC742,0)</f>
        <v>0</v>
      </c>
      <c r="BH742" s="251">
        <f t="shared" ref="BH742:BH747" si="655">IF(F742=1,BC742,0)</f>
        <v>0</v>
      </c>
      <c r="BI742" s="251">
        <f t="shared" ref="BI742:BI747" si="656">IF(G742=1,BC742,0)</f>
        <v>0</v>
      </c>
      <c r="BJ742" s="251">
        <f t="shared" ref="BJ742:BJ747" si="657">IF(H742=1,BC742,0)</f>
        <v>0</v>
      </c>
      <c r="BK742" s="251">
        <f t="shared" ref="BK742:BK747" si="658">IF(I742=1,BC742,0)</f>
        <v>0</v>
      </c>
      <c r="BL742" s="251">
        <f t="shared" ref="BL742:BL747" si="659">IF(J742=1,BC742,0)</f>
        <v>467708.8</v>
      </c>
      <c r="BM742" s="251">
        <f t="shared" ref="BM742:BM747" si="660">IF(K742=1,BC742,0)</f>
        <v>0</v>
      </c>
      <c r="BP742" s="474">
        <f t="shared" ref="BP742:BP747" si="661">AU742-C742</f>
        <v>0</v>
      </c>
    </row>
    <row r="743" spans="1:68" s="287" customFormat="1" ht="22.15" customHeight="1" x14ac:dyDescent="0.25">
      <c r="A743" s="276"/>
      <c r="B743" s="288" t="s">
        <v>238</v>
      </c>
      <c r="C743" s="364">
        <f t="shared" si="635"/>
        <v>2</v>
      </c>
      <c r="D743" s="279"/>
      <c r="E743" s="279"/>
      <c r="F743" s="279"/>
      <c r="G743" s="279"/>
      <c r="H743" s="279"/>
      <c r="I743" s="279"/>
      <c r="J743" s="279">
        <v>1</v>
      </c>
      <c r="K743" s="279"/>
      <c r="L743" s="277"/>
      <c r="M743" s="280">
        <f t="shared" si="636"/>
        <v>3028</v>
      </c>
      <c r="N743" s="364">
        <f t="shared" si="637"/>
        <v>2</v>
      </c>
      <c r="O743" s="364">
        <f t="shared" si="637"/>
        <v>1.8</v>
      </c>
      <c r="P743" s="364">
        <f t="shared" si="637"/>
        <v>1.58</v>
      </c>
      <c r="Q743" s="282"/>
      <c r="R743" s="280">
        <f t="shared" si="638"/>
        <v>1832</v>
      </c>
      <c r="S743" s="280">
        <f t="shared" si="639"/>
        <v>112.81441048034935</v>
      </c>
      <c r="T743" s="425">
        <f t="shared" si="640"/>
        <v>17223</v>
      </c>
      <c r="U743" s="284">
        <f t="shared" si="641"/>
        <v>413352</v>
      </c>
      <c r="V743" s="277">
        <v>20</v>
      </c>
      <c r="W743" s="285"/>
      <c r="X743" s="285">
        <f t="shared" si="642"/>
        <v>82670.400000000009</v>
      </c>
      <c r="Y743" s="277"/>
      <c r="Z743" s="277"/>
      <c r="AA743" s="277"/>
      <c r="AB743" s="277"/>
      <c r="AC743" s="277"/>
      <c r="AD743" s="277"/>
      <c r="AE743" s="277"/>
      <c r="AF743" s="277"/>
      <c r="AG743" s="277"/>
      <c r="AH743" s="277"/>
      <c r="AI743" s="277"/>
      <c r="AJ743" s="277"/>
      <c r="AK743" s="277">
        <f>(15+15)/2</f>
        <v>15</v>
      </c>
      <c r="AL743" s="277">
        <f t="shared" si="643"/>
        <v>0</v>
      </c>
      <c r="AM743" s="280">
        <f t="shared" si="644"/>
        <v>62002.8</v>
      </c>
      <c r="AN743" s="277"/>
      <c r="AO743" s="277"/>
      <c r="AP743" s="277"/>
      <c r="AQ743" s="284">
        <f t="shared" si="645"/>
        <v>144673.20000000001</v>
      </c>
      <c r="AR743" s="277">
        <f>AR$29</f>
        <v>20</v>
      </c>
      <c r="AS743" s="285">
        <f t="shared" si="646"/>
        <v>41335.199999999997</v>
      </c>
      <c r="AT743" s="280">
        <f t="shared" si="647"/>
        <v>82670.399999999994</v>
      </c>
      <c r="AU743" s="280">
        <f t="shared" si="647"/>
        <v>2</v>
      </c>
      <c r="AV743" s="277">
        <v>100</v>
      </c>
      <c r="AW743" s="280">
        <f t="shared" si="648"/>
        <v>34446</v>
      </c>
      <c r="AX743" s="277"/>
      <c r="AY743" s="277"/>
      <c r="AZ743" s="280">
        <f>AZ91+AZ307+AZ415+AZ523+AZ628</f>
        <v>0</v>
      </c>
      <c r="BA743" s="284">
        <f t="shared" si="649"/>
        <v>117116.4</v>
      </c>
      <c r="BB743" s="284">
        <f t="shared" si="650"/>
        <v>337570.8</v>
      </c>
      <c r="BC743" s="284">
        <f t="shared" si="651"/>
        <v>675141.6</v>
      </c>
      <c r="BD743" s="286">
        <f t="shared" si="652"/>
        <v>28130.899999999998</v>
      </c>
      <c r="BE743" s="286"/>
      <c r="BF743" s="251">
        <f t="shared" si="653"/>
        <v>0</v>
      </c>
      <c r="BG743" s="251">
        <f t="shared" si="654"/>
        <v>0</v>
      </c>
      <c r="BH743" s="251">
        <f t="shared" si="655"/>
        <v>0</v>
      </c>
      <c r="BI743" s="251">
        <f t="shared" si="656"/>
        <v>0</v>
      </c>
      <c r="BJ743" s="251">
        <f t="shared" si="657"/>
        <v>0</v>
      </c>
      <c r="BK743" s="251">
        <f t="shared" si="658"/>
        <v>0</v>
      </c>
      <c r="BL743" s="251">
        <f t="shared" si="659"/>
        <v>675141.6</v>
      </c>
      <c r="BM743" s="251">
        <f t="shared" si="660"/>
        <v>0</v>
      </c>
      <c r="BP743" s="474">
        <f t="shared" si="661"/>
        <v>0</v>
      </c>
    </row>
    <row r="744" spans="1:68" s="287" customFormat="1" ht="28.5" x14ac:dyDescent="0.25">
      <c r="A744" s="276"/>
      <c r="B744" s="288" t="s">
        <v>261</v>
      </c>
      <c r="C744" s="364">
        <f t="shared" si="635"/>
        <v>1</v>
      </c>
      <c r="D744" s="279"/>
      <c r="E744" s="279"/>
      <c r="F744" s="279"/>
      <c r="G744" s="279"/>
      <c r="H744" s="279">
        <v>1</v>
      </c>
      <c r="I744" s="279"/>
      <c r="J744" s="279"/>
      <c r="K744" s="279"/>
      <c r="L744" s="277"/>
      <c r="M744" s="280">
        <f t="shared" si="636"/>
        <v>3028</v>
      </c>
      <c r="N744" s="364">
        <f t="shared" si="637"/>
        <v>2</v>
      </c>
      <c r="O744" s="364">
        <f t="shared" si="637"/>
        <v>1.32</v>
      </c>
      <c r="P744" s="364">
        <f t="shared" si="637"/>
        <v>1.58</v>
      </c>
      <c r="Q744" s="282"/>
      <c r="R744" s="280">
        <f t="shared" si="638"/>
        <v>1832</v>
      </c>
      <c r="S744" s="280">
        <f>T744/(R744/12)</f>
        <v>82.729257641921407</v>
      </c>
      <c r="T744" s="425">
        <f>ROUND(M744*N744*O744*P744,0)</f>
        <v>12630</v>
      </c>
      <c r="U744" s="284">
        <f t="shared" si="641"/>
        <v>151560</v>
      </c>
      <c r="V744" s="277">
        <v>12</v>
      </c>
      <c r="W744" s="285"/>
      <c r="X744" s="285">
        <f>U744*V744%</f>
        <v>18187.2</v>
      </c>
      <c r="Y744" s="277"/>
      <c r="Z744" s="277"/>
      <c r="AA744" s="277"/>
      <c r="AB744" s="277"/>
      <c r="AC744" s="277"/>
      <c r="AD744" s="277"/>
      <c r="AE744" s="277"/>
      <c r="AF744" s="277"/>
      <c r="AG744" s="277"/>
      <c r="AH744" s="277"/>
      <c r="AI744" s="277"/>
      <c r="AJ744" s="277"/>
      <c r="AK744" s="277">
        <v>20</v>
      </c>
      <c r="AL744" s="277">
        <f t="shared" si="643"/>
        <v>0</v>
      </c>
      <c r="AM744" s="280">
        <f t="shared" si="644"/>
        <v>30312</v>
      </c>
      <c r="AN744" s="277"/>
      <c r="AO744" s="277"/>
      <c r="AP744" s="277"/>
      <c r="AQ744" s="284">
        <f>X744+AA744+AD744+AG744+AJ744+AM744+AP744</f>
        <v>48499.199999999997</v>
      </c>
      <c r="AR744" s="277">
        <f>AR$29</f>
        <v>20</v>
      </c>
      <c r="AS744" s="285">
        <f>AT744/C744</f>
        <v>30312</v>
      </c>
      <c r="AT744" s="280">
        <f t="shared" si="647"/>
        <v>30312</v>
      </c>
      <c r="AU744" s="280">
        <f t="shared" si="647"/>
        <v>1</v>
      </c>
      <c r="AV744" s="277">
        <v>100</v>
      </c>
      <c r="AW744" s="280">
        <f t="shared" si="648"/>
        <v>12630</v>
      </c>
      <c r="AX744" s="277"/>
      <c r="AY744" s="277"/>
      <c r="AZ744" s="280">
        <f>AZ92+AZ308+AZ416+AZ524+AZ629</f>
        <v>0</v>
      </c>
      <c r="BA744" s="284">
        <f>AT744+AW744+AZ744</f>
        <v>42942</v>
      </c>
      <c r="BB744" s="284">
        <f>BC744/C744</f>
        <v>243001.2</v>
      </c>
      <c r="BC744" s="284">
        <f>BA744+AQ744+U744</f>
        <v>243001.2</v>
      </c>
      <c r="BD744" s="286">
        <f>BC744/C744/12</f>
        <v>20250.100000000002</v>
      </c>
      <c r="BE744" s="286"/>
      <c r="BF744" s="251">
        <f>IF(D744=1,BC744,0)</f>
        <v>0</v>
      </c>
      <c r="BG744" s="251">
        <f>IF(E744=1,BC744,0)</f>
        <v>0</v>
      </c>
      <c r="BH744" s="251">
        <f>IF(F744=1,BC744,0)</f>
        <v>0</v>
      </c>
      <c r="BI744" s="251">
        <f>IF(G744=1,BC744,0)</f>
        <v>0</v>
      </c>
      <c r="BJ744" s="251">
        <f>IF(H744=1,BC744,0)</f>
        <v>243001.2</v>
      </c>
      <c r="BK744" s="251">
        <f>IF(I744=1,BC744,0)</f>
        <v>0</v>
      </c>
      <c r="BL744" s="251">
        <f>IF(J744=1,BC744,0)</f>
        <v>0</v>
      </c>
      <c r="BM744" s="251">
        <f>IF(K744=1,BC744,0)</f>
        <v>0</v>
      </c>
      <c r="BP744" s="474">
        <f t="shared" si="661"/>
        <v>0</v>
      </c>
    </row>
    <row r="745" spans="1:68" s="287" customFormat="1" ht="28.5" x14ac:dyDescent="0.25">
      <c r="A745" s="276"/>
      <c r="B745" s="288" t="s">
        <v>300</v>
      </c>
      <c r="C745" s="364">
        <f t="shared" si="635"/>
        <v>4</v>
      </c>
      <c r="D745" s="279"/>
      <c r="E745" s="279"/>
      <c r="F745" s="279"/>
      <c r="G745" s="279"/>
      <c r="H745" s="279">
        <v>1</v>
      </c>
      <c r="I745" s="279"/>
      <c r="J745" s="279"/>
      <c r="K745" s="279"/>
      <c r="L745" s="277"/>
      <c r="M745" s="280">
        <f t="shared" si="636"/>
        <v>3028</v>
      </c>
      <c r="N745" s="364">
        <f t="shared" si="637"/>
        <v>2</v>
      </c>
      <c r="O745" s="364">
        <f t="shared" si="637"/>
        <v>1.2</v>
      </c>
      <c r="P745" s="364">
        <f t="shared" si="637"/>
        <v>1.58</v>
      </c>
      <c r="Q745" s="282"/>
      <c r="R745" s="280">
        <f t="shared" si="638"/>
        <v>1832</v>
      </c>
      <c r="S745" s="280">
        <f t="shared" si="639"/>
        <v>75.209606986899573</v>
      </c>
      <c r="T745" s="425">
        <f t="shared" si="640"/>
        <v>11482</v>
      </c>
      <c r="U745" s="284">
        <f t="shared" si="641"/>
        <v>551136</v>
      </c>
      <c r="V745" s="277">
        <v>12</v>
      </c>
      <c r="W745" s="285"/>
      <c r="X745" s="285">
        <f t="shared" si="642"/>
        <v>66136.319999999992</v>
      </c>
      <c r="Y745" s="277"/>
      <c r="Z745" s="277"/>
      <c r="AA745" s="277"/>
      <c r="AB745" s="277"/>
      <c r="AC745" s="277"/>
      <c r="AD745" s="277"/>
      <c r="AE745" s="277"/>
      <c r="AF745" s="277"/>
      <c r="AG745" s="277"/>
      <c r="AH745" s="277"/>
      <c r="AI745" s="277"/>
      <c r="AJ745" s="277"/>
      <c r="AK745" s="277">
        <f>(15+20+10+10)/4</f>
        <v>13.75</v>
      </c>
      <c r="AL745" s="277">
        <f t="shared" si="643"/>
        <v>0</v>
      </c>
      <c r="AM745" s="280">
        <f t="shared" si="644"/>
        <v>75781.200000000012</v>
      </c>
      <c r="AN745" s="277"/>
      <c r="AO745" s="277"/>
      <c r="AP745" s="277"/>
      <c r="AQ745" s="284">
        <f t="shared" si="645"/>
        <v>141917.52000000002</v>
      </c>
      <c r="AR745" s="277">
        <f>AR$29</f>
        <v>20</v>
      </c>
      <c r="AS745" s="285">
        <f t="shared" si="646"/>
        <v>27556.800000000003</v>
      </c>
      <c r="AT745" s="280">
        <f t="shared" si="647"/>
        <v>110227.20000000001</v>
      </c>
      <c r="AU745" s="280">
        <f t="shared" si="647"/>
        <v>4</v>
      </c>
      <c r="AV745" s="277">
        <v>100</v>
      </c>
      <c r="AW745" s="280">
        <f t="shared" si="648"/>
        <v>45928</v>
      </c>
      <c r="AX745" s="277"/>
      <c r="AY745" s="277"/>
      <c r="AZ745" s="280">
        <f>AZ93+AZ309+AZ417+AZ525+AZ630</f>
        <v>0</v>
      </c>
      <c r="BA745" s="284">
        <f t="shared" si="649"/>
        <v>156155.20000000001</v>
      </c>
      <c r="BB745" s="284">
        <f t="shared" si="650"/>
        <v>212302.18</v>
      </c>
      <c r="BC745" s="284">
        <f t="shared" si="651"/>
        <v>849208.72</v>
      </c>
      <c r="BD745" s="286">
        <f t="shared" si="652"/>
        <v>17691.848333333332</v>
      </c>
      <c r="BE745" s="286"/>
      <c r="BF745" s="251">
        <f t="shared" si="653"/>
        <v>0</v>
      </c>
      <c r="BG745" s="251">
        <f t="shared" si="654"/>
        <v>0</v>
      </c>
      <c r="BH745" s="251">
        <f t="shared" si="655"/>
        <v>0</v>
      </c>
      <c r="BI745" s="251">
        <f t="shared" si="656"/>
        <v>0</v>
      </c>
      <c r="BJ745" s="251">
        <f t="shared" si="657"/>
        <v>849208.72</v>
      </c>
      <c r="BK745" s="251">
        <f t="shared" si="658"/>
        <v>0</v>
      </c>
      <c r="BL745" s="251">
        <f t="shared" si="659"/>
        <v>0</v>
      </c>
      <c r="BM745" s="251">
        <f t="shared" si="660"/>
        <v>0</v>
      </c>
      <c r="BP745" s="474">
        <f t="shared" si="661"/>
        <v>0</v>
      </c>
    </row>
    <row r="746" spans="1:68" s="301" customFormat="1" ht="28.5" x14ac:dyDescent="0.25">
      <c r="A746" s="289"/>
      <c r="B746" s="290" t="s">
        <v>300</v>
      </c>
      <c r="C746" s="364">
        <f t="shared" si="635"/>
        <v>6</v>
      </c>
      <c r="D746" s="292"/>
      <c r="E746" s="292"/>
      <c r="F746" s="292"/>
      <c r="G746" s="292"/>
      <c r="H746" s="292"/>
      <c r="I746" s="292">
        <v>1</v>
      </c>
      <c r="J746" s="292"/>
      <c r="K746" s="292"/>
      <c r="L746" s="293"/>
      <c r="M746" s="280">
        <f t="shared" si="636"/>
        <v>3028</v>
      </c>
      <c r="N746" s="475">
        <f t="shared" si="637"/>
        <v>2</v>
      </c>
      <c r="O746" s="475">
        <f t="shared" si="637"/>
        <v>1.2</v>
      </c>
      <c r="P746" s="475">
        <f t="shared" si="637"/>
        <v>1.58</v>
      </c>
      <c r="Q746" s="295"/>
      <c r="R746" s="294">
        <f t="shared" si="638"/>
        <v>1832</v>
      </c>
      <c r="S746" s="294">
        <f t="shared" si="639"/>
        <v>75.209606986899573</v>
      </c>
      <c r="T746" s="291">
        <f t="shared" si="640"/>
        <v>11482</v>
      </c>
      <c r="U746" s="284">
        <f t="shared" si="641"/>
        <v>826704</v>
      </c>
      <c r="V746" s="293">
        <v>12</v>
      </c>
      <c r="W746" s="298"/>
      <c r="X746" s="298">
        <f t="shared" si="642"/>
        <v>99204.479999999996</v>
      </c>
      <c r="Y746" s="293"/>
      <c r="Z746" s="293"/>
      <c r="AA746" s="293"/>
      <c r="AB746" s="293"/>
      <c r="AC746" s="293"/>
      <c r="AD746" s="293"/>
      <c r="AE746" s="293"/>
      <c r="AF746" s="293"/>
      <c r="AG746" s="293"/>
      <c r="AH746" s="293"/>
      <c r="AI746" s="293"/>
      <c r="AJ746" s="293"/>
      <c r="AK746" s="277">
        <f>(10+10)/2</f>
        <v>10</v>
      </c>
      <c r="AL746" s="293">
        <f t="shared" si="643"/>
        <v>0</v>
      </c>
      <c r="AM746" s="280">
        <f t="shared" si="644"/>
        <v>27556.800000000003</v>
      </c>
      <c r="AN746" s="293"/>
      <c r="AO746" s="293"/>
      <c r="AP746" s="293"/>
      <c r="AQ746" s="297">
        <f t="shared" si="645"/>
        <v>126761.28</v>
      </c>
      <c r="AR746" s="293">
        <f>AR$29</f>
        <v>20</v>
      </c>
      <c r="AS746" s="298">
        <f t="shared" si="646"/>
        <v>27556.799999999999</v>
      </c>
      <c r="AT746" s="280">
        <f t="shared" si="647"/>
        <v>165340.79999999999</v>
      </c>
      <c r="AU746" s="280">
        <f t="shared" si="647"/>
        <v>6</v>
      </c>
      <c r="AV746" s="293">
        <v>100</v>
      </c>
      <c r="AW746" s="280">
        <f t="shared" si="648"/>
        <v>68892</v>
      </c>
      <c r="AX746" s="293"/>
      <c r="AY746" s="293"/>
      <c r="AZ746" s="294">
        <f>AZ94+AZ310+AZ418+AZ526+AZ631</f>
        <v>0</v>
      </c>
      <c r="BA746" s="297">
        <f t="shared" si="649"/>
        <v>234232.8</v>
      </c>
      <c r="BB746" s="297">
        <f t="shared" si="650"/>
        <v>197949.68000000002</v>
      </c>
      <c r="BC746" s="297">
        <f t="shared" si="651"/>
        <v>1187698.08</v>
      </c>
      <c r="BD746" s="299">
        <f t="shared" si="652"/>
        <v>16495.806666666667</v>
      </c>
      <c r="BE746" s="299"/>
      <c r="BF746" s="300">
        <f t="shared" si="653"/>
        <v>0</v>
      </c>
      <c r="BG746" s="300">
        <f t="shared" si="654"/>
        <v>0</v>
      </c>
      <c r="BH746" s="300">
        <f t="shared" si="655"/>
        <v>0</v>
      </c>
      <c r="BI746" s="300">
        <f t="shared" si="656"/>
        <v>0</v>
      </c>
      <c r="BJ746" s="300">
        <f t="shared" si="657"/>
        <v>0</v>
      </c>
      <c r="BK746" s="300">
        <f t="shared" si="658"/>
        <v>1187698.08</v>
      </c>
      <c r="BL746" s="300">
        <f t="shared" si="659"/>
        <v>0</v>
      </c>
      <c r="BM746" s="300">
        <f t="shared" si="660"/>
        <v>0</v>
      </c>
      <c r="BP746" s="474">
        <f t="shared" si="661"/>
        <v>0</v>
      </c>
    </row>
    <row r="747" spans="1:68" s="287" customFormat="1" x14ac:dyDescent="0.25">
      <c r="A747" s="276"/>
      <c r="B747" s="288"/>
      <c r="C747" s="364">
        <f t="shared" si="635"/>
        <v>0</v>
      </c>
      <c r="D747" s="279"/>
      <c r="E747" s="279"/>
      <c r="F747" s="279"/>
      <c r="G747" s="279"/>
      <c r="H747" s="279"/>
      <c r="I747" s="279"/>
      <c r="J747" s="279">
        <v>1</v>
      </c>
      <c r="K747" s="279"/>
      <c r="L747" s="277"/>
      <c r="M747" s="280">
        <f t="shared" si="636"/>
        <v>0</v>
      </c>
      <c r="N747" s="364">
        <f t="shared" si="637"/>
        <v>0</v>
      </c>
      <c r="O747" s="364">
        <f t="shared" si="637"/>
        <v>0</v>
      </c>
      <c r="P747" s="364">
        <f t="shared" si="637"/>
        <v>0</v>
      </c>
      <c r="Q747" s="282"/>
      <c r="R747" s="280">
        <f t="shared" si="638"/>
        <v>0</v>
      </c>
      <c r="S747" s="280" t="e">
        <f t="shared" si="639"/>
        <v>#DIV/0!</v>
      </c>
      <c r="T747" s="425">
        <f t="shared" si="640"/>
        <v>0</v>
      </c>
      <c r="U747" s="284">
        <f t="shared" si="641"/>
        <v>0</v>
      </c>
      <c r="V747" s="277">
        <v>0</v>
      </c>
      <c r="W747" s="285"/>
      <c r="X747" s="285">
        <f t="shared" si="642"/>
        <v>0</v>
      </c>
      <c r="Y747" s="277"/>
      <c r="Z747" s="277"/>
      <c r="AA747" s="277"/>
      <c r="AB747" s="277"/>
      <c r="AC747" s="277"/>
      <c r="AD747" s="277"/>
      <c r="AE747" s="277"/>
      <c r="AF747" s="277"/>
      <c r="AG747" s="277"/>
      <c r="AH747" s="277"/>
      <c r="AI747" s="277"/>
      <c r="AJ747" s="277"/>
      <c r="AK747" s="277"/>
      <c r="AL747" s="277">
        <f t="shared" si="643"/>
        <v>0</v>
      </c>
      <c r="AM747" s="280">
        <f t="shared" si="644"/>
        <v>0</v>
      </c>
      <c r="AN747" s="277"/>
      <c r="AO747" s="277"/>
      <c r="AP747" s="277"/>
      <c r="AQ747" s="284">
        <f t="shared" si="645"/>
        <v>0</v>
      </c>
      <c r="AR747" s="277"/>
      <c r="AS747" s="285" t="e">
        <f t="shared" si="646"/>
        <v>#DIV/0!</v>
      </c>
      <c r="AT747" s="280">
        <f t="shared" si="647"/>
        <v>0</v>
      </c>
      <c r="AU747" s="280">
        <f t="shared" si="647"/>
        <v>0</v>
      </c>
      <c r="AV747" s="277">
        <v>100</v>
      </c>
      <c r="AW747" s="280">
        <f t="shared" si="648"/>
        <v>0</v>
      </c>
      <c r="AX747" s="277"/>
      <c r="AY747" s="277"/>
      <c r="AZ747" s="304">
        <f>AZ95+AZ203+AZ311+AZ419+AZ527+AZ632</f>
        <v>0</v>
      </c>
      <c r="BA747" s="284">
        <f t="shared" si="649"/>
        <v>0</v>
      </c>
      <c r="BB747" s="284" t="e">
        <f t="shared" si="650"/>
        <v>#DIV/0!</v>
      </c>
      <c r="BC747" s="284">
        <f t="shared" si="651"/>
        <v>0</v>
      </c>
      <c r="BD747" s="286" t="e">
        <f t="shared" si="652"/>
        <v>#DIV/0!</v>
      </c>
      <c r="BE747" s="286"/>
      <c r="BF747" s="251">
        <f t="shared" si="653"/>
        <v>0</v>
      </c>
      <c r="BG747" s="251">
        <f t="shared" si="654"/>
        <v>0</v>
      </c>
      <c r="BH747" s="251">
        <f t="shared" si="655"/>
        <v>0</v>
      </c>
      <c r="BI747" s="251">
        <f t="shared" si="656"/>
        <v>0</v>
      </c>
      <c r="BJ747" s="251">
        <f t="shared" si="657"/>
        <v>0</v>
      </c>
      <c r="BK747" s="251">
        <f t="shared" si="658"/>
        <v>0</v>
      </c>
      <c r="BL747" s="251">
        <f t="shared" si="659"/>
        <v>0</v>
      </c>
      <c r="BM747" s="251">
        <f t="shared" si="660"/>
        <v>0</v>
      </c>
      <c r="BP747" s="474">
        <f t="shared" si="661"/>
        <v>0</v>
      </c>
    </row>
    <row r="748" spans="1:68" s="287" customFormat="1" x14ac:dyDescent="0.25">
      <c r="A748" s="276"/>
      <c r="B748" s="288"/>
      <c r="C748" s="425"/>
      <c r="D748" s="279"/>
      <c r="E748" s="279"/>
      <c r="F748" s="279"/>
      <c r="G748" s="279"/>
      <c r="H748" s="279"/>
      <c r="I748" s="279"/>
      <c r="J748" s="279"/>
      <c r="K748" s="279"/>
      <c r="L748" s="277"/>
      <c r="M748" s="280"/>
      <c r="N748" s="281"/>
      <c r="O748" s="282"/>
      <c r="P748" s="282"/>
      <c r="Q748" s="282"/>
      <c r="R748" s="283"/>
      <c r="S748" s="280"/>
      <c r="T748" s="425"/>
      <c r="U748" s="284"/>
      <c r="V748" s="277"/>
      <c r="W748" s="285"/>
      <c r="X748" s="285"/>
      <c r="Y748" s="277"/>
      <c r="Z748" s="277"/>
      <c r="AA748" s="277"/>
      <c r="AB748" s="277"/>
      <c r="AC748" s="277"/>
      <c r="AD748" s="285"/>
      <c r="AE748" s="277"/>
      <c r="AF748" s="285"/>
      <c r="AG748" s="285"/>
      <c r="AH748" s="277"/>
      <c r="AI748" s="285"/>
      <c r="AJ748" s="285"/>
      <c r="AK748" s="277"/>
      <c r="AL748" s="277">
        <f t="shared" si="643"/>
        <v>0</v>
      </c>
      <c r="AM748" s="280">
        <f>AM96+AM312+AM420+AM528+AM633</f>
        <v>0</v>
      </c>
      <c r="AN748" s="277"/>
      <c r="AO748" s="277"/>
      <c r="AP748" s="277"/>
      <c r="AQ748" s="284">
        <f t="shared" si="645"/>
        <v>0</v>
      </c>
      <c r="AR748" s="277"/>
      <c r="AS748" s="285"/>
      <c r="AT748" s="280"/>
      <c r="AU748" s="277"/>
      <c r="AV748" s="277"/>
      <c r="AW748" s="277"/>
      <c r="AX748" s="277"/>
      <c r="AY748" s="285"/>
      <c r="AZ748" s="294">
        <f>AZ96+AZ312+AZ420+AZ528+AZ633</f>
        <v>0</v>
      </c>
      <c r="BA748" s="284"/>
      <c r="BB748" s="284"/>
      <c r="BC748" s="284"/>
      <c r="BD748" s="286"/>
      <c r="BE748" s="286"/>
      <c r="BF748" s="251"/>
      <c r="BG748" s="251"/>
      <c r="BH748" s="251"/>
      <c r="BI748" s="251"/>
      <c r="BJ748" s="251"/>
      <c r="BK748" s="251"/>
      <c r="BL748" s="251"/>
      <c r="BM748" s="251"/>
    </row>
    <row r="749" spans="1:68" s="316" customFormat="1" ht="14.25" x14ac:dyDescent="0.25">
      <c r="A749" s="306"/>
      <c r="B749" s="372" t="s">
        <v>229</v>
      </c>
      <c r="C749" s="308">
        <f>SUM(C742:C748)</f>
        <v>14</v>
      </c>
      <c r="D749" s="309"/>
      <c r="E749" s="309"/>
      <c r="F749" s="309"/>
      <c r="G749" s="309"/>
      <c r="H749" s="309"/>
      <c r="I749" s="309"/>
      <c r="J749" s="309"/>
      <c r="K749" s="309"/>
      <c r="L749" s="309"/>
      <c r="M749" s="310"/>
      <c r="N749" s="309"/>
      <c r="O749" s="309"/>
      <c r="P749" s="309"/>
      <c r="Q749" s="309"/>
      <c r="R749" s="310"/>
      <c r="S749" s="310"/>
      <c r="T749" s="311">
        <f>U749/12</f>
        <v>184382</v>
      </c>
      <c r="U749" s="312">
        <f>SUM(U742:U748)</f>
        <v>2212584</v>
      </c>
      <c r="V749" s="309"/>
      <c r="W749" s="309"/>
      <c r="X749" s="312">
        <f>SUM(X742:X748)</f>
        <v>347148</v>
      </c>
      <c r="Y749" s="312"/>
      <c r="Z749" s="312"/>
      <c r="AA749" s="312">
        <f>SUM(AA742:AA748)</f>
        <v>0</v>
      </c>
      <c r="AB749" s="313"/>
      <c r="AC749" s="313"/>
      <c r="AD749" s="313">
        <f>SUM(AD742:AD748)</f>
        <v>0</v>
      </c>
      <c r="AE749" s="312"/>
      <c r="AF749" s="312"/>
      <c r="AG749" s="312">
        <f>SUM(AG742:AG748)</f>
        <v>0</v>
      </c>
      <c r="AH749" s="312"/>
      <c r="AI749" s="312"/>
      <c r="AJ749" s="312">
        <f>SUM(AJ742:AJ748)</f>
        <v>0</v>
      </c>
      <c r="AK749" s="312"/>
      <c r="AL749" s="312"/>
      <c r="AM749" s="312">
        <f>SUM(AM742:AM748)</f>
        <v>236127.60000000003</v>
      </c>
      <c r="AN749" s="312"/>
      <c r="AO749" s="312"/>
      <c r="AP749" s="312">
        <f>SUM(AP742:AP748)</f>
        <v>0</v>
      </c>
      <c r="AQ749" s="312">
        <f>SUM(AQ742:AQ748)</f>
        <v>583275.6</v>
      </c>
      <c r="AR749" s="312"/>
      <c r="AS749" s="312" t="e">
        <f>SUM(AS742:AS748)</f>
        <v>#DIV/0!</v>
      </c>
      <c r="AT749" s="312">
        <f>SUM(AT742:AT748)</f>
        <v>442516.8</v>
      </c>
      <c r="AU749" s="312">
        <f>SUM(AU742:AU748)</f>
        <v>14</v>
      </c>
      <c r="AV749" s="312"/>
      <c r="AW749" s="312">
        <f>SUM(AW742:AW748)</f>
        <v>184382</v>
      </c>
      <c r="AX749" s="312"/>
      <c r="AY749" s="312">
        <f>SUM(AY742:AY748)</f>
        <v>0</v>
      </c>
      <c r="AZ749" s="312">
        <f>SUM(AZ742:AZ748)</f>
        <v>0</v>
      </c>
      <c r="BA749" s="312">
        <f>SUM(BA742:BA748)</f>
        <v>626898.80000000005</v>
      </c>
      <c r="BB749" s="312">
        <f>BC749/C749</f>
        <v>244482.74285714285</v>
      </c>
      <c r="BC749" s="312">
        <f>SUM(BC742:BC748)</f>
        <v>3422758.4</v>
      </c>
      <c r="BD749" s="286">
        <f>BC749/C749/12</f>
        <v>20373.561904761904</v>
      </c>
      <c r="BE749" s="286"/>
    </row>
    <row r="750" spans="1:68" s="287" customFormat="1" ht="15.75" customHeight="1" x14ac:dyDescent="0.25">
      <c r="A750" s="276"/>
      <c r="B750" s="288"/>
      <c r="C750" s="425"/>
      <c r="D750" s="279"/>
      <c r="E750" s="279"/>
      <c r="F750" s="279"/>
      <c r="G750" s="279"/>
      <c r="H750" s="279"/>
      <c r="I750" s="279"/>
      <c r="J750" s="279"/>
      <c r="K750" s="279"/>
      <c r="L750" s="277"/>
      <c r="M750" s="280"/>
      <c r="N750" s="282"/>
      <c r="O750" s="282"/>
      <c r="P750" s="282"/>
      <c r="Q750" s="282"/>
      <c r="R750" s="283"/>
      <c r="S750" s="364"/>
      <c r="T750" s="425"/>
      <c r="U750" s="476">
        <f t="shared" ref="U750:AJ750" si="662">U634+U529+U421+U313+U205+U97</f>
        <v>2212584</v>
      </c>
      <c r="V750" s="476">
        <f t="shared" si="662"/>
        <v>0</v>
      </c>
      <c r="W750" s="476">
        <f t="shared" si="662"/>
        <v>0</v>
      </c>
      <c r="X750" s="476">
        <f t="shared" si="662"/>
        <v>347148</v>
      </c>
      <c r="Y750" s="476">
        <f t="shared" si="662"/>
        <v>0</v>
      </c>
      <c r="Z750" s="476">
        <f t="shared" si="662"/>
        <v>0</v>
      </c>
      <c r="AA750" s="476">
        <f t="shared" si="662"/>
        <v>0</v>
      </c>
      <c r="AB750" s="476">
        <f t="shared" si="662"/>
        <v>0</v>
      </c>
      <c r="AC750" s="476">
        <f t="shared" si="662"/>
        <v>0</v>
      </c>
      <c r="AD750" s="476">
        <f t="shared" si="662"/>
        <v>0</v>
      </c>
      <c r="AE750" s="476">
        <f t="shared" si="662"/>
        <v>0</v>
      </c>
      <c r="AF750" s="476">
        <f t="shared" si="662"/>
        <v>0</v>
      </c>
      <c r="AG750" s="476">
        <f t="shared" si="662"/>
        <v>0</v>
      </c>
      <c r="AH750" s="476">
        <f t="shared" si="662"/>
        <v>0</v>
      </c>
      <c r="AI750" s="476">
        <f t="shared" si="662"/>
        <v>0</v>
      </c>
      <c r="AJ750" s="476">
        <f t="shared" si="662"/>
        <v>0</v>
      </c>
      <c r="AK750" s="274"/>
      <c r="AL750" s="476">
        <f t="shared" ref="AL750:BC750" si="663">AL634+AL529+AL421+AL313+AL205+AL97</f>
        <v>0</v>
      </c>
      <c r="AM750" s="476">
        <f t="shared" si="663"/>
        <v>236127.60000000003</v>
      </c>
      <c r="AN750" s="476">
        <f t="shared" si="663"/>
        <v>0</v>
      </c>
      <c r="AO750" s="476">
        <f t="shared" si="663"/>
        <v>0</v>
      </c>
      <c r="AP750" s="476">
        <f t="shared" si="663"/>
        <v>0</v>
      </c>
      <c r="AQ750" s="476">
        <f t="shared" si="663"/>
        <v>583275.6</v>
      </c>
      <c r="AR750" s="476">
        <f t="shared" si="663"/>
        <v>0</v>
      </c>
      <c r="AS750" s="476">
        <f t="shared" si="663"/>
        <v>180727.2</v>
      </c>
      <c r="AT750" s="476">
        <f t="shared" si="663"/>
        <v>442516.80000000005</v>
      </c>
      <c r="AU750" s="476">
        <f t="shared" si="663"/>
        <v>14</v>
      </c>
      <c r="AV750" s="476">
        <f t="shared" si="663"/>
        <v>0</v>
      </c>
      <c r="AW750" s="476">
        <f t="shared" si="663"/>
        <v>184382</v>
      </c>
      <c r="AX750" s="476">
        <f t="shared" si="663"/>
        <v>0</v>
      </c>
      <c r="AY750" s="476">
        <f t="shared" si="663"/>
        <v>0</v>
      </c>
      <c r="AZ750" s="476">
        <f t="shared" si="663"/>
        <v>0</v>
      </c>
      <c r="BA750" s="476">
        <f t="shared" si="663"/>
        <v>626898.80000000005</v>
      </c>
      <c r="BB750" s="476">
        <f t="shared" si="663"/>
        <v>244482.74285714288</v>
      </c>
      <c r="BC750" s="476">
        <f t="shared" si="663"/>
        <v>3422758.4000000004</v>
      </c>
      <c r="BD750" s="286"/>
      <c r="BE750" s="286"/>
      <c r="BF750" s="251"/>
      <c r="BG750" s="251"/>
      <c r="BH750" s="251"/>
      <c r="BI750" s="251"/>
      <c r="BJ750" s="251"/>
      <c r="BK750" s="251"/>
      <c r="BL750" s="251"/>
      <c r="BM750" s="251"/>
    </row>
    <row r="751" spans="1:68" s="388" customFormat="1" ht="25.5" x14ac:dyDescent="0.25">
      <c r="A751" s="383"/>
      <c r="B751" s="480" t="s">
        <v>264</v>
      </c>
      <c r="C751" s="385"/>
      <c r="D751" s="384"/>
      <c r="E751" s="384"/>
      <c r="F751" s="384"/>
      <c r="G751" s="384"/>
      <c r="H751" s="384"/>
      <c r="I751" s="384"/>
      <c r="J751" s="384"/>
      <c r="K751" s="384"/>
      <c r="L751" s="384"/>
      <c r="M751" s="481"/>
      <c r="N751" s="482"/>
      <c r="O751" s="482"/>
      <c r="P751" s="482"/>
      <c r="Q751" s="482"/>
      <c r="R751" s="386"/>
      <c r="S751" s="483"/>
      <c r="T751" s="385"/>
      <c r="U751" s="387"/>
      <c r="V751" s="384"/>
      <c r="W751" s="387"/>
      <c r="X751" s="387"/>
      <c r="Y751" s="384"/>
      <c r="Z751" s="384"/>
      <c r="AA751" s="384"/>
      <c r="AB751" s="277"/>
      <c r="AC751" s="277"/>
      <c r="AD751" s="285"/>
      <c r="AE751" s="384"/>
      <c r="AF751" s="387"/>
      <c r="AG751" s="387"/>
      <c r="AH751" s="384"/>
      <c r="AI751" s="387"/>
      <c r="AJ751" s="387"/>
      <c r="AK751" s="272"/>
      <c r="AL751" s="384"/>
      <c r="AM751" s="384"/>
      <c r="AN751" s="384"/>
      <c r="AO751" s="384"/>
      <c r="AP751" s="384"/>
      <c r="AQ751" s="387"/>
      <c r="AR751" s="384"/>
      <c r="AS751" s="387"/>
      <c r="AT751" s="481"/>
      <c r="AU751" s="384"/>
      <c r="AV751" s="384"/>
      <c r="AW751" s="384"/>
      <c r="AX751" s="384"/>
      <c r="AY751" s="387"/>
      <c r="AZ751" s="481"/>
      <c r="BA751" s="387"/>
      <c r="BB751" s="387"/>
      <c r="BC751" s="387"/>
      <c r="BD751" s="286"/>
      <c r="BE751" s="286"/>
      <c r="BF751" s="484"/>
      <c r="BG751" s="484"/>
      <c r="BH751" s="484"/>
      <c r="BI751" s="484"/>
      <c r="BJ751" s="484"/>
      <c r="BK751" s="484"/>
      <c r="BL751" s="484"/>
      <c r="BM751" s="484"/>
    </row>
    <row r="752" spans="1:68" s="377" customFormat="1" x14ac:dyDescent="0.25">
      <c r="A752" s="375"/>
      <c r="B752" s="288" t="s">
        <v>265</v>
      </c>
      <c r="C752" s="364">
        <f>(C100*3+C208*1+C316*2+C424*4+C532+C637)/12</f>
        <v>1</v>
      </c>
      <c r="D752" s="292"/>
      <c r="E752" s="292"/>
      <c r="F752" s="292"/>
      <c r="G752" s="292"/>
      <c r="H752" s="292"/>
      <c r="I752" s="292">
        <v>1</v>
      </c>
      <c r="J752" s="292"/>
      <c r="K752" s="292"/>
      <c r="L752" s="293"/>
      <c r="M752" s="280">
        <f>(M100*3+M208*1+M316*2+M424*4+M532+M637)/12</f>
        <v>3028</v>
      </c>
      <c r="N752" s="475">
        <f t="shared" ref="N752:P755" si="664">(N100*6+N316*1+N424*4+N637)/12</f>
        <v>2</v>
      </c>
      <c r="O752" s="475">
        <f t="shared" si="664"/>
        <v>1.8999999999999997</v>
      </c>
      <c r="P752" s="475">
        <f t="shared" si="664"/>
        <v>1.58</v>
      </c>
      <c r="Q752" s="293"/>
      <c r="R752" s="294">
        <f>(R100+R316+R424+R637)</f>
        <v>1832</v>
      </c>
      <c r="S752" s="294">
        <f>T752/(R752/12)</f>
        <v>119.08296943231441</v>
      </c>
      <c r="T752" s="291">
        <f>ROUND(M752*N752*O752*P752,0)</f>
        <v>18180</v>
      </c>
      <c r="U752" s="284">
        <f>U100+U208+U316+U424+U532+U637</f>
        <v>218160</v>
      </c>
      <c r="V752" s="293">
        <v>20</v>
      </c>
      <c r="W752" s="298"/>
      <c r="X752" s="298">
        <f>U752*V752%</f>
        <v>43632</v>
      </c>
      <c r="Y752" s="293"/>
      <c r="Z752" s="293"/>
      <c r="AA752" s="293"/>
      <c r="AB752" s="293"/>
      <c r="AC752" s="293"/>
      <c r="AD752" s="293"/>
      <c r="AE752" s="293"/>
      <c r="AF752" s="293"/>
      <c r="AG752" s="293"/>
      <c r="AH752" s="293"/>
      <c r="AI752" s="293"/>
      <c r="AJ752" s="293"/>
      <c r="AK752" s="293">
        <v>15</v>
      </c>
      <c r="AL752" s="293">
        <f>(AL100*3+AL316*3+AL424*4+AL532+AL637)/12</f>
        <v>0</v>
      </c>
      <c r="AM752" s="280">
        <f>AM100+AM208+AM316+AM424+AM532+AM637</f>
        <v>32724</v>
      </c>
      <c r="AN752" s="293"/>
      <c r="AO752" s="293"/>
      <c r="AP752" s="293"/>
      <c r="AQ752" s="297">
        <f>X752+AA752+AD752+AG752+AJ752+AM752+AP752</f>
        <v>76356</v>
      </c>
      <c r="AR752" s="293">
        <f>AR$29</f>
        <v>20</v>
      </c>
      <c r="AS752" s="298">
        <f>AT752/C752</f>
        <v>43632</v>
      </c>
      <c r="AT752" s="280">
        <f t="shared" ref="AT752:AU755" si="665">AT100+AT208+AT316+AT424+AT532+AT637</f>
        <v>43632</v>
      </c>
      <c r="AU752" s="280">
        <f t="shared" si="665"/>
        <v>1</v>
      </c>
      <c r="AV752" s="293">
        <v>100</v>
      </c>
      <c r="AW752" s="280">
        <f>AW100+AW208+AW316+AW424+AW532+AW637</f>
        <v>18180</v>
      </c>
      <c r="AX752" s="293"/>
      <c r="AY752" s="293"/>
      <c r="AZ752" s="294">
        <f>AZ100+AZ316+AZ424+AZ532+AZ637</f>
        <v>0</v>
      </c>
      <c r="BA752" s="297">
        <f>AT752+AW752+AZ752</f>
        <v>61812</v>
      </c>
      <c r="BB752" s="297">
        <f t="shared" ref="BB752:BB757" si="666">BC752/C752</f>
        <v>356328</v>
      </c>
      <c r="BC752" s="297">
        <f>BA752+AQ752+U752</f>
        <v>356328</v>
      </c>
      <c r="BD752" s="299">
        <f t="shared" ref="BD752:BD757" si="667">BC752/C752/12</f>
        <v>29694</v>
      </c>
      <c r="BE752" s="299"/>
      <c r="BF752" s="377">
        <f>IF(D752=1,BC752,0)</f>
        <v>0</v>
      </c>
      <c r="BG752" s="377">
        <f>IF(E752=1,BC752,0)</f>
        <v>0</v>
      </c>
      <c r="BH752" s="377">
        <f>IF(F752=1,BC752,0)</f>
        <v>0</v>
      </c>
      <c r="BI752" s="377">
        <f>IF(G752=1,BC752,0)</f>
        <v>0</v>
      </c>
      <c r="BJ752" s="300">
        <f>IF(H752=1,BC752,0)</f>
        <v>0</v>
      </c>
      <c r="BK752" s="300">
        <f>IF(I752=1,BC752,0)</f>
        <v>356328</v>
      </c>
      <c r="BL752" s="300">
        <f>IF(J752=1,BC752,0)</f>
        <v>0</v>
      </c>
      <c r="BM752" s="377">
        <f>IF(K752=1,BC752,0)</f>
        <v>0</v>
      </c>
      <c r="BP752" s="474">
        <f>AU752-C752</f>
        <v>0</v>
      </c>
    </row>
    <row r="753" spans="1:68" ht="42.75" x14ac:dyDescent="0.25">
      <c r="A753" s="344"/>
      <c r="B753" s="288" t="s">
        <v>266</v>
      </c>
      <c r="C753" s="364">
        <f>(C101*3+C209*1+C317*2+C425*4+C533+C638)/12</f>
        <v>2.25</v>
      </c>
      <c r="D753" s="279"/>
      <c r="E753" s="279"/>
      <c r="F753" s="279"/>
      <c r="G753" s="279"/>
      <c r="H753" s="279"/>
      <c r="I753" s="279">
        <v>1</v>
      </c>
      <c r="J753" s="279"/>
      <c r="K753" s="279"/>
      <c r="L753" s="277">
        <v>4</v>
      </c>
      <c r="M753" s="280">
        <f>(M101*3+M209*1+M317*2+M425*4+M533+M638)/12</f>
        <v>3028</v>
      </c>
      <c r="N753" s="475">
        <f t="shared" si="664"/>
        <v>2</v>
      </c>
      <c r="O753" s="364">
        <f t="shared" si="664"/>
        <v>1.43</v>
      </c>
      <c r="P753" s="364">
        <f t="shared" si="664"/>
        <v>1.58</v>
      </c>
      <c r="Q753" s="277"/>
      <c r="R753" s="280">
        <f>(R101+R317+R425+R638)</f>
        <v>1832</v>
      </c>
      <c r="S753" s="280">
        <f>T753/(R753/12)</f>
        <v>89.626637554585159</v>
      </c>
      <c r="T753" s="425">
        <f>ROUND(M753*N753*O753*P753,0)</f>
        <v>13683</v>
      </c>
      <c r="U753" s="284">
        <f>U101+U209+U317+U425+U533+U638</f>
        <v>369441</v>
      </c>
      <c r="V753" s="277">
        <v>16</v>
      </c>
      <c r="W753" s="285"/>
      <c r="X753" s="285">
        <f>U753*V753%</f>
        <v>59110.559999999998</v>
      </c>
      <c r="Y753" s="277"/>
      <c r="Z753" s="285"/>
      <c r="AA753" s="285"/>
      <c r="AB753" s="277"/>
      <c r="AC753" s="277"/>
      <c r="AD753" s="277"/>
      <c r="AE753" s="277"/>
      <c r="AF753" s="277"/>
      <c r="AG753" s="277"/>
      <c r="AH753" s="277"/>
      <c r="AI753" s="277"/>
      <c r="AJ753" s="277"/>
      <c r="AK753" s="277">
        <v>7</v>
      </c>
      <c r="AL753" s="277">
        <f>(AL101*3+AL317*3+AL425*4+AL533+AL638)/12</f>
        <v>0</v>
      </c>
      <c r="AM753" s="280">
        <f>AM101+AM209+AM317+AM425+AM533+AM638</f>
        <v>11491.72</v>
      </c>
      <c r="AN753" s="277"/>
      <c r="AO753" s="277"/>
      <c r="AP753" s="277"/>
      <c r="AQ753" s="284">
        <f>X753+AA753+AD753+AG753+AJ753+AM753+AP753</f>
        <v>70602.28</v>
      </c>
      <c r="AR753" s="277">
        <f>AR$29</f>
        <v>20</v>
      </c>
      <c r="AS753" s="285">
        <f>AT753/C753</f>
        <v>32839.200000000004</v>
      </c>
      <c r="AT753" s="280">
        <f t="shared" si="665"/>
        <v>73888.200000000012</v>
      </c>
      <c r="AU753" s="280">
        <f t="shared" si="665"/>
        <v>1</v>
      </c>
      <c r="AV753" s="277">
        <v>100</v>
      </c>
      <c r="AW753" s="280">
        <f>AW101+AW209+AW317+AW425+AW533+AW638</f>
        <v>13683</v>
      </c>
      <c r="AX753" s="277"/>
      <c r="AY753" s="277"/>
      <c r="AZ753" s="280">
        <f>AZ101+AZ317+AZ425+AZ533+AZ638</f>
        <v>0</v>
      </c>
      <c r="BA753" s="284">
        <f>AT753+AW753+AZ753</f>
        <v>87571.200000000012</v>
      </c>
      <c r="BB753" s="284">
        <f t="shared" si="666"/>
        <v>234495.32444444444</v>
      </c>
      <c r="BC753" s="284">
        <f>BA753+AQ753+U753</f>
        <v>527614.48</v>
      </c>
      <c r="BD753" s="286">
        <f t="shared" si="667"/>
        <v>19541.277037037038</v>
      </c>
      <c r="BE753" s="286"/>
      <c r="BF753" s="241">
        <f>IF(D753=1,BC753,0)</f>
        <v>0</v>
      </c>
      <c r="BG753" s="241">
        <f>IF(E753=1,BC753,0)</f>
        <v>0</v>
      </c>
      <c r="BH753" s="251">
        <f>IF(F753=1,BC753,0)</f>
        <v>0</v>
      </c>
      <c r="BI753" s="241">
        <f>IF(G753=1,BC753,0)</f>
        <v>0</v>
      </c>
      <c r="BJ753" s="251">
        <f>IF(H753=1,BC753,0)</f>
        <v>0</v>
      </c>
      <c r="BK753" s="251">
        <f>IF(I753=1,BC753,0)</f>
        <v>527614.48</v>
      </c>
      <c r="BL753" s="251">
        <f>IF(J753=1,BC753,0)</f>
        <v>0</v>
      </c>
      <c r="BM753" s="241">
        <f>IF(K753=1,BC753,0)</f>
        <v>0</v>
      </c>
      <c r="BP753" s="474">
        <f>AU753-C753</f>
        <v>-1.25</v>
      </c>
    </row>
    <row r="754" spans="1:68" x14ac:dyDescent="0.25">
      <c r="A754" s="344"/>
      <c r="B754" s="288" t="s">
        <v>240</v>
      </c>
      <c r="C754" s="364">
        <f>(C102*3+C210*1+C318*2+C426*4+C534+C639)/12</f>
        <v>0.25</v>
      </c>
      <c r="D754" s="279"/>
      <c r="E754" s="279"/>
      <c r="F754" s="279"/>
      <c r="G754" s="279"/>
      <c r="H754" s="279"/>
      <c r="I754" s="279">
        <v>1</v>
      </c>
      <c r="J754" s="279"/>
      <c r="K754" s="279"/>
      <c r="L754" s="277">
        <v>4</v>
      </c>
      <c r="M754" s="280">
        <f>(M102*3+M210*1+M318*2+M426*4+M534+M639)/12</f>
        <v>3028</v>
      </c>
      <c r="N754" s="475">
        <f t="shared" si="664"/>
        <v>2</v>
      </c>
      <c r="O754" s="364">
        <f t="shared" si="664"/>
        <v>1.43</v>
      </c>
      <c r="P754" s="364">
        <f t="shared" si="664"/>
        <v>1.58</v>
      </c>
      <c r="Q754" s="277"/>
      <c r="R754" s="280">
        <f>(R102+R318+R426+R639)</f>
        <v>1832</v>
      </c>
      <c r="S754" s="280">
        <f>T754/(R754/12)</f>
        <v>89.626637554585159</v>
      </c>
      <c r="T754" s="425">
        <f>ROUND(M754*N754*O754*P754,0)</f>
        <v>13683</v>
      </c>
      <c r="U754" s="284">
        <f>U102+U210+U318+U426+U534+U639</f>
        <v>41049</v>
      </c>
      <c r="V754" s="277">
        <v>16</v>
      </c>
      <c r="W754" s="285"/>
      <c r="X754" s="285">
        <f>U754*V754%</f>
        <v>6567.84</v>
      </c>
      <c r="Y754" s="277">
        <v>4</v>
      </c>
      <c r="Z754" s="285"/>
      <c r="AA754" s="285">
        <f>U754*Y754%</f>
        <v>1641.96</v>
      </c>
      <c r="AB754" s="277"/>
      <c r="AC754" s="277"/>
      <c r="AD754" s="277"/>
      <c r="AE754" s="277"/>
      <c r="AF754" s="277"/>
      <c r="AG754" s="277"/>
      <c r="AH754" s="277"/>
      <c r="AI754" s="277"/>
      <c r="AJ754" s="277"/>
      <c r="AK754" s="277"/>
      <c r="AL754" s="277">
        <f>(AL102*3+AL318*3+AL426*4+AL534+AL639)/12</f>
        <v>0</v>
      </c>
      <c r="AM754" s="280">
        <f>AM102+AM210+AM318+AM426+AM534+AM639</f>
        <v>0</v>
      </c>
      <c r="AN754" s="277"/>
      <c r="AO754" s="277"/>
      <c r="AP754" s="277"/>
      <c r="AQ754" s="284">
        <f>X754+AA754+AD754+AG754+AJ754+AM754+AP754</f>
        <v>8209.7999999999993</v>
      </c>
      <c r="AR754" s="277">
        <f>AR$29</f>
        <v>20</v>
      </c>
      <c r="AS754" s="285">
        <f>AT754/C754</f>
        <v>32839.200000000004</v>
      </c>
      <c r="AT754" s="280">
        <f t="shared" si="665"/>
        <v>8209.8000000000011</v>
      </c>
      <c r="AU754" s="280">
        <f t="shared" si="665"/>
        <v>0</v>
      </c>
      <c r="AV754" s="277">
        <v>100</v>
      </c>
      <c r="AW754" s="280">
        <f>AW102+AW210+AW318+AW426+AW534+AW639</f>
        <v>0</v>
      </c>
      <c r="AX754" s="277"/>
      <c r="AY754" s="277"/>
      <c r="AZ754" s="280">
        <f>AZ102+AZ318+AZ426+AZ534+AZ639</f>
        <v>0</v>
      </c>
      <c r="BA754" s="284">
        <f>AT754+AW754+AZ754</f>
        <v>8209.8000000000011</v>
      </c>
      <c r="BB754" s="284">
        <f t="shared" si="666"/>
        <v>229874.4</v>
      </c>
      <c r="BC754" s="284">
        <f>BA754+AQ754+U754</f>
        <v>57468.6</v>
      </c>
      <c r="BD754" s="286">
        <f t="shared" si="667"/>
        <v>19156.2</v>
      </c>
      <c r="BE754" s="286"/>
      <c r="BF754" s="241">
        <f>IF(D754=1,BC754,0)</f>
        <v>0</v>
      </c>
      <c r="BG754" s="241">
        <f>IF(E754=1,BC754,0)</f>
        <v>0</v>
      </c>
      <c r="BH754" s="251">
        <f>IF(F754=1,BC754,0)</f>
        <v>0</v>
      </c>
      <c r="BI754" s="241">
        <f>IF(G754=1,BC754,0)</f>
        <v>0</v>
      </c>
      <c r="BJ754" s="251">
        <f>IF(H754=1,BC754,0)</f>
        <v>0</v>
      </c>
      <c r="BK754" s="251">
        <f>IF(I754=1,BC754,0)</f>
        <v>57468.6</v>
      </c>
      <c r="BL754" s="251">
        <f>IF(J754=1,BC754,0)</f>
        <v>0</v>
      </c>
      <c r="BM754" s="241">
        <f>IF(K754=1,BC754,0)</f>
        <v>0</v>
      </c>
      <c r="BP754" s="474">
        <f>AU754-C754</f>
        <v>-0.25</v>
      </c>
    </row>
    <row r="755" spans="1:68" x14ac:dyDescent="0.25">
      <c r="A755" s="344"/>
      <c r="B755" s="288" t="s">
        <v>267</v>
      </c>
      <c r="C755" s="364">
        <f>(C103*3+C211*1+C319*2+C427*4+C535+C640)/12</f>
        <v>0.85416666666666663</v>
      </c>
      <c r="D755" s="279"/>
      <c r="E755" s="279"/>
      <c r="F755" s="279"/>
      <c r="G755" s="279"/>
      <c r="H755" s="279"/>
      <c r="I755" s="279">
        <v>1</v>
      </c>
      <c r="J755" s="279"/>
      <c r="K755" s="279"/>
      <c r="L755" s="277"/>
      <c r="M755" s="280">
        <f>(M103*3+M211*1+M319*2+M427*4+M535+M640)/12</f>
        <v>3028</v>
      </c>
      <c r="N755" s="475">
        <f t="shared" si="664"/>
        <v>2</v>
      </c>
      <c r="O755" s="364">
        <f t="shared" si="664"/>
        <v>1.95</v>
      </c>
      <c r="P755" s="364">
        <f t="shared" si="664"/>
        <v>1</v>
      </c>
      <c r="Q755" s="277"/>
      <c r="R755" s="280">
        <f>(R103+R319+R427+R640)</f>
        <v>1832</v>
      </c>
      <c r="S755" s="280">
        <f>T755/(R755/12)</f>
        <v>77.351528384279476</v>
      </c>
      <c r="T755" s="425">
        <f>ROUND(M755*N755*O755*P755,0)</f>
        <v>11809</v>
      </c>
      <c r="U755" s="284">
        <f>U103+U211+U319+U427+U535+U640</f>
        <v>121042.25</v>
      </c>
      <c r="V755" s="277"/>
      <c r="W755" s="285"/>
      <c r="X755" s="285">
        <f>U755*V755%</f>
        <v>0</v>
      </c>
      <c r="Y755" s="277"/>
      <c r="Z755" s="277"/>
      <c r="AA755" s="277"/>
      <c r="AB755" s="277"/>
      <c r="AC755" s="277"/>
      <c r="AD755" s="277"/>
      <c r="AE755" s="277"/>
      <c r="AF755" s="277"/>
      <c r="AG755" s="277"/>
      <c r="AH755" s="277"/>
      <c r="AI755" s="277"/>
      <c r="AJ755" s="277"/>
      <c r="AK755" s="277"/>
      <c r="AL755" s="277">
        <f>(AL103*3+AL319*3+AL427*4+AL535+AL640)/12</f>
        <v>0</v>
      </c>
      <c r="AM755" s="280">
        <f>AM103+AM211+AM319+AM427+AM535+AM640</f>
        <v>0</v>
      </c>
      <c r="AN755" s="277">
        <v>25</v>
      </c>
      <c r="AO755" s="285"/>
      <c r="AP755" s="285">
        <f>U755*AN755%</f>
        <v>30260.5625</v>
      </c>
      <c r="AQ755" s="284">
        <f>X755+AA755+AD755+AG755+AJ755+AM755+AP755</f>
        <v>30260.5625</v>
      </c>
      <c r="AR755" s="277">
        <f>AR$29</f>
        <v>20</v>
      </c>
      <c r="AS755" s="285">
        <f>AT755/C755</f>
        <v>28341.600000000002</v>
      </c>
      <c r="AT755" s="280">
        <f t="shared" si="665"/>
        <v>24208.45</v>
      </c>
      <c r="AU755" s="280">
        <f t="shared" si="665"/>
        <v>0</v>
      </c>
      <c r="AV755" s="277">
        <v>100</v>
      </c>
      <c r="AW755" s="280">
        <f>AW103+AW211+AW319+AW427+AW535+AW640</f>
        <v>0</v>
      </c>
      <c r="AX755" s="277"/>
      <c r="AY755" s="277"/>
      <c r="AZ755" s="280">
        <f>AZ103+AZ319+AZ427+AZ535+AZ640</f>
        <v>0</v>
      </c>
      <c r="BA755" s="284">
        <f>AT755+AW755+AZ755</f>
        <v>24208.45</v>
      </c>
      <c r="BB755" s="284">
        <f t="shared" si="666"/>
        <v>205476.60000000003</v>
      </c>
      <c r="BC755" s="284">
        <f>BA755+AQ755+U755</f>
        <v>175511.26250000001</v>
      </c>
      <c r="BD755" s="286">
        <f t="shared" si="667"/>
        <v>17123.050000000003</v>
      </c>
      <c r="BE755" s="286"/>
      <c r="BF755" s="241">
        <f>IF(D755=1,BC755,0)</f>
        <v>0</v>
      </c>
      <c r="BG755" s="241">
        <f>IF(E755=1,BC755,0)</f>
        <v>0</v>
      </c>
      <c r="BH755" s="251">
        <f>IF(F755=1,BC755,0)</f>
        <v>0</v>
      </c>
      <c r="BI755" s="241">
        <f>IF(G755=1,BC755,0)</f>
        <v>0</v>
      </c>
      <c r="BJ755" s="251">
        <f>IF(H755=1,BC755,0)</f>
        <v>0</v>
      </c>
      <c r="BK755" s="251">
        <f>IF(I755=1,BC755,0)</f>
        <v>175511.26250000001</v>
      </c>
      <c r="BL755" s="251">
        <f>IF(J755=1,BC755,0)</f>
        <v>0</v>
      </c>
      <c r="BM755" s="241">
        <f>IF(K755=1,BC755,0)</f>
        <v>0</v>
      </c>
      <c r="BP755" s="474">
        <f>AU755-C755</f>
        <v>-0.85416666666666663</v>
      </c>
    </row>
    <row r="756" spans="1:68" s="316" customFormat="1" ht="21" customHeight="1" x14ac:dyDescent="0.25">
      <c r="A756" s="306"/>
      <c r="B756" s="372" t="s">
        <v>229</v>
      </c>
      <c r="C756" s="436">
        <f>SUM(C752:C755)</f>
        <v>4.354166666666667</v>
      </c>
      <c r="D756" s="309"/>
      <c r="E756" s="309"/>
      <c r="F756" s="309"/>
      <c r="G756" s="309"/>
      <c r="H756" s="309"/>
      <c r="I756" s="309"/>
      <c r="J756" s="309"/>
      <c r="K756" s="309"/>
      <c r="L756" s="309"/>
      <c r="M756" s="310"/>
      <c r="N756" s="309"/>
      <c r="O756" s="309"/>
      <c r="P756" s="309"/>
      <c r="Q756" s="309"/>
      <c r="R756" s="310"/>
      <c r="S756" s="310"/>
      <c r="T756" s="311">
        <f>U756/12</f>
        <v>62474.354166666664</v>
      </c>
      <c r="U756" s="329">
        <f>SUM(U752:U755)</f>
        <v>749692.25</v>
      </c>
      <c r="V756" s="309"/>
      <c r="W756" s="309"/>
      <c r="X756" s="329">
        <f>SUM(X752:X755)</f>
        <v>109310.39999999999</v>
      </c>
      <c r="Y756" s="329"/>
      <c r="Z756" s="329"/>
      <c r="AA756" s="329">
        <f>SUM(AA752:AA755)</f>
        <v>1641.96</v>
      </c>
      <c r="AB756" s="394"/>
      <c r="AC756" s="394"/>
      <c r="AD756" s="394">
        <f>SUM(AD752:AD755)</f>
        <v>0</v>
      </c>
      <c r="AE756" s="329"/>
      <c r="AF756" s="329"/>
      <c r="AG756" s="329">
        <f>SUM(AG752:AG755)</f>
        <v>0</v>
      </c>
      <c r="AH756" s="329"/>
      <c r="AI756" s="329"/>
      <c r="AJ756" s="329">
        <f>SUM(AJ752:AJ755)</f>
        <v>0</v>
      </c>
      <c r="AK756" s="329"/>
      <c r="AL756" s="329"/>
      <c r="AM756" s="329">
        <f>SUM(AM752:AM755)</f>
        <v>44215.72</v>
      </c>
      <c r="AN756" s="329"/>
      <c r="AO756" s="329"/>
      <c r="AP756" s="329">
        <f>SUM(AP752:AP755)</f>
        <v>30260.5625</v>
      </c>
      <c r="AQ756" s="329">
        <f>SUM(AQ752:AQ755)</f>
        <v>185428.64249999999</v>
      </c>
      <c r="AR756" s="329"/>
      <c r="AS756" s="329">
        <f>SUM(AS752:AS755)</f>
        <v>137652.00000000003</v>
      </c>
      <c r="AT756" s="329">
        <f>SUM(AT752:AT755)</f>
        <v>149938.45000000001</v>
      </c>
      <c r="AU756" s="329">
        <f>SUM(AU752:AU755)</f>
        <v>2</v>
      </c>
      <c r="AV756" s="329"/>
      <c r="AW756" s="329">
        <f>SUM(AW752:AW755)</f>
        <v>31863</v>
      </c>
      <c r="AX756" s="329"/>
      <c r="AY756" s="329">
        <f>SUM(AY752:AY755)</f>
        <v>0</v>
      </c>
      <c r="AZ756" s="329">
        <f>SUM(AZ752:AZ755)</f>
        <v>0</v>
      </c>
      <c r="BA756" s="329">
        <f>SUM(BA752:BA755)</f>
        <v>181801.45</v>
      </c>
      <c r="BB756" s="329">
        <f t="shared" si="666"/>
        <v>256518.04995215309</v>
      </c>
      <c r="BC756" s="329">
        <f>SUM(BC752:BC755)</f>
        <v>1116922.3425</v>
      </c>
      <c r="BD756" s="286">
        <f t="shared" si="667"/>
        <v>21376.504162679423</v>
      </c>
      <c r="BE756" s="286"/>
    </row>
    <row r="757" spans="1:68" s="316" customFormat="1" ht="21" customHeight="1" x14ac:dyDescent="0.25">
      <c r="A757" s="309">
        <v>5</v>
      </c>
      <c r="B757" s="307" t="s">
        <v>229</v>
      </c>
      <c r="C757" s="436">
        <f>+C749+C756</f>
        <v>18.354166666666668</v>
      </c>
      <c r="D757" s="309"/>
      <c r="E757" s="309"/>
      <c r="F757" s="309"/>
      <c r="G757" s="309"/>
      <c r="H757" s="309"/>
      <c r="I757" s="309"/>
      <c r="J757" s="309"/>
      <c r="K757" s="309"/>
      <c r="L757" s="309"/>
      <c r="M757" s="310"/>
      <c r="N757" s="309"/>
      <c r="O757" s="309"/>
      <c r="P757" s="309"/>
      <c r="Q757" s="309"/>
      <c r="R757" s="310"/>
      <c r="S757" s="310"/>
      <c r="T757" s="311">
        <f>U757/12</f>
        <v>246856.35416666666</v>
      </c>
      <c r="U757" s="329">
        <f>+U749+U756</f>
        <v>2962276.25</v>
      </c>
      <c r="V757" s="309"/>
      <c r="W757" s="309"/>
      <c r="X757" s="329">
        <f>+X749+X756</f>
        <v>456458.4</v>
      </c>
      <c r="Y757" s="329"/>
      <c r="Z757" s="329"/>
      <c r="AA757" s="329">
        <f>+AA749+AA756</f>
        <v>1641.96</v>
      </c>
      <c r="AB757" s="394"/>
      <c r="AC757" s="394"/>
      <c r="AD757" s="394">
        <f>+AD749+AD756</f>
        <v>0</v>
      </c>
      <c r="AE757" s="329"/>
      <c r="AF757" s="329"/>
      <c r="AG757" s="329">
        <f>+AG749+AG756</f>
        <v>0</v>
      </c>
      <c r="AH757" s="329"/>
      <c r="AI757" s="329"/>
      <c r="AJ757" s="329">
        <f>+AJ749+AJ756</f>
        <v>0</v>
      </c>
      <c r="AK757" s="329"/>
      <c r="AL757" s="329"/>
      <c r="AM757" s="485">
        <f>+AM749+AM756</f>
        <v>280343.32000000007</v>
      </c>
      <c r="AN757" s="329"/>
      <c r="AO757" s="329"/>
      <c r="AP757" s="329">
        <f>+AP749+AP756</f>
        <v>30260.5625</v>
      </c>
      <c r="AQ757" s="329">
        <f>+AQ749+AQ756</f>
        <v>768704.24249999993</v>
      </c>
      <c r="AR757" s="329"/>
      <c r="AS757" s="329" t="e">
        <f>+AS749+AS756</f>
        <v>#DIV/0!</v>
      </c>
      <c r="AT757" s="329">
        <f>+AT749+AT756</f>
        <v>592455.25</v>
      </c>
      <c r="AU757" s="329">
        <f>+AU749+AU756</f>
        <v>16</v>
      </c>
      <c r="AV757" s="329"/>
      <c r="AW757" s="485">
        <f>+AW749+AW756</f>
        <v>216245</v>
      </c>
      <c r="AX757" s="329"/>
      <c r="AY757" s="329">
        <f>+AY749+AY756</f>
        <v>0</v>
      </c>
      <c r="AZ757" s="329">
        <f>+AZ749+AZ756</f>
        <v>0</v>
      </c>
      <c r="BA757" s="329">
        <f>+BA749+BA756</f>
        <v>808700.25</v>
      </c>
      <c r="BB757" s="329">
        <f t="shared" si="666"/>
        <v>247337.88381384787</v>
      </c>
      <c r="BC757" s="329">
        <f>+BC749+BC756</f>
        <v>4539680.7424999997</v>
      </c>
      <c r="BD757" s="286">
        <f t="shared" si="667"/>
        <v>20611.490317820655</v>
      </c>
      <c r="BE757" s="286"/>
      <c r="BF757" s="315">
        <f t="shared" ref="BF757:BM757" si="668">SUM(BF742:BF756)</f>
        <v>0</v>
      </c>
      <c r="BG757" s="315">
        <f t="shared" si="668"/>
        <v>0</v>
      </c>
      <c r="BH757" s="315">
        <f t="shared" si="668"/>
        <v>0</v>
      </c>
      <c r="BI757" s="315">
        <f t="shared" si="668"/>
        <v>0</v>
      </c>
      <c r="BJ757" s="315">
        <f t="shared" si="668"/>
        <v>1092209.92</v>
      </c>
      <c r="BK757" s="315">
        <f t="shared" si="668"/>
        <v>2304620.4225000003</v>
      </c>
      <c r="BL757" s="315">
        <f t="shared" si="668"/>
        <v>1142850.3999999999</v>
      </c>
      <c r="BM757" s="315">
        <f t="shared" si="668"/>
        <v>0</v>
      </c>
    </row>
    <row r="758" spans="1:68" s="287" customFormat="1" ht="14.25" x14ac:dyDescent="0.25">
      <c r="A758" s="276"/>
      <c r="B758" s="277"/>
      <c r="C758" s="394"/>
      <c r="D758" s="395"/>
      <c r="E758" s="395"/>
      <c r="F758" s="395"/>
      <c r="G758" s="395"/>
      <c r="H758" s="395"/>
      <c r="I758" s="395"/>
      <c r="J758" s="395"/>
      <c r="K758" s="395"/>
      <c r="L758" s="395"/>
      <c r="M758" s="396"/>
      <c r="N758" s="395"/>
      <c r="O758" s="395"/>
      <c r="P758" s="395"/>
      <c r="Q758" s="395"/>
      <c r="R758" s="396"/>
      <c r="S758" s="396"/>
      <c r="T758" s="395"/>
      <c r="U758" s="476">
        <f t="shared" ref="U758:BC758" si="669">U644+U539+U431+U323+U215+U107</f>
        <v>2962276.25</v>
      </c>
      <c r="V758" s="476">
        <f t="shared" si="669"/>
        <v>0</v>
      </c>
      <c r="W758" s="476">
        <f t="shared" si="669"/>
        <v>0</v>
      </c>
      <c r="X758" s="476">
        <f t="shared" si="669"/>
        <v>456458.4</v>
      </c>
      <c r="Y758" s="476">
        <f t="shared" si="669"/>
        <v>0</v>
      </c>
      <c r="Z758" s="476">
        <f t="shared" si="669"/>
        <v>0</v>
      </c>
      <c r="AA758" s="476">
        <f t="shared" si="669"/>
        <v>1641.96</v>
      </c>
      <c r="AB758" s="476">
        <f t="shared" si="669"/>
        <v>0</v>
      </c>
      <c r="AC758" s="476">
        <f t="shared" si="669"/>
        <v>0</v>
      </c>
      <c r="AD758" s="476">
        <f t="shared" si="669"/>
        <v>0</v>
      </c>
      <c r="AE758" s="476">
        <f t="shared" si="669"/>
        <v>0</v>
      </c>
      <c r="AF758" s="476">
        <f t="shared" si="669"/>
        <v>0</v>
      </c>
      <c r="AG758" s="476">
        <f t="shared" si="669"/>
        <v>0</v>
      </c>
      <c r="AH758" s="476">
        <f t="shared" si="669"/>
        <v>0</v>
      </c>
      <c r="AI758" s="476">
        <f t="shared" si="669"/>
        <v>0</v>
      </c>
      <c r="AJ758" s="476">
        <f t="shared" si="669"/>
        <v>0</v>
      </c>
      <c r="AK758" s="476">
        <f t="shared" si="669"/>
        <v>0</v>
      </c>
      <c r="AL758" s="476">
        <f t="shared" si="669"/>
        <v>0</v>
      </c>
      <c r="AM758" s="476">
        <f t="shared" si="669"/>
        <v>280343.32000000007</v>
      </c>
      <c r="AN758" s="476">
        <f t="shared" si="669"/>
        <v>0</v>
      </c>
      <c r="AO758" s="476">
        <f t="shared" si="669"/>
        <v>0</v>
      </c>
      <c r="AP758" s="476">
        <f t="shared" si="669"/>
        <v>30260.5625</v>
      </c>
      <c r="AQ758" s="476">
        <f t="shared" si="669"/>
        <v>768704.24249999993</v>
      </c>
      <c r="AR758" s="476">
        <f t="shared" si="669"/>
        <v>0</v>
      </c>
      <c r="AS758" s="476">
        <f t="shared" si="669"/>
        <v>318379.2</v>
      </c>
      <c r="AT758" s="476">
        <f t="shared" si="669"/>
        <v>592455.25</v>
      </c>
      <c r="AU758" s="476">
        <f t="shared" si="669"/>
        <v>16</v>
      </c>
      <c r="AV758" s="476">
        <f t="shared" si="669"/>
        <v>0</v>
      </c>
      <c r="AW758" s="476">
        <f t="shared" si="669"/>
        <v>216245</v>
      </c>
      <c r="AX758" s="476">
        <f t="shared" si="669"/>
        <v>0</v>
      </c>
      <c r="AY758" s="476">
        <f t="shared" si="669"/>
        <v>0</v>
      </c>
      <c r="AZ758" s="476">
        <f t="shared" si="669"/>
        <v>0</v>
      </c>
      <c r="BA758" s="476">
        <f t="shared" si="669"/>
        <v>808700.25</v>
      </c>
      <c r="BB758" s="476">
        <f t="shared" si="669"/>
        <v>247387.85042206588</v>
      </c>
      <c r="BC758" s="476">
        <f t="shared" si="669"/>
        <v>4539680.7425000006</v>
      </c>
      <c r="BD758" s="286"/>
      <c r="BE758" s="323"/>
      <c r="BF758" s="323"/>
      <c r="BG758" s="323"/>
      <c r="BH758" s="323"/>
      <c r="BI758" s="323"/>
      <c r="BJ758" s="323"/>
      <c r="BK758" s="323"/>
      <c r="BL758" s="323"/>
      <c r="BM758" s="323"/>
    </row>
    <row r="759" spans="1:68" s="275" customFormat="1" ht="28.5" x14ac:dyDescent="0.25">
      <c r="A759" s="270" t="s">
        <v>263</v>
      </c>
      <c r="B759" s="271" t="s">
        <v>281</v>
      </c>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c r="Z759" s="272"/>
      <c r="AA759" s="272"/>
      <c r="AB759" s="272"/>
      <c r="AC759" s="272"/>
      <c r="AD759" s="272"/>
      <c r="AE759" s="272"/>
      <c r="AF759" s="272"/>
      <c r="AG759" s="272"/>
      <c r="AH759" s="272"/>
      <c r="AI759" s="272"/>
      <c r="AJ759" s="272"/>
      <c r="AK759" s="272"/>
      <c r="AL759" s="272"/>
      <c r="AM759" s="272"/>
      <c r="AN759" s="272"/>
      <c r="AO759" s="272"/>
      <c r="AP759" s="272"/>
      <c r="AQ759" s="272"/>
      <c r="AR759" s="272"/>
      <c r="AS759" s="272"/>
      <c r="AT759" s="272"/>
      <c r="AU759" s="272"/>
      <c r="AV759" s="272"/>
      <c r="AW759" s="272"/>
      <c r="AX759" s="272"/>
      <c r="AY759" s="272"/>
      <c r="AZ759" s="272"/>
      <c r="BA759" s="272"/>
      <c r="BB759" s="272"/>
      <c r="BC759" s="273"/>
      <c r="BD759" s="286"/>
      <c r="BE759" s="274"/>
    </row>
    <row r="760" spans="1:68" s="377" customFormat="1" x14ac:dyDescent="0.25">
      <c r="A760" s="375"/>
      <c r="B760" s="293" t="s">
        <v>265</v>
      </c>
      <c r="C760" s="293">
        <f>(C110*3+C218*1+C326*2+C434*4+C542+C647)/7</f>
        <v>1</v>
      </c>
      <c r="D760" s="293"/>
      <c r="E760" s="293"/>
      <c r="F760" s="293"/>
      <c r="G760" s="293"/>
      <c r="H760" s="293"/>
      <c r="I760" s="293">
        <v>1</v>
      </c>
      <c r="J760" s="293"/>
      <c r="K760" s="293"/>
      <c r="L760" s="293"/>
      <c r="M760" s="294">
        <f t="shared" ref="M760:P763" si="670">(M110*3+M218*1+M326*2+M434*4+M542+M647)/7</f>
        <v>3028</v>
      </c>
      <c r="N760" s="296">
        <f t="shared" si="670"/>
        <v>2</v>
      </c>
      <c r="O760" s="296">
        <f t="shared" si="670"/>
        <v>1.9</v>
      </c>
      <c r="P760" s="296">
        <f t="shared" si="670"/>
        <v>1.58</v>
      </c>
      <c r="Q760" s="296"/>
      <c r="R760" s="296">
        <f>(R110+R326+R434+R647)</f>
        <v>1546</v>
      </c>
      <c r="S760" s="296">
        <f>T760/(R760/8)</f>
        <v>94.075032341526523</v>
      </c>
      <c r="T760" s="486">
        <f>ROUND(M760*N760*O760*P760,0)</f>
        <v>18180</v>
      </c>
      <c r="U760" s="284">
        <f>U110+U218+U326+U434+U542+U647</f>
        <v>127260</v>
      </c>
      <c r="V760" s="293"/>
      <c r="W760" s="298"/>
      <c r="X760" s="298">
        <f>U760*V760%</f>
        <v>0</v>
      </c>
      <c r="Y760" s="293"/>
      <c r="Z760" s="293"/>
      <c r="AA760" s="293"/>
      <c r="AB760" s="293"/>
      <c r="AC760" s="293"/>
      <c r="AD760" s="293"/>
      <c r="AE760" s="293"/>
      <c r="AF760" s="293"/>
      <c r="AG760" s="293"/>
      <c r="AH760" s="293"/>
      <c r="AI760" s="293"/>
      <c r="AJ760" s="293"/>
      <c r="AK760" s="293">
        <f t="shared" ref="AK760:AL763" si="671">(AK110*3+AK326*3+AK434*4+AK542+AK647)/12</f>
        <v>0</v>
      </c>
      <c r="AL760" s="293">
        <f t="shared" si="671"/>
        <v>0</v>
      </c>
      <c r="AM760" s="280">
        <f>AM110+AM218+AM326+AM434+AM542+AM647</f>
        <v>0</v>
      </c>
      <c r="AN760" s="293"/>
      <c r="AO760" s="293"/>
      <c r="AP760" s="293"/>
      <c r="AQ760" s="297">
        <f>X760+AA760+AD760+AG760+AJ760+AM760+AP760</f>
        <v>0</v>
      </c>
      <c r="AR760" s="293">
        <v>0</v>
      </c>
      <c r="AS760" s="298">
        <f>AT760/C760</f>
        <v>0</v>
      </c>
      <c r="AT760" s="280">
        <f t="shared" ref="AT760:AU763" si="672">AT110+AT218+AT326+AT434+AT542+AT647</f>
        <v>0</v>
      </c>
      <c r="AU760" s="280">
        <f t="shared" si="672"/>
        <v>0</v>
      </c>
      <c r="AV760" s="293">
        <v>100</v>
      </c>
      <c r="AW760" s="280">
        <f>AW110+AW218+AW326+AW434+AW542+AW647</f>
        <v>0</v>
      </c>
      <c r="AX760" s="293"/>
      <c r="AY760" s="293"/>
      <c r="AZ760" s="487">
        <f>AZ110+AZ326+AZ434+AZ647</f>
        <v>0</v>
      </c>
      <c r="BA760" s="297">
        <f>AT760+AW760+AZ760</f>
        <v>0</v>
      </c>
      <c r="BB760" s="297">
        <f>BC760/C760</f>
        <v>127260</v>
      </c>
      <c r="BC760" s="488">
        <f>BA760+AQ760+U760</f>
        <v>127260</v>
      </c>
      <c r="BD760" s="299">
        <f>BC760/C760/12</f>
        <v>10605</v>
      </c>
      <c r="BE760" s="299"/>
      <c r="BF760" s="377">
        <f>IF(D760=1,BC760,0)</f>
        <v>0</v>
      </c>
      <c r="BG760" s="377">
        <f>IF(E760=1,BC760,0)</f>
        <v>0</v>
      </c>
      <c r="BH760" s="377">
        <f>IF(F760=1,BC760,0)</f>
        <v>0</v>
      </c>
      <c r="BI760" s="377">
        <f>IF(G760=1,BC760,0)</f>
        <v>0</v>
      </c>
      <c r="BJ760" s="300">
        <f>IF(H760=1,BC760,0)</f>
        <v>0</v>
      </c>
      <c r="BK760" s="300">
        <f>IF(I760=1,BC760,0)</f>
        <v>127260</v>
      </c>
      <c r="BL760" s="300">
        <f>IF(J760=1,BC760,0)</f>
        <v>0</v>
      </c>
      <c r="BM760" s="377">
        <f>IF(K760=1,BC760,0)</f>
        <v>0</v>
      </c>
    </row>
    <row r="761" spans="1:68" s="287" customFormat="1" ht="26.45" customHeight="1" x14ac:dyDescent="0.25">
      <c r="A761" s="276"/>
      <c r="B761" s="288" t="s">
        <v>240</v>
      </c>
      <c r="C761" s="288">
        <f>(C111*3+C219*1+C327*2+C435*4+C543+C648)/7</f>
        <v>5</v>
      </c>
      <c r="D761" s="288"/>
      <c r="E761" s="288"/>
      <c r="F761" s="288"/>
      <c r="G761" s="288"/>
      <c r="H761" s="288">
        <v>1</v>
      </c>
      <c r="I761" s="288"/>
      <c r="J761" s="288"/>
      <c r="K761" s="288"/>
      <c r="L761" s="288">
        <v>4</v>
      </c>
      <c r="M761" s="489">
        <f t="shared" si="670"/>
        <v>3028</v>
      </c>
      <c r="N761" s="490">
        <f t="shared" si="670"/>
        <v>2</v>
      </c>
      <c r="O761" s="490">
        <f t="shared" si="670"/>
        <v>1.43</v>
      </c>
      <c r="P761" s="490">
        <f t="shared" si="670"/>
        <v>1.58</v>
      </c>
      <c r="Q761" s="490"/>
      <c r="R761" s="490">
        <f>(R111+R327+R435+R648)</f>
        <v>1546</v>
      </c>
      <c r="S761" s="490">
        <f>T761/(R761/3)</f>
        <v>26.55174644243208</v>
      </c>
      <c r="T761" s="491">
        <f>ROUND(M761*N761*O761*P761,0)</f>
        <v>13683</v>
      </c>
      <c r="U761" s="284">
        <f>U111+U219+U327+U435+U543+U648</f>
        <v>478905</v>
      </c>
      <c r="V761" s="277">
        <v>16</v>
      </c>
      <c r="W761" s="285"/>
      <c r="X761" s="285">
        <f>U761*V761%</f>
        <v>76624.800000000003</v>
      </c>
      <c r="Y761" s="277">
        <v>4</v>
      </c>
      <c r="Z761" s="285"/>
      <c r="AA761" s="285">
        <f>U761*Y761%</f>
        <v>19156.2</v>
      </c>
      <c r="AB761" s="277"/>
      <c r="AC761" s="277"/>
      <c r="AD761" s="277"/>
      <c r="AE761" s="277"/>
      <c r="AF761" s="277"/>
      <c r="AG761" s="277"/>
      <c r="AH761" s="277"/>
      <c r="AI761" s="277"/>
      <c r="AJ761" s="277"/>
      <c r="AK761" s="277">
        <f t="shared" si="671"/>
        <v>0</v>
      </c>
      <c r="AL761" s="277">
        <f t="shared" si="671"/>
        <v>0</v>
      </c>
      <c r="AM761" s="280">
        <f>AM111+AM219+AM327+AM435+AM543+AM648</f>
        <v>0</v>
      </c>
      <c r="AN761" s="277"/>
      <c r="AO761" s="277"/>
      <c r="AP761" s="285">
        <f>U761*AN761%</f>
        <v>0</v>
      </c>
      <c r="AQ761" s="284">
        <f>X761+AA761+AD761+AG761+AJ761+AM761+AP761</f>
        <v>95781</v>
      </c>
      <c r="AR761" s="277">
        <v>10</v>
      </c>
      <c r="AS761" s="277">
        <f>AT761/C761</f>
        <v>9578.1</v>
      </c>
      <c r="AT761" s="280">
        <f t="shared" si="672"/>
        <v>47890.5</v>
      </c>
      <c r="AU761" s="280">
        <f t="shared" si="672"/>
        <v>0</v>
      </c>
      <c r="AV761" s="277">
        <v>100</v>
      </c>
      <c r="AW761" s="280">
        <f>AW111+AW219+AW327+AW435+AW543+AW648</f>
        <v>0</v>
      </c>
      <c r="AX761" s="277"/>
      <c r="AY761" s="277"/>
      <c r="AZ761" s="479">
        <f>AZ111+AZ327+AZ435+AZ648</f>
        <v>0</v>
      </c>
      <c r="BA761" s="284">
        <f>AT761+AW761+AZ761</f>
        <v>47890.5</v>
      </c>
      <c r="BB761" s="284">
        <f>BC761/C761</f>
        <v>124515.3</v>
      </c>
      <c r="BC761" s="492">
        <f>BA761+AQ761+U761</f>
        <v>622576.5</v>
      </c>
      <c r="BD761" s="286">
        <f>BC761/C761/12</f>
        <v>10376.275</v>
      </c>
      <c r="BE761" s="286"/>
      <c r="BF761" s="241">
        <f>IF(D761=1,BC761,0)</f>
        <v>0</v>
      </c>
      <c r="BG761" s="241">
        <f>IF(E761=1,BC761,0)</f>
        <v>0</v>
      </c>
      <c r="BH761" s="241">
        <f>IF(F761=1,BC761,0)</f>
        <v>0</v>
      </c>
      <c r="BI761" s="241">
        <f>IF(G761=1,BC761,0)</f>
        <v>0</v>
      </c>
      <c r="BJ761" s="251">
        <f>IF(H761=1,BC761,0)</f>
        <v>622576.5</v>
      </c>
      <c r="BK761" s="241">
        <f>IF(I761=1,BC761,0)</f>
        <v>0</v>
      </c>
      <c r="BL761" s="241">
        <f>IF(J761=1,BC761,0)</f>
        <v>0</v>
      </c>
      <c r="BM761" s="241">
        <f>IF(K761=1,BC761,0)</f>
        <v>0</v>
      </c>
    </row>
    <row r="762" spans="1:68" s="301" customFormat="1" ht="28.5" customHeight="1" x14ac:dyDescent="0.25">
      <c r="A762" s="289"/>
      <c r="B762" s="290" t="s">
        <v>217</v>
      </c>
      <c r="C762" s="290">
        <f>(C112*3+C220*1+C328*2+C436*4+C544+C649)/7</f>
        <v>0.25</v>
      </c>
      <c r="D762" s="290"/>
      <c r="E762" s="290"/>
      <c r="F762" s="290"/>
      <c r="G762" s="290"/>
      <c r="H762" s="290"/>
      <c r="I762" s="290"/>
      <c r="J762" s="290">
        <v>1</v>
      </c>
      <c r="K762" s="290"/>
      <c r="L762" s="290"/>
      <c r="M762" s="493">
        <f t="shared" si="670"/>
        <v>3028</v>
      </c>
      <c r="N762" s="494">
        <f t="shared" si="670"/>
        <v>2</v>
      </c>
      <c r="O762" s="494">
        <f t="shared" si="670"/>
        <v>2</v>
      </c>
      <c r="P762" s="494">
        <f t="shared" si="670"/>
        <v>1.58</v>
      </c>
      <c r="Q762" s="494"/>
      <c r="R762" s="494">
        <f>(R112+R328+R436+R649)</f>
        <v>1546</v>
      </c>
      <c r="S762" s="494">
        <f>T762/(R762/12)</f>
        <v>148.54075032341527</v>
      </c>
      <c r="T762" s="495">
        <f>ROUND(M762*N762*O762*P762,0)</f>
        <v>19137</v>
      </c>
      <c r="U762" s="284">
        <f>U112+U220+U328+U436+U544+U649</f>
        <v>33489.75</v>
      </c>
      <c r="V762" s="293"/>
      <c r="W762" s="298"/>
      <c r="X762" s="298">
        <f>U762*V762%</f>
        <v>0</v>
      </c>
      <c r="Y762" s="293"/>
      <c r="Z762" s="293"/>
      <c r="AA762" s="293"/>
      <c r="AB762" s="293"/>
      <c r="AC762" s="293"/>
      <c r="AD762" s="293"/>
      <c r="AE762" s="293"/>
      <c r="AF762" s="293"/>
      <c r="AG762" s="293"/>
      <c r="AH762" s="293"/>
      <c r="AI762" s="293"/>
      <c r="AJ762" s="293"/>
      <c r="AK762" s="293">
        <f t="shared" si="671"/>
        <v>0</v>
      </c>
      <c r="AL762" s="293">
        <f t="shared" si="671"/>
        <v>0</v>
      </c>
      <c r="AM762" s="280">
        <f>AM112+AM220+AM328+AM436+AM544+AM649</f>
        <v>0</v>
      </c>
      <c r="AN762" s="293"/>
      <c r="AO762" s="293"/>
      <c r="AP762" s="293"/>
      <c r="AQ762" s="297">
        <f>X762+AA762+AD762+AG762+AJ762+AM762+AP762</f>
        <v>0</v>
      </c>
      <c r="AR762" s="293"/>
      <c r="AS762" s="293">
        <f>AT762/C762</f>
        <v>0</v>
      </c>
      <c r="AT762" s="280">
        <f t="shared" si="672"/>
        <v>0</v>
      </c>
      <c r="AU762" s="280">
        <f t="shared" si="672"/>
        <v>0</v>
      </c>
      <c r="AV762" s="293">
        <v>100</v>
      </c>
      <c r="AW762" s="280">
        <f>AW112+AW220+AW328+AW436+AW544+AW649</f>
        <v>0</v>
      </c>
      <c r="AX762" s="293"/>
      <c r="AY762" s="293"/>
      <c r="AZ762" s="487">
        <f>AZ112+AZ328+AZ436+AZ649</f>
        <v>0</v>
      </c>
      <c r="BA762" s="297">
        <f>AT762+AW762+AZ762</f>
        <v>0</v>
      </c>
      <c r="BB762" s="297">
        <f>BC762/C762</f>
        <v>133959</v>
      </c>
      <c r="BC762" s="488">
        <f>BA762+AQ762+U762</f>
        <v>33489.75</v>
      </c>
      <c r="BD762" s="299">
        <f>BC762/C762/12</f>
        <v>11163.25</v>
      </c>
      <c r="BE762" s="299"/>
      <c r="BF762" s="300">
        <f>IF(D762=1,BC762,0)</f>
        <v>0</v>
      </c>
      <c r="BG762" s="300">
        <f>IF(E762=1,BC762,0)</f>
        <v>0</v>
      </c>
      <c r="BH762" s="300">
        <f>IF(F762=1,BC762,0)</f>
        <v>0</v>
      </c>
      <c r="BI762" s="300">
        <f>IF(G762=1,BC762,0)</f>
        <v>0</v>
      </c>
      <c r="BJ762" s="300">
        <f>IF(H762=1,BC762,0)</f>
        <v>0</v>
      </c>
      <c r="BK762" s="300">
        <f>IF(I762=1,BC762,0)</f>
        <v>0</v>
      </c>
      <c r="BL762" s="300">
        <f>IF(J762=1,BC762,0)</f>
        <v>33489.75</v>
      </c>
      <c r="BM762" s="300">
        <f>IF(K762=1,BC762,0)</f>
        <v>0</v>
      </c>
    </row>
    <row r="763" spans="1:68" x14ac:dyDescent="0.25">
      <c r="A763" s="344"/>
      <c r="B763" s="288" t="s">
        <v>243</v>
      </c>
      <c r="C763" s="288">
        <f>(C113*3+C221*1+C329*2+C437*4+C545+C650)/7</f>
        <v>0.25</v>
      </c>
      <c r="D763" s="288"/>
      <c r="E763" s="288"/>
      <c r="F763" s="288"/>
      <c r="G763" s="288"/>
      <c r="H763" s="288">
        <v>1</v>
      </c>
      <c r="I763" s="288"/>
      <c r="J763" s="288"/>
      <c r="K763" s="288"/>
      <c r="L763" s="288"/>
      <c r="M763" s="489">
        <f t="shared" si="670"/>
        <v>3028</v>
      </c>
      <c r="N763" s="490">
        <f t="shared" si="670"/>
        <v>2</v>
      </c>
      <c r="O763" s="490">
        <f t="shared" si="670"/>
        <v>1.9499999999999997</v>
      </c>
      <c r="P763" s="490">
        <f t="shared" si="670"/>
        <v>1</v>
      </c>
      <c r="Q763" s="490"/>
      <c r="R763" s="490">
        <f>(R113+R329+R437+R650)</f>
        <v>1546</v>
      </c>
      <c r="S763" s="490">
        <f>T763/(R763/3)</f>
        <v>22.915265200517464</v>
      </c>
      <c r="T763" s="491">
        <f>ROUND(M763*N763*O763*P763,0)</f>
        <v>11809</v>
      </c>
      <c r="U763" s="284">
        <f>U113+U221+U329+U437+U545+U650</f>
        <v>20665.75</v>
      </c>
      <c r="V763" s="277"/>
      <c r="W763" s="285"/>
      <c r="X763" s="285">
        <f>U763*V763%</f>
        <v>0</v>
      </c>
      <c r="Y763" s="277"/>
      <c r="Z763" s="277"/>
      <c r="AA763" s="277"/>
      <c r="AB763" s="345"/>
      <c r="AC763" s="345"/>
      <c r="AD763" s="345"/>
      <c r="AE763" s="345"/>
      <c r="AF763" s="345"/>
      <c r="AG763" s="345"/>
      <c r="AH763" s="345"/>
      <c r="AI763" s="345"/>
      <c r="AJ763" s="345"/>
      <c r="AK763" s="277">
        <f t="shared" si="671"/>
        <v>0</v>
      </c>
      <c r="AL763" s="277">
        <f t="shared" si="671"/>
        <v>0</v>
      </c>
      <c r="AM763" s="280">
        <f>AM113+AM221+AM329+AM437+AM545+AM650</f>
        <v>0</v>
      </c>
      <c r="AN763" s="277">
        <f>12+25</f>
        <v>37</v>
      </c>
      <c r="AO763" s="285"/>
      <c r="AP763" s="285">
        <f>U763*AN763%</f>
        <v>7646.3275000000003</v>
      </c>
      <c r="AQ763" s="284">
        <f>X763+AA763+AD763+AG763+AJ763+AM763+AP763</f>
        <v>7646.3275000000003</v>
      </c>
      <c r="AR763" s="277">
        <v>10</v>
      </c>
      <c r="AS763" s="277">
        <f>AT763/C763</f>
        <v>8266.3000000000011</v>
      </c>
      <c r="AT763" s="280">
        <f t="shared" si="672"/>
        <v>2066.5750000000003</v>
      </c>
      <c r="AU763" s="280">
        <f t="shared" si="672"/>
        <v>0</v>
      </c>
      <c r="AV763" s="277">
        <v>100</v>
      </c>
      <c r="AW763" s="280">
        <f>AW113+AW221+AW329+AW437+AW545+AW650</f>
        <v>0</v>
      </c>
      <c r="AX763" s="277"/>
      <c r="AY763" s="277"/>
      <c r="AZ763" s="496">
        <f>AZ113+AZ329+AZ437+AZ650</f>
        <v>0</v>
      </c>
      <c r="BA763" s="284">
        <f>AT763+AW763+AZ763</f>
        <v>2066.5750000000003</v>
      </c>
      <c r="BB763" s="284">
        <f>BC763/C763</f>
        <v>121514.61</v>
      </c>
      <c r="BC763" s="492">
        <f>BA763+AQ763+U763</f>
        <v>30378.6525</v>
      </c>
      <c r="BD763" s="286">
        <f>BC763/C763/12</f>
        <v>10126.217500000001</v>
      </c>
      <c r="BE763" s="286"/>
      <c r="BF763" s="251">
        <f>IF(D763=1,BC763,0)</f>
        <v>0</v>
      </c>
      <c r="BG763" s="251">
        <f>IF(E763=1,BC763,0)</f>
        <v>0</v>
      </c>
      <c r="BH763" s="251">
        <f>IF(F763=1,BC763,0)</f>
        <v>0</v>
      </c>
      <c r="BI763" s="251">
        <f>IF(G763=1,BC763,0)</f>
        <v>0</v>
      </c>
      <c r="BJ763" s="251">
        <f>IF(H763=1,BC763,0)</f>
        <v>30378.6525</v>
      </c>
      <c r="BK763" s="251">
        <f>IF(I763=1,BC763,0)</f>
        <v>0</v>
      </c>
      <c r="BL763" s="251">
        <f>IF(J763=1,BC763,0)</f>
        <v>0</v>
      </c>
      <c r="BM763" s="251">
        <f>IF(K763=1,BC763,0)</f>
        <v>0</v>
      </c>
    </row>
    <row r="764" spans="1:68" s="316" customFormat="1" ht="14.25" x14ac:dyDescent="0.25">
      <c r="A764" s="306"/>
      <c r="B764" s="307" t="s">
        <v>229</v>
      </c>
      <c r="C764" s="308">
        <f>SUM(C760:C763)</f>
        <v>6.5</v>
      </c>
      <c r="D764" s="309"/>
      <c r="E764" s="309"/>
      <c r="F764" s="309"/>
      <c r="G764" s="309"/>
      <c r="H764" s="309"/>
      <c r="I764" s="309"/>
      <c r="J764" s="309"/>
      <c r="K764" s="309"/>
      <c r="L764" s="309"/>
      <c r="M764" s="310"/>
      <c r="N764" s="309"/>
      <c r="O764" s="309"/>
      <c r="P764" s="309"/>
      <c r="Q764" s="309"/>
      <c r="R764" s="310"/>
      <c r="S764" s="310"/>
      <c r="T764" s="349">
        <f>U764/9</f>
        <v>73368.944444444438</v>
      </c>
      <c r="U764" s="329">
        <f>SUM(U760:U763)</f>
        <v>660320.5</v>
      </c>
      <c r="V764" s="309"/>
      <c r="W764" s="309"/>
      <c r="X764" s="329">
        <f>SUM(X760:X763)</f>
        <v>76624.800000000003</v>
      </c>
      <c r="Y764" s="329"/>
      <c r="Z764" s="329"/>
      <c r="AA764" s="329">
        <f>SUM(AA760:AA763)</f>
        <v>19156.2</v>
      </c>
      <c r="AB764" s="329">
        <f t="shared" ref="AB764:AI764" si="673">SUM(AB760:AB763)</f>
        <v>0</v>
      </c>
      <c r="AC764" s="329">
        <f t="shared" si="673"/>
        <v>0</v>
      </c>
      <c r="AD764" s="329">
        <f t="shared" si="673"/>
        <v>0</v>
      </c>
      <c r="AE764" s="329">
        <f t="shared" si="673"/>
        <v>0</v>
      </c>
      <c r="AF764" s="329">
        <f t="shared" si="673"/>
        <v>0</v>
      </c>
      <c r="AG764" s="329">
        <f t="shared" si="673"/>
        <v>0</v>
      </c>
      <c r="AH764" s="329">
        <f t="shared" si="673"/>
        <v>0</v>
      </c>
      <c r="AI764" s="329">
        <f t="shared" si="673"/>
        <v>0</v>
      </c>
      <c r="AJ764" s="329">
        <f>SUM(AJ760:AJ763)</f>
        <v>0</v>
      </c>
      <c r="AK764" s="329"/>
      <c r="AL764" s="329"/>
      <c r="AM764" s="329">
        <f>SUM(AM760:AM763)</f>
        <v>0</v>
      </c>
      <c r="AN764" s="329"/>
      <c r="AO764" s="329"/>
      <c r="AP764" s="329">
        <f>SUM(AP760:AP763)</f>
        <v>7646.3275000000003</v>
      </c>
      <c r="AQ764" s="329">
        <f>SUM(AQ760:AQ763)</f>
        <v>103427.3275</v>
      </c>
      <c r="AR764" s="329"/>
      <c r="AS764" s="329">
        <f>SUM(AS760:AS763)</f>
        <v>17844.400000000001</v>
      </c>
      <c r="AT764" s="329">
        <f>SUM(AT760:AT763)</f>
        <v>49957.074999999997</v>
      </c>
      <c r="AU764" s="329">
        <f>SUM(AU760:AU763)</f>
        <v>0</v>
      </c>
      <c r="AV764" s="329"/>
      <c r="AW764" s="329">
        <f>SUM(AW760:AW763)</f>
        <v>0</v>
      </c>
      <c r="AX764" s="329"/>
      <c r="AY764" s="329">
        <f>SUM(AY760:AY763)</f>
        <v>0</v>
      </c>
      <c r="AZ764" s="329">
        <f>SUM(AZ760:AZ763)</f>
        <v>0</v>
      </c>
      <c r="BA764" s="329">
        <f>SUM(BA760:BA763)</f>
        <v>49957.074999999997</v>
      </c>
      <c r="BB764" s="329">
        <f>BC764/C764</f>
        <v>125185.36961538461</v>
      </c>
      <c r="BC764" s="329">
        <f>SUM(BC760:BC763)</f>
        <v>813704.90249999997</v>
      </c>
      <c r="BD764" s="286">
        <f>BC764/C764/12</f>
        <v>10432.114134615384</v>
      </c>
      <c r="BE764" s="323"/>
      <c r="BO764" s="497">
        <f>[5]Витр!$J$16</f>
        <v>931.89292</v>
      </c>
    </row>
    <row r="765" spans="1:68" s="316" customFormat="1" ht="21" customHeight="1" x14ac:dyDescent="0.25">
      <c r="A765" s="306"/>
      <c r="B765" s="307"/>
      <c r="C765" s="329"/>
      <c r="D765" s="309"/>
      <c r="E765" s="309"/>
      <c r="F765" s="309"/>
      <c r="G765" s="309"/>
      <c r="H765" s="309"/>
      <c r="I765" s="309"/>
      <c r="J765" s="309"/>
      <c r="K765" s="309"/>
      <c r="L765" s="309"/>
      <c r="M765" s="310"/>
      <c r="N765" s="309"/>
      <c r="O765" s="309"/>
      <c r="P765" s="309"/>
      <c r="Q765" s="309"/>
      <c r="R765" s="310"/>
      <c r="S765" s="310"/>
      <c r="T765" s="311"/>
      <c r="U765" s="476">
        <f t="shared" ref="U765:BC765" si="674">U651+U546+U438+U330+U222+U114</f>
        <v>660320.5</v>
      </c>
      <c r="V765" s="476">
        <f t="shared" si="674"/>
        <v>0</v>
      </c>
      <c r="W765" s="476">
        <f t="shared" si="674"/>
        <v>0</v>
      </c>
      <c r="X765" s="476">
        <f t="shared" si="674"/>
        <v>76624.799999999988</v>
      </c>
      <c r="Y765" s="476">
        <f t="shared" si="674"/>
        <v>0</v>
      </c>
      <c r="Z765" s="476">
        <f t="shared" si="674"/>
        <v>0</v>
      </c>
      <c r="AA765" s="476">
        <f t="shared" si="674"/>
        <v>19156.199999999997</v>
      </c>
      <c r="AB765" s="476">
        <f t="shared" si="674"/>
        <v>0</v>
      </c>
      <c r="AC765" s="476">
        <f t="shared" si="674"/>
        <v>0</v>
      </c>
      <c r="AD765" s="476">
        <f t="shared" si="674"/>
        <v>0</v>
      </c>
      <c r="AE765" s="476">
        <f t="shared" si="674"/>
        <v>0</v>
      </c>
      <c r="AF765" s="476">
        <f t="shared" si="674"/>
        <v>0</v>
      </c>
      <c r="AG765" s="476">
        <f t="shared" si="674"/>
        <v>0</v>
      </c>
      <c r="AH765" s="476">
        <f t="shared" si="674"/>
        <v>0</v>
      </c>
      <c r="AI765" s="476">
        <f t="shared" si="674"/>
        <v>0</v>
      </c>
      <c r="AJ765" s="476">
        <f t="shared" si="674"/>
        <v>0</v>
      </c>
      <c r="AK765" s="476">
        <f t="shared" si="674"/>
        <v>0</v>
      </c>
      <c r="AL765" s="476">
        <f t="shared" si="674"/>
        <v>0</v>
      </c>
      <c r="AM765" s="476">
        <f t="shared" si="674"/>
        <v>0</v>
      </c>
      <c r="AN765" s="476">
        <f t="shared" si="674"/>
        <v>0</v>
      </c>
      <c r="AO765" s="476">
        <f t="shared" si="674"/>
        <v>0</v>
      </c>
      <c r="AP765" s="476">
        <f t="shared" si="674"/>
        <v>7646.3274999999994</v>
      </c>
      <c r="AQ765" s="476">
        <f t="shared" si="674"/>
        <v>103427.3275</v>
      </c>
      <c r="AR765" s="476">
        <f t="shared" si="674"/>
        <v>0</v>
      </c>
      <c r="AS765" s="476" t="e">
        <f t="shared" si="674"/>
        <v>#DIV/0!</v>
      </c>
      <c r="AT765" s="476">
        <f t="shared" si="674"/>
        <v>49957.075000000004</v>
      </c>
      <c r="AU765" s="476">
        <f t="shared" si="674"/>
        <v>0</v>
      </c>
      <c r="AV765" s="476">
        <f t="shared" si="674"/>
        <v>0</v>
      </c>
      <c r="AW765" s="476">
        <f t="shared" si="674"/>
        <v>0</v>
      </c>
      <c r="AX765" s="476">
        <f t="shared" si="674"/>
        <v>0</v>
      </c>
      <c r="AY765" s="476">
        <f t="shared" si="674"/>
        <v>0</v>
      </c>
      <c r="AZ765" s="476">
        <f t="shared" si="674"/>
        <v>0</v>
      </c>
      <c r="BA765" s="476">
        <f t="shared" si="674"/>
        <v>49957.075000000004</v>
      </c>
      <c r="BB765" s="476" t="e">
        <f t="shared" si="674"/>
        <v>#DIV/0!</v>
      </c>
      <c r="BC765" s="476">
        <f t="shared" si="674"/>
        <v>813704.90249999997</v>
      </c>
      <c r="BD765" s="286"/>
      <c r="BE765" s="323"/>
    </row>
    <row r="766" spans="1:68" s="316" customFormat="1" ht="18.75" customHeight="1" x14ac:dyDescent="0.25">
      <c r="A766" s="306"/>
      <c r="B766" s="307"/>
      <c r="C766" s="329"/>
      <c r="D766" s="309"/>
      <c r="E766" s="309"/>
      <c r="F766" s="309"/>
      <c r="G766" s="309"/>
      <c r="H766" s="309"/>
      <c r="I766" s="309"/>
      <c r="J766" s="309"/>
      <c r="K766" s="309"/>
      <c r="L766" s="309"/>
      <c r="M766" s="310"/>
      <c r="N766" s="309"/>
      <c r="O766" s="309"/>
      <c r="P766" s="309"/>
      <c r="Q766" s="309"/>
      <c r="R766" s="310"/>
      <c r="S766" s="310"/>
      <c r="T766" s="311"/>
      <c r="U766" s="329"/>
      <c r="V766" s="309"/>
      <c r="W766" s="309"/>
      <c r="X766" s="329"/>
      <c r="Y766" s="329"/>
      <c r="Z766" s="329"/>
      <c r="AA766" s="329"/>
      <c r="AB766" s="329"/>
      <c r="AC766" s="329"/>
      <c r="AD766" s="329"/>
      <c r="AE766" s="329"/>
      <c r="AF766" s="329"/>
      <c r="AG766" s="329"/>
      <c r="AH766" s="329"/>
      <c r="AI766" s="329"/>
      <c r="AJ766" s="329"/>
      <c r="AK766" s="329"/>
      <c r="AL766" s="329"/>
      <c r="AM766" s="329"/>
      <c r="AN766" s="329"/>
      <c r="AO766" s="329"/>
      <c r="AP766" s="329"/>
      <c r="AQ766" s="329"/>
      <c r="AR766" s="329"/>
      <c r="AS766" s="329"/>
      <c r="AT766" s="329"/>
      <c r="AU766" s="329"/>
      <c r="AV766" s="329"/>
      <c r="AW766" s="329"/>
      <c r="AX766" s="329"/>
      <c r="AY766" s="329"/>
      <c r="AZ766" s="329"/>
      <c r="BA766" s="329"/>
      <c r="BB766" s="329"/>
      <c r="BC766" s="329"/>
      <c r="BD766" s="286"/>
      <c r="BE766" s="323"/>
    </row>
    <row r="767" spans="1:68" s="316" customFormat="1" ht="18.75" customHeight="1" thickBot="1" x14ac:dyDescent="0.3">
      <c r="A767" s="398" t="s">
        <v>301</v>
      </c>
      <c r="B767" s="399" t="s">
        <v>268</v>
      </c>
      <c r="C767" s="450">
        <f>C697+C738+C757+(C764)/12*7</f>
        <v>92.145833333333343</v>
      </c>
      <c r="D767" s="401"/>
      <c r="E767" s="401"/>
      <c r="F767" s="401"/>
      <c r="G767" s="401"/>
      <c r="H767" s="401"/>
      <c r="I767" s="401"/>
      <c r="J767" s="401"/>
      <c r="K767" s="401"/>
      <c r="L767" s="401"/>
      <c r="M767" s="402"/>
      <c r="N767" s="401"/>
      <c r="O767" s="401"/>
      <c r="P767" s="401"/>
      <c r="Q767" s="401"/>
      <c r="R767" s="402"/>
      <c r="S767" s="402"/>
      <c r="T767" s="349">
        <f>U767/12</f>
        <v>1448990.0625</v>
      </c>
      <c r="U767" s="403">
        <f>U697+U738+U757+U764</f>
        <v>17387880.75</v>
      </c>
      <c r="V767" s="403"/>
      <c r="W767" s="403">
        <f>W697+W738+W757+W764</f>
        <v>0</v>
      </c>
      <c r="X767" s="498">
        <f>X697+X738+X757+X764</f>
        <v>2965034.4</v>
      </c>
      <c r="Y767" s="498"/>
      <c r="Z767" s="498">
        <f t="shared" ref="Z767:AG767" si="675">Z697+Z738+Z757+Z764</f>
        <v>0</v>
      </c>
      <c r="AA767" s="498">
        <f t="shared" si="675"/>
        <v>247961.99999999997</v>
      </c>
      <c r="AB767" s="498">
        <f t="shared" si="675"/>
        <v>0</v>
      </c>
      <c r="AC767" s="498">
        <f t="shared" si="675"/>
        <v>0</v>
      </c>
      <c r="AD767" s="498">
        <f t="shared" si="675"/>
        <v>139663.6506571419</v>
      </c>
      <c r="AE767" s="498">
        <f t="shared" si="675"/>
        <v>0</v>
      </c>
      <c r="AF767" s="498">
        <f t="shared" si="675"/>
        <v>0</v>
      </c>
      <c r="AG767" s="498">
        <f t="shared" si="675"/>
        <v>488822.77729999658</v>
      </c>
      <c r="AH767" s="498"/>
      <c r="AI767" s="498">
        <f>AI697+AI738+AI757+AI764</f>
        <v>0</v>
      </c>
      <c r="AJ767" s="498">
        <f>AJ697+AJ738+AJ757+AJ764</f>
        <v>543102.56907992088</v>
      </c>
      <c r="AK767" s="498"/>
      <c r="AL767" s="498">
        <f>AL697+AL738+AL757+AL764</f>
        <v>0</v>
      </c>
      <c r="AM767" s="498">
        <f>AM697+AM738+AM757+AM764</f>
        <v>1266769.3600000001</v>
      </c>
      <c r="AN767" s="498"/>
      <c r="AO767" s="498">
        <f>AO697+AO738+AO757+AO764</f>
        <v>0</v>
      </c>
      <c r="AP767" s="498">
        <f>AP697+AP738+AP757+AP764</f>
        <v>104401.89</v>
      </c>
      <c r="AQ767" s="498">
        <f>AQ697+AQ738+AQ757+AQ764</f>
        <v>5755756.6470370591</v>
      </c>
      <c r="AR767" s="498"/>
      <c r="AS767" s="498" t="e">
        <f>AS697+AS738+AS757+AS764</f>
        <v>#DIV/0!</v>
      </c>
      <c r="AT767" s="498">
        <f>AT697+AT738+AT757+AT764</f>
        <v>3421303.9250000007</v>
      </c>
      <c r="AU767" s="498">
        <f>AU697+AU738+AU757+AU764</f>
        <v>83</v>
      </c>
      <c r="AV767" s="498"/>
      <c r="AW767" s="498">
        <f>AW697+AW738+AW757+AW764</f>
        <v>1308855</v>
      </c>
      <c r="AX767" s="498"/>
      <c r="AY767" s="498">
        <f>AY697+AY738+AY757+AY764</f>
        <v>0</v>
      </c>
      <c r="AZ767" s="498">
        <f>AZ697+AZ738+AZ757+AZ764</f>
        <v>0</v>
      </c>
      <c r="BA767" s="498">
        <f>BA697+BA738+BA757+BA764</f>
        <v>4730158.9250000007</v>
      </c>
      <c r="BB767" s="498">
        <f>BB697+BB738+BB757+BB764</f>
        <v>5644828.8157007284</v>
      </c>
      <c r="BC767" s="498">
        <f>BC697+BC738+BC757+BC764</f>
        <v>27873796.32203706</v>
      </c>
      <c r="BD767" s="286">
        <f>BC767/C767/12</f>
        <v>25208.045509416286</v>
      </c>
      <c r="BE767" s="323"/>
    </row>
    <row r="768" spans="1:68" s="287" customFormat="1" ht="18.75" customHeight="1" x14ac:dyDescent="0.25">
      <c r="A768" s="380"/>
      <c r="B768" s="274"/>
      <c r="C768" s="364">
        <f>(C117*3+C225+C333*2+C441*4+C549+C654)/12</f>
        <v>92.145833333333329</v>
      </c>
      <c r="M768" s="382"/>
      <c r="R768" s="382"/>
      <c r="S768" s="382"/>
      <c r="T768" s="499"/>
      <c r="U768" s="476">
        <f>U654+U549+U441+U333+U225+U117</f>
        <v>17387880.75</v>
      </c>
      <c r="V768" s="323"/>
      <c r="W768" s="323"/>
      <c r="X768" s="323"/>
      <c r="Y768" s="323"/>
      <c r="Z768" s="323"/>
      <c r="AA768" s="323"/>
      <c r="AB768" s="323"/>
      <c r="AC768" s="323"/>
      <c r="AD768" s="323"/>
      <c r="AE768" s="323"/>
      <c r="AF768" s="323"/>
      <c r="AG768" s="323"/>
      <c r="AH768" s="323"/>
      <c r="AI768" s="323"/>
      <c r="AJ768" s="323"/>
      <c r="AK768" s="323"/>
      <c r="AL768" s="323"/>
      <c r="AM768" s="323"/>
      <c r="AN768" s="323"/>
      <c r="AO768" s="323"/>
      <c r="AP768" s="323"/>
      <c r="AQ768" s="500">
        <f>SUM(X767:AP767)</f>
        <v>5755756.6470370591</v>
      </c>
      <c r="AR768" s="323"/>
      <c r="AS768" s="323"/>
      <c r="AT768" s="323"/>
      <c r="AU768" s="323"/>
      <c r="AV768" s="323"/>
      <c r="AW768" s="323"/>
      <c r="AX768" s="323"/>
      <c r="AY768" s="323"/>
      <c r="AZ768" s="323"/>
      <c r="BA768" s="323"/>
      <c r="BB768" s="323"/>
      <c r="BC768" s="323">
        <f>BC767/12</f>
        <v>2322816.3601697548</v>
      </c>
      <c r="BD768" s="323"/>
      <c r="BE768" s="323"/>
    </row>
    <row r="769" spans="1:60" s="240" customFormat="1" ht="35.25" customHeight="1" x14ac:dyDescent="0.25">
      <c r="A769" s="501"/>
      <c r="C769" s="502">
        <f>C764+C756+C749+C738+C697</f>
        <v>94.854166666666671</v>
      </c>
      <c r="T769" s="503"/>
      <c r="U769" s="503">
        <f>U654+U549+U441+U333+U225+U117</f>
        <v>17387880.75</v>
      </c>
      <c r="V769" s="504"/>
      <c r="W769" s="504"/>
      <c r="X769" s="503">
        <f>X654+X549+X441+X333+X225+X117</f>
        <v>2965034.4</v>
      </c>
      <c r="Y769" s="504"/>
      <c r="Z769" s="504" t="e">
        <f>#REF!</f>
        <v>#REF!</v>
      </c>
      <c r="AA769" s="503">
        <f>AA654+AA549+AA441+AA333+AA225+AA117</f>
        <v>247961.99999999997</v>
      </c>
      <c r="AB769" s="504"/>
      <c r="AC769" s="504"/>
      <c r="AD769" s="503">
        <f>AD654+AD549+AD441+AD333+AD225+AD117</f>
        <v>139663.65065714193</v>
      </c>
      <c r="AE769" s="504"/>
      <c r="AF769" s="504" t="e">
        <f>#REF!</f>
        <v>#REF!</v>
      </c>
      <c r="AG769" s="503">
        <f>AG654+AG549+AG441+AG333+AG225+AG117</f>
        <v>488822.77729999664</v>
      </c>
      <c r="AH769" s="503"/>
      <c r="AI769" s="503" t="e">
        <f>#REF!</f>
        <v>#REF!</v>
      </c>
      <c r="AJ769" s="503">
        <f>AJ654+AJ549+AJ441+AJ333+AJ225+AJ117</f>
        <v>543102.56907992088</v>
      </c>
      <c r="AK769" s="504"/>
      <c r="AL769" s="504" t="e">
        <f>#REF!</f>
        <v>#REF!</v>
      </c>
      <c r="AM769" s="503">
        <f>AM654+AM549+AM441+AM333+AM225+AM117</f>
        <v>1266769.3600000001</v>
      </c>
      <c r="AN769" s="504"/>
      <c r="AO769" s="504" t="e">
        <f>#REF!</f>
        <v>#REF!</v>
      </c>
      <c r="AP769" s="503">
        <f>AP654+AP549+AP441+AP333+AP225+AP117</f>
        <v>104401.89</v>
      </c>
      <c r="AQ769" s="503">
        <f>AQ654+AQ549+AQ441+AQ333+AQ225+AQ117</f>
        <v>5755756.64703706</v>
      </c>
      <c r="AR769" s="504"/>
      <c r="AS769" s="504" t="e">
        <f>#REF!</f>
        <v>#REF!</v>
      </c>
      <c r="AT769" s="503">
        <f>AT654+AT549+AT441+AT333+AT225+AT117</f>
        <v>3421303.9249999998</v>
      </c>
      <c r="AU769" s="503">
        <f>AU654+AU549+AU441+AU333+AU225+AU117</f>
        <v>83</v>
      </c>
      <c r="AV769" s="503">
        <f>AV654+AV549+AV441+AV333+AV225+AV117</f>
        <v>0</v>
      </c>
      <c r="AW769" s="503">
        <f>AW654+AW549+AW441+AW333+AW225+AW117</f>
        <v>1308855</v>
      </c>
      <c r="AX769" s="504"/>
      <c r="AY769" s="504" t="e">
        <f>#REF!</f>
        <v>#REF!</v>
      </c>
      <c r="AZ769" s="503">
        <f>AZ654+AZ549+AZ441+AZ333+AZ225+AZ117</f>
        <v>0</v>
      </c>
      <c r="BA769" s="503">
        <f>BA654+BA549+BA441+BA333+BA225+BA117</f>
        <v>4730158.9249999998</v>
      </c>
      <c r="BB769" s="503" t="e">
        <f>BB654+BB549+BB441+BB333+BB225+BB117</f>
        <v>#DIV/0!</v>
      </c>
      <c r="BC769" s="503">
        <f>BC654+BC549+BC441+BC333+BC225+BC117</f>
        <v>27873796.32203706</v>
      </c>
    </row>
    <row r="770" spans="1:60" s="240" customFormat="1" ht="35.25" customHeight="1" x14ac:dyDescent="0.25">
      <c r="A770" s="501"/>
      <c r="U770" s="505"/>
      <c r="X770" s="504">
        <f>X767-X769</f>
        <v>0</v>
      </c>
      <c r="AD770" s="506">
        <f>[3]ночн.празд!D15+[3]ночн.празд!L15+[3]ночн.празд!P15+[3]ночн.празд!T15</f>
        <v>139663.6506571419</v>
      </c>
      <c r="AE770" s="506">
        <f>[3]ночн.празд!C15+[3]ночн.празд!K15+[3]ночн.празд!O15+[3]ночн.празд!S15</f>
        <v>202540.43309677529</v>
      </c>
      <c r="AF770" s="506">
        <f>[3]ночн.празд!D15+[3]ночн.празд!L15+[3]ночн.празд!P15+[3]ночн.празд!T15</f>
        <v>139663.6506571419</v>
      </c>
      <c r="AG770" s="506">
        <f>[3]ночн.празд!E15+[3]ночн.празд!M15+[3]ночн.празд!Q15+[3]ночн.празд!U15</f>
        <v>488822.77729999664</v>
      </c>
      <c r="AH770" s="506"/>
      <c r="AI770" s="506"/>
      <c r="AJ770" s="503">
        <f>[3]ночн.празд!B15+[3]ночн.празд!C15+[3]ночн.празд!J15+[3]ночн.празд!K15+[3]ночн.празд!N15+[3]ночн.празд!O15+[3]ночн.празд!R15+[3]ночн.празд!S15</f>
        <v>543102.56907992088</v>
      </c>
      <c r="AQ770" s="504">
        <f>AQ769-AQ768</f>
        <v>0</v>
      </c>
      <c r="AT770" s="504">
        <f>AT769-AT764</f>
        <v>3371346.8499999996</v>
      </c>
      <c r="AW770" s="504">
        <f>AW769-AW764</f>
        <v>1308855</v>
      </c>
    </row>
    <row r="771" spans="1:60" s="240" customFormat="1" ht="35.25" customHeight="1" x14ac:dyDescent="0.25">
      <c r="A771" s="501"/>
      <c r="U771" s="507">
        <f>U769-U767</f>
        <v>0</v>
      </c>
      <c r="V771" s="507">
        <f t="shared" ref="V771:BC771" si="676">V769-V767</f>
        <v>0</v>
      </c>
      <c r="W771" s="507">
        <f t="shared" si="676"/>
        <v>0</v>
      </c>
      <c r="X771" s="507">
        <f t="shared" si="676"/>
        <v>0</v>
      </c>
      <c r="Y771" s="507">
        <f t="shared" si="676"/>
        <v>0</v>
      </c>
      <c r="Z771" s="507" t="e">
        <f t="shared" si="676"/>
        <v>#REF!</v>
      </c>
      <c r="AA771" s="507">
        <f t="shared" si="676"/>
        <v>0</v>
      </c>
      <c r="AB771" s="507">
        <f t="shared" si="676"/>
        <v>0</v>
      </c>
      <c r="AC771" s="507">
        <f t="shared" si="676"/>
        <v>0</v>
      </c>
      <c r="AD771" s="507">
        <f t="shared" si="676"/>
        <v>0</v>
      </c>
      <c r="AE771" s="507">
        <f t="shared" si="676"/>
        <v>0</v>
      </c>
      <c r="AF771" s="507" t="e">
        <f t="shared" si="676"/>
        <v>#REF!</v>
      </c>
      <c r="AG771" s="507">
        <f t="shared" si="676"/>
        <v>0</v>
      </c>
      <c r="AH771" s="507">
        <f t="shared" si="676"/>
        <v>0</v>
      </c>
      <c r="AI771" s="507" t="e">
        <f t="shared" si="676"/>
        <v>#REF!</v>
      </c>
      <c r="AJ771" s="507">
        <f t="shared" si="676"/>
        <v>0</v>
      </c>
      <c r="AK771" s="507">
        <f t="shared" si="676"/>
        <v>0</v>
      </c>
      <c r="AL771" s="507" t="e">
        <f t="shared" si="676"/>
        <v>#REF!</v>
      </c>
      <c r="AM771" s="507">
        <f t="shared" si="676"/>
        <v>0</v>
      </c>
      <c r="AN771" s="507">
        <f t="shared" si="676"/>
        <v>0</v>
      </c>
      <c r="AO771" s="507" t="e">
        <f t="shared" si="676"/>
        <v>#REF!</v>
      </c>
      <c r="AP771" s="507">
        <f t="shared" si="676"/>
        <v>0</v>
      </c>
      <c r="AQ771" s="507">
        <f t="shared" si="676"/>
        <v>0</v>
      </c>
      <c r="AR771" s="507">
        <f t="shared" si="676"/>
        <v>0</v>
      </c>
      <c r="AS771" s="507" t="e">
        <f t="shared" si="676"/>
        <v>#REF!</v>
      </c>
      <c r="AT771" s="507">
        <f t="shared" si="676"/>
        <v>0</v>
      </c>
      <c r="AU771" s="507">
        <f>AU769-AU767</f>
        <v>0</v>
      </c>
      <c r="AV771" s="507">
        <f t="shared" si="676"/>
        <v>0</v>
      </c>
      <c r="AW771" s="507">
        <f t="shared" si="676"/>
        <v>0</v>
      </c>
      <c r="AX771" s="507">
        <f t="shared" si="676"/>
        <v>0</v>
      </c>
      <c r="AY771" s="507" t="e">
        <f t="shared" si="676"/>
        <v>#REF!</v>
      </c>
      <c r="AZ771" s="507">
        <f t="shared" si="676"/>
        <v>0</v>
      </c>
      <c r="BA771" s="507">
        <f t="shared" si="676"/>
        <v>0</v>
      </c>
      <c r="BB771" s="507" t="e">
        <f t="shared" si="676"/>
        <v>#DIV/0!</v>
      </c>
      <c r="BC771" s="507">
        <f t="shared" si="676"/>
        <v>0</v>
      </c>
    </row>
    <row r="772" spans="1:60" ht="16.5" x14ac:dyDescent="0.25">
      <c r="D772" s="241"/>
      <c r="E772" s="241"/>
      <c r="F772" s="241"/>
      <c r="G772" s="241"/>
      <c r="H772" s="241"/>
      <c r="I772" s="241"/>
      <c r="J772" s="241"/>
      <c r="K772" s="241"/>
      <c r="R772" s="120" t="s">
        <v>302</v>
      </c>
      <c r="S772" s="120"/>
      <c r="T772" s="404"/>
      <c r="AT772" s="462">
        <f>C769</f>
        <v>94.854166666666671</v>
      </c>
      <c r="AU772" s="251"/>
      <c r="AZ772" s="407"/>
      <c r="BA772" s="251">
        <f>BC772/AT772/12</f>
        <v>24488.290201657859</v>
      </c>
      <c r="BC772" s="251">
        <f>BC767</f>
        <v>27873796.32203706</v>
      </c>
      <c r="BD772" s="251"/>
      <c r="BE772" s="251"/>
      <c r="BF772" s="241">
        <f>BC772/12</f>
        <v>2322816.3601697548</v>
      </c>
      <c r="BH772" s="252">
        <f>BA767/2</f>
        <v>2365079.4625000004</v>
      </c>
    </row>
    <row r="773" spans="1:60" ht="17.25" x14ac:dyDescent="0.3">
      <c r="D773" s="241"/>
      <c r="E773" s="241"/>
      <c r="F773" s="241"/>
      <c r="G773" s="241"/>
      <c r="H773" s="241"/>
      <c r="I773" s="241"/>
      <c r="J773" s="241"/>
      <c r="K773" s="241"/>
      <c r="R773" s="148"/>
      <c r="S773" s="148"/>
      <c r="T773" s="408"/>
      <c r="U773" s="410"/>
      <c r="V773" s="409" t="s">
        <v>270</v>
      </c>
      <c r="W773" s="410"/>
      <c r="BA773" s="251"/>
    </row>
    <row r="774" spans="1:60" ht="17.25" x14ac:dyDescent="0.3">
      <c r="D774" s="241"/>
      <c r="E774" s="241"/>
      <c r="F774" s="241"/>
      <c r="G774" s="241"/>
      <c r="H774" s="241"/>
      <c r="I774" s="241"/>
      <c r="J774" s="241"/>
      <c r="K774" s="241"/>
      <c r="R774" s="411" t="s">
        <v>271</v>
      </c>
      <c r="S774" s="411"/>
      <c r="T774" s="412"/>
      <c r="U774" s="413"/>
      <c r="V774" s="413"/>
      <c r="W774" s="414"/>
      <c r="X774" s="415"/>
      <c r="Y774" s="415"/>
      <c r="Z774" s="415"/>
      <c r="AA774" s="415"/>
      <c r="AB774" s="415"/>
      <c r="AC774" s="415"/>
      <c r="AE774" s="415"/>
      <c r="AT774" s="462">
        <f>C697-C695+C708+C742+C743+C752+C760+C762</f>
        <v>29.25</v>
      </c>
      <c r="AZ774" s="407"/>
      <c r="BA774" s="251">
        <f>BC774/AT774/12</f>
        <v>33211.251253561255</v>
      </c>
      <c r="BC774" s="251">
        <f>BC697-BC695+BC708+BC742+BC743+BC752+BC760+BC762</f>
        <v>11657149.189999999</v>
      </c>
      <c r="BD774" s="251"/>
      <c r="BE774" s="251"/>
      <c r="BF774" s="241">
        <f>BC774/12</f>
        <v>971429.09916666662</v>
      </c>
    </row>
    <row r="775" spans="1:60" ht="16.5" x14ac:dyDescent="0.25">
      <c r="D775" s="241"/>
      <c r="E775" s="241"/>
      <c r="F775" s="241"/>
      <c r="G775" s="241"/>
      <c r="H775" s="241"/>
      <c r="I775" s="241"/>
      <c r="J775" s="241"/>
      <c r="K775" s="241"/>
      <c r="R775" s="148"/>
      <c r="S775" s="148"/>
      <c r="T775" s="408"/>
      <c r="U775" s="410"/>
      <c r="V775" s="410"/>
      <c r="W775" s="410"/>
      <c r="AT775" s="462"/>
      <c r="BA775" s="251"/>
    </row>
    <row r="776" spans="1:60" ht="17.25" x14ac:dyDescent="0.3">
      <c r="D776" s="241"/>
      <c r="E776" s="241"/>
      <c r="F776" s="241"/>
      <c r="G776" s="241"/>
      <c r="H776" s="241"/>
      <c r="I776" s="241"/>
      <c r="J776" s="241"/>
      <c r="K776" s="241"/>
      <c r="R776" s="416" t="s">
        <v>272</v>
      </c>
      <c r="S776" s="416"/>
      <c r="T776" s="412"/>
      <c r="U776" s="409"/>
      <c r="V776" s="409"/>
      <c r="W776" s="409"/>
      <c r="AT776" s="462">
        <f>C695+C719+C730+C737+C744+C745+C746+C747+C753+C754+C755+C761+C763</f>
        <v>65.604166666666657</v>
      </c>
      <c r="AZ776" s="407"/>
      <c r="BA776" s="251">
        <f>BC776/AT776/12</f>
        <v>20599.10718582034</v>
      </c>
      <c r="BC776" s="251">
        <f>BC695+BC719+BC730+BC737+BC744+BC745+BC746+BC747+BC753+BC754+BC755+BC761+BC763</f>
        <v>16216647.132037058</v>
      </c>
      <c r="BD776" s="251"/>
      <c r="BE776" s="251"/>
      <c r="BF776" s="241">
        <f>BC776/12</f>
        <v>1351387.2610030882</v>
      </c>
    </row>
    <row r="777" spans="1:60" x14ac:dyDescent="0.25">
      <c r="D777" s="241"/>
      <c r="E777" s="241"/>
      <c r="F777" s="241"/>
      <c r="G777" s="241"/>
      <c r="H777" s="241"/>
      <c r="I777" s="241"/>
      <c r="J777" s="241"/>
      <c r="K777" s="241"/>
      <c r="AT777" s="502">
        <f>AT776+AT774</f>
        <v>94.854166666666657</v>
      </c>
      <c r="AU777" s="239"/>
      <c r="AV777" s="239"/>
      <c r="AW777" s="239"/>
      <c r="AX777" s="239"/>
      <c r="AY777" s="239"/>
      <c r="AZ777" s="240"/>
      <c r="BA777" s="417">
        <f>BC777/AT777/12</f>
        <v>24488.290201657859</v>
      </c>
      <c r="BB777" s="504">
        <f>BB776+BB774</f>
        <v>0</v>
      </c>
      <c r="BC777" s="504">
        <f>BC776+BC774</f>
        <v>27873796.322037056</v>
      </c>
    </row>
    <row r="778" spans="1:60" x14ac:dyDescent="0.25">
      <c r="D778" s="241"/>
      <c r="E778" s="241"/>
      <c r="F778" s="241"/>
      <c r="G778" s="241"/>
      <c r="H778" s="241"/>
      <c r="I778" s="241"/>
      <c r="J778" s="241"/>
      <c r="K778" s="241"/>
      <c r="AT778" s="504"/>
      <c r="AU778" s="504"/>
      <c r="AV778" s="504"/>
      <c r="AW778" s="504"/>
      <c r="AZ778" s="504"/>
      <c r="BA778" s="504"/>
      <c r="BB778" s="504"/>
      <c r="BC778" s="504"/>
    </row>
    <row r="779" spans="1:60" ht="16.5" x14ac:dyDescent="0.25">
      <c r="D779" s="241"/>
      <c r="E779" s="241"/>
      <c r="F779" s="241"/>
      <c r="G779" s="241"/>
      <c r="H779" s="241"/>
      <c r="I779" s="241"/>
      <c r="J779" s="241"/>
      <c r="K779" s="241"/>
      <c r="R779" s="120"/>
      <c r="S779" s="120"/>
      <c r="T779" s="404"/>
      <c r="U779" s="405"/>
      <c r="V779" s="405"/>
      <c r="W779" s="405"/>
      <c r="AT779" s="407"/>
      <c r="AZ779" s="407"/>
      <c r="BA779" s="251"/>
      <c r="BB779" s="251"/>
      <c r="BC779" s="251"/>
      <c r="BD779" s="251"/>
      <c r="BE779" s="251"/>
      <c r="BF779" s="241">
        <f>BC779/12</f>
        <v>0</v>
      </c>
    </row>
    <row r="780" spans="1:60" x14ac:dyDescent="0.25">
      <c r="D780" s="241"/>
      <c r="E780" s="241"/>
      <c r="F780" s="241"/>
      <c r="G780" s="241"/>
      <c r="H780" s="241"/>
      <c r="I780" s="241"/>
      <c r="J780" s="241"/>
      <c r="K780" s="241"/>
    </row>
    <row r="781" spans="1:60" ht="15.75" x14ac:dyDescent="0.25">
      <c r="B781" s="420" t="s">
        <v>218</v>
      </c>
      <c r="C781" s="420"/>
      <c r="D781" s="241"/>
      <c r="E781" s="241"/>
      <c r="F781" s="241"/>
      <c r="G781" s="241"/>
      <c r="H781" s="241"/>
      <c r="I781" s="241"/>
      <c r="J781" s="241"/>
      <c r="K781" s="241"/>
      <c r="X781" s="420" t="s">
        <v>303</v>
      </c>
      <c r="Y781" s="420"/>
      <c r="Z781" s="420"/>
      <c r="AA781" s="420"/>
      <c r="AT781" s="504"/>
      <c r="AU781" s="504"/>
      <c r="AV781" s="504"/>
      <c r="AW781" s="504"/>
      <c r="AZ781" s="504"/>
      <c r="BA781" s="504"/>
      <c r="BB781" s="504"/>
      <c r="BC781" s="504"/>
    </row>
  </sheetData>
  <mergeCells count="327">
    <mergeCell ref="A20:BC20"/>
    <mergeCell ref="A23:A25"/>
    <mergeCell ref="B23:B25"/>
    <mergeCell ref="C23:C25"/>
    <mergeCell ref="D23:K23"/>
    <mergeCell ref="L23:L25"/>
    <mergeCell ref="M23:M25"/>
    <mergeCell ref="N23:N25"/>
    <mergeCell ref="O23:O25"/>
    <mergeCell ref="P23:P25"/>
    <mergeCell ref="AR23:AT23"/>
    <mergeCell ref="AU23:AZ23"/>
    <mergeCell ref="BA23:BA25"/>
    <mergeCell ref="BB23:BC25"/>
    <mergeCell ref="D24:K24"/>
    <mergeCell ref="V24:V25"/>
    <mergeCell ref="W24:X25"/>
    <mergeCell ref="Y24:Y25"/>
    <mergeCell ref="Z24:AA25"/>
    <mergeCell ref="AB24:AB25"/>
    <mergeCell ref="AB23:AD23"/>
    <mergeCell ref="AE23:AG23"/>
    <mergeCell ref="AH23:AJ23"/>
    <mergeCell ref="AK23:AM23"/>
    <mergeCell ref="AN23:AP23"/>
    <mergeCell ref="AQ23:AQ25"/>
    <mergeCell ref="AD24:AD25"/>
    <mergeCell ref="AE24:AE25"/>
    <mergeCell ref="AF24:AG25"/>
    <mergeCell ref="AH24:AH25"/>
    <mergeCell ref="Q23:Q25"/>
    <mergeCell ref="R23:R25"/>
    <mergeCell ref="S23:T24"/>
    <mergeCell ref="U23:U25"/>
    <mergeCell ref="V23:X23"/>
    <mergeCell ref="Y23:AA23"/>
    <mergeCell ref="AS24:AT25"/>
    <mergeCell ref="AU24:AU25"/>
    <mergeCell ref="AV24:AV25"/>
    <mergeCell ref="AW24:AW25"/>
    <mergeCell ref="AX24:AX25"/>
    <mergeCell ref="AY24:AZ25"/>
    <mergeCell ref="AI24:AJ25"/>
    <mergeCell ref="AK24:AK25"/>
    <mergeCell ref="AL24:AM25"/>
    <mergeCell ref="AN24:AN25"/>
    <mergeCell ref="AO24:AP25"/>
    <mergeCell ref="AR24:AR25"/>
    <mergeCell ref="N131:N133"/>
    <mergeCell ref="O131:O133"/>
    <mergeCell ref="P131:P133"/>
    <mergeCell ref="Q131:Q133"/>
    <mergeCell ref="R131:R133"/>
    <mergeCell ref="S131:T132"/>
    <mergeCell ref="A131:A133"/>
    <mergeCell ref="B131:B133"/>
    <mergeCell ref="C131:C133"/>
    <mergeCell ref="D131:K131"/>
    <mergeCell ref="L131:L133"/>
    <mergeCell ref="M131:M133"/>
    <mergeCell ref="AN132:AN133"/>
    <mergeCell ref="AO132:AP133"/>
    <mergeCell ref="U131:U133"/>
    <mergeCell ref="V131:X131"/>
    <mergeCell ref="Y131:AA131"/>
    <mergeCell ref="AB131:AD131"/>
    <mergeCell ref="AE131:AG131"/>
    <mergeCell ref="AH131:AJ131"/>
    <mergeCell ref="AH132:AH133"/>
    <mergeCell ref="AI132:AJ133"/>
    <mergeCell ref="AR132:AR133"/>
    <mergeCell ref="AS132:AT133"/>
    <mergeCell ref="AU132:AU133"/>
    <mergeCell ref="AV132:AV133"/>
    <mergeCell ref="AW132:AW133"/>
    <mergeCell ref="AY132:AZ133"/>
    <mergeCell ref="BB131:BC133"/>
    <mergeCell ref="D132:K132"/>
    <mergeCell ref="V132:V133"/>
    <mergeCell ref="W132:X133"/>
    <mergeCell ref="Y132:Y133"/>
    <mergeCell ref="Z132:AA133"/>
    <mergeCell ref="AB132:AB133"/>
    <mergeCell ref="AD132:AD133"/>
    <mergeCell ref="AE132:AE133"/>
    <mergeCell ref="AF132:AG133"/>
    <mergeCell ref="AK131:AM131"/>
    <mergeCell ref="AN131:AP131"/>
    <mergeCell ref="AQ131:AQ133"/>
    <mergeCell ref="AR131:AT131"/>
    <mergeCell ref="AU131:AZ131"/>
    <mergeCell ref="BA131:BA133"/>
    <mergeCell ref="AK132:AK133"/>
    <mergeCell ref="AL132:AM133"/>
    <mergeCell ref="N239:N241"/>
    <mergeCell ref="O239:O241"/>
    <mergeCell ref="P239:P241"/>
    <mergeCell ref="Q239:Q241"/>
    <mergeCell ref="R239:R241"/>
    <mergeCell ref="S239:T240"/>
    <mergeCell ref="A239:A241"/>
    <mergeCell ref="B239:B241"/>
    <mergeCell ref="C239:C241"/>
    <mergeCell ref="D239:K239"/>
    <mergeCell ref="L239:L241"/>
    <mergeCell ref="M239:M241"/>
    <mergeCell ref="AN240:AN241"/>
    <mergeCell ref="AO240:AP241"/>
    <mergeCell ref="U239:U241"/>
    <mergeCell ref="V239:X239"/>
    <mergeCell ref="Y239:AA239"/>
    <mergeCell ref="AB239:AD239"/>
    <mergeCell ref="AE239:AG239"/>
    <mergeCell ref="AH239:AJ239"/>
    <mergeCell ref="AH240:AH241"/>
    <mergeCell ref="AI240:AJ241"/>
    <mergeCell ref="AR240:AR241"/>
    <mergeCell ref="AS240:AT241"/>
    <mergeCell ref="AU240:AU241"/>
    <mergeCell ref="AV240:AV241"/>
    <mergeCell ref="AW240:AW241"/>
    <mergeCell ref="AY240:AZ241"/>
    <mergeCell ref="BB239:BC241"/>
    <mergeCell ref="D240:K240"/>
    <mergeCell ref="V240:V241"/>
    <mergeCell ref="W240:X241"/>
    <mergeCell ref="Y240:Y241"/>
    <mergeCell ref="Z240:AA241"/>
    <mergeCell ref="AB240:AB241"/>
    <mergeCell ref="AD240:AD241"/>
    <mergeCell ref="AE240:AE241"/>
    <mergeCell ref="AF240:AG241"/>
    <mergeCell ref="AK239:AM239"/>
    <mergeCell ref="AN239:AP239"/>
    <mergeCell ref="AQ239:AQ241"/>
    <mergeCell ref="AR239:AT239"/>
    <mergeCell ref="AU239:AZ239"/>
    <mergeCell ref="BA239:BA241"/>
    <mergeCell ref="AK240:AK241"/>
    <mergeCell ref="AL240:AM241"/>
    <mergeCell ref="AE347:AG347"/>
    <mergeCell ref="AH347:AJ347"/>
    <mergeCell ref="AH348:AH349"/>
    <mergeCell ref="AI348:AJ349"/>
    <mergeCell ref="N347:N349"/>
    <mergeCell ref="O347:O349"/>
    <mergeCell ref="P347:P349"/>
    <mergeCell ref="Q347:Q349"/>
    <mergeCell ref="R347:R349"/>
    <mergeCell ref="S347:T348"/>
    <mergeCell ref="BB347:BC349"/>
    <mergeCell ref="D348:K348"/>
    <mergeCell ref="V348:V349"/>
    <mergeCell ref="W348:X349"/>
    <mergeCell ref="Y348:Y349"/>
    <mergeCell ref="Z348:AA349"/>
    <mergeCell ref="AB348:AB349"/>
    <mergeCell ref="AD348:AD349"/>
    <mergeCell ref="AE348:AE349"/>
    <mergeCell ref="AF348:AG349"/>
    <mergeCell ref="AK347:AM347"/>
    <mergeCell ref="AN347:AP347"/>
    <mergeCell ref="AQ347:AQ349"/>
    <mergeCell ref="AR347:AT347"/>
    <mergeCell ref="AU347:AZ347"/>
    <mergeCell ref="BA347:BA349"/>
    <mergeCell ref="AK348:AK349"/>
    <mergeCell ref="AL348:AM349"/>
    <mergeCell ref="AN348:AN349"/>
    <mergeCell ref="AO348:AP349"/>
    <mergeCell ref="U347:U349"/>
    <mergeCell ref="V347:X347"/>
    <mergeCell ref="Y347:AA347"/>
    <mergeCell ref="AB347:AD347"/>
    <mergeCell ref="V455:X455"/>
    <mergeCell ref="Y455:AA455"/>
    <mergeCell ref="AY348:AZ349"/>
    <mergeCell ref="A455:A457"/>
    <mergeCell ref="B455:B457"/>
    <mergeCell ref="C455:C457"/>
    <mergeCell ref="D455:K455"/>
    <mergeCell ref="L455:L457"/>
    <mergeCell ref="M455:M457"/>
    <mergeCell ref="N455:N457"/>
    <mergeCell ref="O455:O457"/>
    <mergeCell ref="P455:P457"/>
    <mergeCell ref="AR348:AR349"/>
    <mergeCell ref="AS348:AT349"/>
    <mergeCell ref="AU348:AU349"/>
    <mergeCell ref="AV348:AV349"/>
    <mergeCell ref="AW348:AW349"/>
    <mergeCell ref="AX348:AX349"/>
    <mergeCell ref="A347:A349"/>
    <mergeCell ref="B347:B349"/>
    <mergeCell ref="C347:C349"/>
    <mergeCell ref="D347:K347"/>
    <mergeCell ref="L347:L349"/>
    <mergeCell ref="M347:M349"/>
    <mergeCell ref="AR455:AT455"/>
    <mergeCell ref="AU455:AZ455"/>
    <mergeCell ref="BA455:BA457"/>
    <mergeCell ref="BB455:BC457"/>
    <mergeCell ref="D456:K456"/>
    <mergeCell ref="V456:V457"/>
    <mergeCell ref="W456:X457"/>
    <mergeCell ref="Y456:Y457"/>
    <mergeCell ref="Z456:AA457"/>
    <mergeCell ref="AB456:AB457"/>
    <mergeCell ref="AB455:AD455"/>
    <mergeCell ref="AE455:AG455"/>
    <mergeCell ref="AH455:AJ455"/>
    <mergeCell ref="AK455:AM455"/>
    <mergeCell ref="AN455:AP455"/>
    <mergeCell ref="AQ455:AQ457"/>
    <mergeCell ref="AD456:AD457"/>
    <mergeCell ref="AE456:AE457"/>
    <mergeCell ref="AF456:AG457"/>
    <mergeCell ref="AH456:AH457"/>
    <mergeCell ref="Q455:Q457"/>
    <mergeCell ref="R455:R457"/>
    <mergeCell ref="S455:T456"/>
    <mergeCell ref="U455:U457"/>
    <mergeCell ref="AS456:AT457"/>
    <mergeCell ref="AU456:AU457"/>
    <mergeCell ref="AV456:AV457"/>
    <mergeCell ref="AW456:AW457"/>
    <mergeCell ref="AX456:AX457"/>
    <mergeCell ref="AY456:AZ457"/>
    <mergeCell ref="AI456:AJ457"/>
    <mergeCell ref="AK456:AK457"/>
    <mergeCell ref="AL456:AM457"/>
    <mergeCell ref="AN456:AN457"/>
    <mergeCell ref="AO456:AP457"/>
    <mergeCell ref="AR456:AR457"/>
    <mergeCell ref="AE560:AG560"/>
    <mergeCell ref="AH560:AJ560"/>
    <mergeCell ref="AH561:AH562"/>
    <mergeCell ref="AI561:AJ562"/>
    <mergeCell ref="N560:N562"/>
    <mergeCell ref="O560:O562"/>
    <mergeCell ref="P560:P562"/>
    <mergeCell ref="Q560:Q562"/>
    <mergeCell ref="R560:R562"/>
    <mergeCell ref="S560:T561"/>
    <mergeCell ref="BB560:BC562"/>
    <mergeCell ref="D561:K561"/>
    <mergeCell ref="V561:V562"/>
    <mergeCell ref="W561:X562"/>
    <mergeCell ref="Y561:Y562"/>
    <mergeCell ref="Z561:AA562"/>
    <mergeCell ref="AB561:AB562"/>
    <mergeCell ref="AD561:AD562"/>
    <mergeCell ref="AE561:AE562"/>
    <mergeCell ref="AF561:AG562"/>
    <mergeCell ref="AK560:AM560"/>
    <mergeCell ref="AN560:AP560"/>
    <mergeCell ref="AQ560:AQ562"/>
    <mergeCell ref="AR560:AT560"/>
    <mergeCell ref="AU560:AZ560"/>
    <mergeCell ref="BA560:BA562"/>
    <mergeCell ref="AK561:AK562"/>
    <mergeCell ref="AL561:AM562"/>
    <mergeCell ref="AN561:AN562"/>
    <mergeCell ref="AO561:AP562"/>
    <mergeCell ref="U560:U562"/>
    <mergeCell ref="V560:X560"/>
    <mergeCell ref="Y560:AA560"/>
    <mergeCell ref="AB560:AD560"/>
    <mergeCell ref="V675:X675"/>
    <mergeCell ref="Y675:AA675"/>
    <mergeCell ref="AY561:AZ562"/>
    <mergeCell ref="A675:A677"/>
    <mergeCell ref="B675:B677"/>
    <mergeCell ref="C675:C677"/>
    <mergeCell ref="D675:K675"/>
    <mergeCell ref="L675:L677"/>
    <mergeCell ref="M675:M677"/>
    <mergeCell ref="N675:N677"/>
    <mergeCell ref="O675:O677"/>
    <mergeCell ref="P675:P677"/>
    <mergeCell ref="AR561:AR562"/>
    <mergeCell ref="AS561:AT562"/>
    <mergeCell ref="AU561:AU562"/>
    <mergeCell ref="AV561:AV562"/>
    <mergeCell ref="AW561:AW562"/>
    <mergeCell ref="AX561:AX562"/>
    <mergeCell ref="A560:A562"/>
    <mergeCell ref="B560:B562"/>
    <mergeCell ref="C560:C562"/>
    <mergeCell ref="D560:K560"/>
    <mergeCell ref="L560:L562"/>
    <mergeCell ref="M560:M562"/>
    <mergeCell ref="AR675:AT675"/>
    <mergeCell ref="AU675:AZ675"/>
    <mergeCell ref="BA675:BA677"/>
    <mergeCell ref="BB675:BC677"/>
    <mergeCell ref="D676:K676"/>
    <mergeCell ref="V676:V677"/>
    <mergeCell ref="W676:X677"/>
    <mergeCell ref="Y676:Y677"/>
    <mergeCell ref="Z676:AA677"/>
    <mergeCell ref="AB676:AB677"/>
    <mergeCell ref="AB675:AD675"/>
    <mergeCell ref="AE675:AG675"/>
    <mergeCell ref="AH675:AJ675"/>
    <mergeCell ref="AK675:AM675"/>
    <mergeCell ref="AN675:AP675"/>
    <mergeCell ref="AQ675:AQ677"/>
    <mergeCell ref="AD676:AD677"/>
    <mergeCell ref="AE676:AE677"/>
    <mergeCell ref="AF676:AG677"/>
    <mergeCell ref="AH676:AH677"/>
    <mergeCell ref="Q675:Q677"/>
    <mergeCell ref="R675:R677"/>
    <mergeCell ref="S675:T676"/>
    <mergeCell ref="U675:U677"/>
    <mergeCell ref="AS676:AT677"/>
    <mergeCell ref="AU676:AU677"/>
    <mergeCell ref="AV676:AV677"/>
    <mergeCell ref="AW676:AW677"/>
    <mergeCell ref="AY676:AZ677"/>
    <mergeCell ref="AI676:AJ677"/>
    <mergeCell ref="AK676:AK677"/>
    <mergeCell ref="AL676:AM677"/>
    <mergeCell ref="AN676:AN677"/>
    <mergeCell ref="AO676:AP677"/>
    <mergeCell ref="AR676:AR677"/>
  </mergeCells>
  <pageMargins left="0.19685039370078741" right="0" top="0.43307086614173229" bottom="0.35433070866141736"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68"/>
  <sheetViews>
    <sheetView view="pageBreakPreview" topLeftCell="A9" zoomScale="98" zoomScaleNormal="100" zoomScaleSheetLayoutView="98" workbookViewId="0">
      <selection activeCell="AI26" sqref="AI26"/>
    </sheetView>
  </sheetViews>
  <sheetFormatPr defaultColWidth="9.140625" defaultRowHeight="12.75" x14ac:dyDescent="0.2"/>
  <cols>
    <col min="1" max="1" width="30.140625" style="148" customWidth="1"/>
    <col min="2" max="3" width="9.140625" style="148" customWidth="1"/>
    <col min="4" max="6" width="7.5703125" style="148" hidden="1" customWidth="1"/>
    <col min="7" max="7" width="7.5703125" style="120" customWidth="1"/>
    <col min="8" max="9" width="7.42578125" style="148" hidden="1" customWidth="1"/>
    <col min="10" max="10" width="8.140625" style="148" hidden="1" customWidth="1"/>
    <col min="11" max="11" width="8.140625" style="120" customWidth="1"/>
    <col min="12" max="12" width="8.28515625" style="573" hidden="1" customWidth="1"/>
    <col min="13" max="13" width="7.5703125" style="148" hidden="1" customWidth="1"/>
    <col min="14" max="14" width="7.7109375" style="148" hidden="1" customWidth="1"/>
    <col min="15" max="15" width="8" style="148" hidden="1" customWidth="1"/>
    <col min="16" max="16" width="9" style="120" customWidth="1"/>
    <col min="17" max="17" width="8.7109375" style="573" hidden="1" customWidth="1"/>
    <col min="18" max="18" width="8" style="148" hidden="1" customWidth="1"/>
    <col min="19" max="19" width="8.7109375" style="148" hidden="1" customWidth="1"/>
    <col min="20" max="20" width="9" style="148" hidden="1" customWidth="1"/>
    <col min="21" max="21" width="8.7109375" style="148" customWidth="1"/>
    <col min="22" max="22" width="8.7109375" style="205" hidden="1" customWidth="1"/>
    <col min="23" max="23" width="10.140625" style="148" customWidth="1"/>
    <col min="24" max="24" width="13.7109375" style="148" hidden="1" customWidth="1"/>
    <col min="25" max="25" width="10.140625" style="148" hidden="1" customWidth="1"/>
    <col min="26" max="26" width="10.7109375" style="148" hidden="1" customWidth="1"/>
    <col min="27" max="32" width="0" style="148" hidden="1" customWidth="1"/>
    <col min="33" max="16384" width="9.140625" style="148"/>
  </cols>
  <sheetData>
    <row r="2" spans="1:30" ht="13.5" x14ac:dyDescent="0.25">
      <c r="A2" s="411"/>
      <c r="B2" s="411"/>
      <c r="C2" s="411"/>
      <c r="E2" s="416"/>
      <c r="F2" s="416"/>
      <c r="G2" s="416"/>
      <c r="H2" s="416"/>
      <c r="I2" s="416"/>
      <c r="J2" s="416"/>
      <c r="K2" s="568"/>
      <c r="L2" s="128"/>
      <c r="M2" s="416"/>
      <c r="N2" s="416"/>
      <c r="O2" s="120"/>
      <c r="Q2" s="128"/>
      <c r="R2" s="416"/>
      <c r="S2" s="416"/>
      <c r="T2" s="416"/>
      <c r="U2" s="569" t="s">
        <v>435</v>
      </c>
      <c r="V2" s="570"/>
      <c r="X2" s="416"/>
    </row>
    <row r="3" spans="1:30" ht="13.5" x14ac:dyDescent="0.25">
      <c r="A3" s="411" t="s">
        <v>436</v>
      </c>
      <c r="B3" s="416"/>
      <c r="C3" s="56"/>
      <c r="E3" s="416"/>
      <c r="F3" s="416"/>
      <c r="G3" s="416"/>
      <c r="H3" s="416"/>
      <c r="I3" s="416"/>
      <c r="J3" s="416"/>
      <c r="K3" s="571"/>
      <c r="L3" s="572"/>
      <c r="M3" s="416"/>
      <c r="N3" s="416"/>
      <c r="P3" s="120" t="s">
        <v>437</v>
      </c>
      <c r="Q3" s="572"/>
      <c r="R3" s="416"/>
      <c r="S3" s="416"/>
      <c r="T3" s="416"/>
      <c r="U3" s="120"/>
      <c r="V3" s="573"/>
      <c r="W3" s="574"/>
      <c r="X3" s="416"/>
    </row>
    <row r="4" spans="1:30" s="575" customFormat="1" ht="12" x14ac:dyDescent="0.2">
      <c r="D4" s="576">
        <f>D10-D11</f>
        <v>1.148073046351783E-3</v>
      </c>
      <c r="E4" s="576">
        <f t="shared" ref="E4:W4" si="0">E10-E11</f>
        <v>-2.0448195573408157E-4</v>
      </c>
      <c r="F4" s="576">
        <f t="shared" si="0"/>
        <v>-1.8502943421481177E-3</v>
      </c>
      <c r="G4" s="577">
        <f t="shared" si="0"/>
        <v>-9.0670335339382291E-4</v>
      </c>
      <c r="H4" s="576">
        <f t="shared" si="0"/>
        <v>7.7662576222792268E-4</v>
      </c>
      <c r="I4" s="576">
        <f t="shared" si="0"/>
        <v>8.7949793669395149E-4</v>
      </c>
      <c r="J4" s="576">
        <f t="shared" si="0"/>
        <v>-8.4798914031125605E-4</v>
      </c>
      <c r="K4" s="577">
        <f t="shared" si="0"/>
        <v>8.081345004029572E-4</v>
      </c>
      <c r="L4" s="577">
        <f t="shared" si="0"/>
        <v>-9.8568794783204794E-5</v>
      </c>
      <c r="M4" s="576">
        <f t="shared" si="0"/>
        <v>4.7022974322317168E-3</v>
      </c>
      <c r="N4" s="576">
        <f t="shared" si="0"/>
        <v>-4.1056321060750633E-4</v>
      </c>
      <c r="O4" s="576">
        <f t="shared" si="0"/>
        <v>-2.387456115684472E-3</v>
      </c>
      <c r="P4" s="577">
        <f t="shared" si="0"/>
        <v>1.9042782369069755E-3</v>
      </c>
      <c r="Q4" s="577">
        <f t="shared" si="0"/>
        <v>1.8057095585390925E-3</v>
      </c>
      <c r="R4" s="576">
        <f>R10-R11</f>
        <v>1.0198169620707631E-3</v>
      </c>
      <c r="S4" s="576">
        <f t="shared" si="0"/>
        <v>-2.6493260666029528E-3</v>
      </c>
      <c r="T4" s="576">
        <f t="shared" si="0"/>
        <v>-3.2300366292474791E-3</v>
      </c>
      <c r="U4" s="577">
        <f>U10-U11</f>
        <v>-4.8595457337796688E-3</v>
      </c>
      <c r="V4" s="577">
        <f>V10-V11</f>
        <v>-2.9552674386650324E-3</v>
      </c>
      <c r="W4" s="577">
        <f t="shared" si="0"/>
        <v>-3.0538365244865417E-3</v>
      </c>
    </row>
    <row r="5" spans="1:30" ht="38.25" x14ac:dyDescent="0.2">
      <c r="A5" s="149"/>
      <c r="B5" s="578" t="s">
        <v>438</v>
      </c>
      <c r="C5" s="60" t="s">
        <v>439</v>
      </c>
      <c r="D5" s="579" t="s">
        <v>440</v>
      </c>
      <c r="E5" s="579" t="s">
        <v>441</v>
      </c>
      <c r="F5" s="579" t="s">
        <v>442</v>
      </c>
      <c r="G5" s="580" t="s">
        <v>443</v>
      </c>
      <c r="H5" s="579" t="s">
        <v>444</v>
      </c>
      <c r="I5" s="579" t="s">
        <v>445</v>
      </c>
      <c r="J5" s="579" t="s">
        <v>446</v>
      </c>
      <c r="K5" s="580" t="s">
        <v>447</v>
      </c>
      <c r="L5" s="581" t="s">
        <v>38</v>
      </c>
      <c r="M5" s="579" t="s">
        <v>448</v>
      </c>
      <c r="N5" s="579" t="s">
        <v>449</v>
      </c>
      <c r="O5" s="579" t="s">
        <v>450</v>
      </c>
      <c r="P5" s="580" t="s">
        <v>451</v>
      </c>
      <c r="Q5" s="581" t="s">
        <v>452</v>
      </c>
      <c r="R5" s="579" t="s">
        <v>453</v>
      </c>
      <c r="S5" s="579" t="s">
        <v>454</v>
      </c>
      <c r="T5" s="579" t="s">
        <v>455</v>
      </c>
      <c r="U5" s="580" t="s">
        <v>456</v>
      </c>
      <c r="V5" s="582" t="s">
        <v>457</v>
      </c>
      <c r="W5" s="580" t="s">
        <v>458</v>
      </c>
      <c r="X5" s="583">
        <f>X8+X9</f>
        <v>22.818779230698546</v>
      </c>
      <c r="Z5" s="584">
        <f>(Z8+Z9)/Z7</f>
        <v>0.22818779230698547</v>
      </c>
    </row>
    <row r="6" spans="1:30" ht="27.75" customHeight="1" x14ac:dyDescent="0.2">
      <c r="A6" s="585" t="s">
        <v>459</v>
      </c>
      <c r="B6" s="586">
        <f>'[6]28'!$O$26</f>
        <v>1552.695984</v>
      </c>
      <c r="C6" s="586">
        <f>W6/1000</f>
        <v>1522.461622</v>
      </c>
      <c r="D6" s="587">
        <f>D7-D58</f>
        <v>91543.61</v>
      </c>
      <c r="E6" s="587">
        <f>E7-E58</f>
        <v>95632.09</v>
      </c>
      <c r="F6" s="587">
        <f>F7-F58</f>
        <v>108534.21</v>
      </c>
      <c r="G6" s="588">
        <f>D6+E6+F6</f>
        <v>295709.91000000003</v>
      </c>
      <c r="H6" s="587">
        <f>H7-H58</f>
        <v>101345.314</v>
      </c>
      <c r="I6" s="587">
        <f>I7-I58</f>
        <v>128623.27499999999</v>
      </c>
      <c r="J6" s="587">
        <f>J7-J58</f>
        <v>138071.14799999999</v>
      </c>
      <c r="K6" s="588">
        <f>H6+I6+J6</f>
        <v>368039.73699999996</v>
      </c>
      <c r="L6" s="588">
        <f>G6+K6</f>
        <v>663749.647</v>
      </c>
      <c r="M6" s="587">
        <f>M7-M58</f>
        <v>155393.54999999999</v>
      </c>
      <c r="N6" s="587">
        <f>N7-N58</f>
        <v>161590.595</v>
      </c>
      <c r="O6" s="587">
        <f>O7-O58</f>
        <v>163593.45000000001</v>
      </c>
      <c r="P6" s="588">
        <f>M6+N6+O6</f>
        <v>480577.59500000003</v>
      </c>
      <c r="Q6" s="588">
        <f>L6+P6</f>
        <v>1144327.2420000001</v>
      </c>
      <c r="R6" s="587">
        <f>R7-R58</f>
        <v>145378.28</v>
      </c>
      <c r="S6" s="587">
        <f>S7-S58</f>
        <v>124108.85</v>
      </c>
      <c r="T6" s="587">
        <f>T7-T58</f>
        <v>108647.25</v>
      </c>
      <c r="U6" s="588">
        <f>R6+S6+T6</f>
        <v>378134.38</v>
      </c>
      <c r="V6" s="589">
        <f t="shared" ref="V6:V12" si="1">P6+U6</f>
        <v>858711.97500000009</v>
      </c>
      <c r="W6" s="590">
        <f>G6+K6+P6+U6</f>
        <v>1522461.622</v>
      </c>
      <c r="X6" s="212">
        <f>Z6</f>
        <v>1522.4616199999998</v>
      </c>
      <c r="Z6" s="591">
        <f>[7]м3!$W$6</f>
        <v>1522.4616199999998</v>
      </c>
    </row>
    <row r="7" spans="1:30" ht="27.75" customHeight="1" x14ac:dyDescent="0.2">
      <c r="A7" s="585" t="s">
        <v>460</v>
      </c>
      <c r="B7" s="586">
        <f>[8]рік!$J$5</f>
        <v>1530.32962</v>
      </c>
      <c r="C7" s="586">
        <f>W7/1000</f>
        <v>1530.329622</v>
      </c>
      <c r="D7" s="587">
        <v>91782.61</v>
      </c>
      <c r="E7" s="587">
        <v>96033.09</v>
      </c>
      <c r="F7" s="587">
        <v>108765.21</v>
      </c>
      <c r="G7" s="588">
        <f>D7+E7+F7</f>
        <v>296580.91000000003</v>
      </c>
      <c r="H7" s="587">
        <v>101565.314</v>
      </c>
      <c r="I7" s="587">
        <v>128941.27499999999</v>
      </c>
      <c r="J7" s="587">
        <v>138357.14799999999</v>
      </c>
      <c r="K7" s="588">
        <f>H7+I7+J7</f>
        <v>368863.73699999996</v>
      </c>
      <c r="L7" s="588">
        <f>G7+K7</f>
        <v>665444.647</v>
      </c>
      <c r="M7" s="587">
        <v>157622.54999999999</v>
      </c>
      <c r="N7" s="587">
        <v>162732.595</v>
      </c>
      <c r="O7" s="587">
        <v>164820.45000000001</v>
      </c>
      <c r="P7" s="588">
        <f>M7+N7+O7</f>
        <v>485175.59500000003</v>
      </c>
      <c r="Q7" s="588">
        <f>L7+P7</f>
        <v>1150620.2420000001</v>
      </c>
      <c r="R7" s="587">
        <v>146258.28</v>
      </c>
      <c r="S7" s="587">
        <v>124496.85</v>
      </c>
      <c r="T7" s="587">
        <v>108954.25</v>
      </c>
      <c r="U7" s="588">
        <f>R7+S7+T7</f>
        <v>379709.38</v>
      </c>
      <c r="V7" s="588">
        <f>P7+U7</f>
        <v>864884.97500000009</v>
      </c>
      <c r="W7" s="592">
        <f>G7+K7+P7+U7</f>
        <v>1530329.622</v>
      </c>
      <c r="X7" s="212">
        <f>Z7</f>
        <v>1530.3296199999997</v>
      </c>
      <c r="Z7" s="591">
        <f>[7]м3!$W$7</f>
        <v>1530.3296199999997</v>
      </c>
    </row>
    <row r="8" spans="1:30" ht="31.5" customHeight="1" x14ac:dyDescent="0.2">
      <c r="A8" s="585" t="s">
        <v>461</v>
      </c>
      <c r="B8" s="586">
        <f>[8]рік!$J$6</f>
        <v>27.623050000000003</v>
      </c>
      <c r="C8" s="586">
        <f t="shared" ref="C8:C18" si="2">W8/1000</f>
        <v>27.623050036100789</v>
      </c>
      <c r="D8" s="111">
        <f>D7*$X8%</f>
        <v>1656.7121174590479</v>
      </c>
      <c r="E8" s="111">
        <f>E7*$X8%</f>
        <v>1733.4349489520437</v>
      </c>
      <c r="F8" s="111">
        <f>F7*$X8%</f>
        <v>1963.2547098516595</v>
      </c>
      <c r="G8" s="593">
        <f>D8+E8+F8</f>
        <v>5353.4017762627509</v>
      </c>
      <c r="H8" s="111">
        <f>H7*$X8%</f>
        <v>1833.2937624821641</v>
      </c>
      <c r="I8" s="111">
        <f>I7*$X8%</f>
        <v>2327.4405983128981</v>
      </c>
      <c r="J8" s="111">
        <f>J7*$X8%</f>
        <v>2497.4007998756506</v>
      </c>
      <c r="K8" s="593">
        <f>H8+I8+J8</f>
        <v>6658.135160670713</v>
      </c>
      <c r="L8" s="217">
        <f t="shared" ref="L8:L11" si="3">G8+K8</f>
        <v>12011.536936933464</v>
      </c>
      <c r="M8" s="111">
        <f>M7*$X8%</f>
        <v>2845.148863927433</v>
      </c>
      <c r="N8" s="111">
        <f>N7*$X8%</f>
        <v>2937.387180883783</v>
      </c>
      <c r="O8" s="111">
        <f>O7*$X8%</f>
        <v>2975.0737827138842</v>
      </c>
      <c r="P8" s="593">
        <f>M8+N8+O8</f>
        <v>8757.6098275251006</v>
      </c>
      <c r="Q8" s="217">
        <f t="shared" ref="Q8:Q11" si="4">L8+P8</f>
        <v>20769.146764458565</v>
      </c>
      <c r="R8" s="111">
        <f>R7*$X8%</f>
        <v>2640.0193321449274</v>
      </c>
      <c r="S8" s="111">
        <f>S7*$X8%</f>
        <v>2247.2169834839247</v>
      </c>
      <c r="T8" s="111">
        <f>T7*$X8%</f>
        <v>1966.6669560133721</v>
      </c>
      <c r="U8" s="593">
        <f>R8+S8+T8</f>
        <v>6853.9032716422244</v>
      </c>
      <c r="V8" s="589">
        <f t="shared" si="1"/>
        <v>15611.513099167325</v>
      </c>
      <c r="W8" s="590">
        <f>U8+P8+K8+G8</f>
        <v>27623.050036100791</v>
      </c>
      <c r="X8" s="594">
        <f>Z8/Z$7*100</f>
        <v>1.8050392306985474</v>
      </c>
      <c r="Y8" s="564"/>
      <c r="Z8" s="595">
        <f>[7]м3!$W$8</f>
        <v>27.623049999999999</v>
      </c>
      <c r="AA8" s="79">
        <f>W8+W9</f>
        <v>349202.5379461635</v>
      </c>
    </row>
    <row r="9" spans="1:30" s="23" customFormat="1" ht="15" customHeight="1" x14ac:dyDescent="0.2">
      <c r="A9" s="103" t="s">
        <v>462</v>
      </c>
      <c r="B9" s="586">
        <f>[8]рік!$J$7</f>
        <v>377.99228899999997</v>
      </c>
      <c r="C9" s="586">
        <f t="shared" si="2"/>
        <v>321.57948791006271</v>
      </c>
      <c r="D9" s="111">
        <f>D7*$X9%</f>
        <v>19286.959030613998</v>
      </c>
      <c r="E9" s="111">
        <f>E7*$X9%</f>
        <v>20180.143846565996</v>
      </c>
      <c r="F9" s="111">
        <f>F7*$X9%</f>
        <v>22855.638439853999</v>
      </c>
      <c r="G9" s="218">
        <f>D9+E9+F9</f>
        <v>62322.741317033986</v>
      </c>
      <c r="H9" s="111">
        <f>H7*$X9%</f>
        <v>21342.671014143598</v>
      </c>
      <c r="I9" s="111">
        <f>I7*$X9%</f>
        <v>27095.384281184997</v>
      </c>
      <c r="J9" s="111">
        <f>J7*$X9%</f>
        <v>29074.011352135192</v>
      </c>
      <c r="K9" s="218">
        <f>H9+I9+J9</f>
        <v>77512.066647463784</v>
      </c>
      <c r="L9" s="217">
        <f t="shared" si="3"/>
        <v>139834.80796449777</v>
      </c>
      <c r="M9" s="111">
        <f>M7*$X9%</f>
        <v>33122.392838369997</v>
      </c>
      <c r="N9" s="111">
        <f>N7*$X9%</f>
        <v>34196.204408553</v>
      </c>
      <c r="O9" s="111">
        <f>O7*$X9%</f>
        <v>34634.940829829997</v>
      </c>
      <c r="P9" s="218">
        <f>M9+N9+O9</f>
        <v>101953.53807675299</v>
      </c>
      <c r="Q9" s="217">
        <f t="shared" si="4"/>
        <v>241788.34604125074</v>
      </c>
      <c r="R9" s="111">
        <f>R7*$X9%</f>
        <v>30734.334687671995</v>
      </c>
      <c r="S9" s="111">
        <f>S7*$X9%</f>
        <v>26161.444367189997</v>
      </c>
      <c r="T9" s="111">
        <f>T7*$X9%</f>
        <v>22895.362813949996</v>
      </c>
      <c r="U9" s="218">
        <f>R9+S9+T9</f>
        <v>79791.141868811988</v>
      </c>
      <c r="V9" s="589">
        <f t="shared" si="1"/>
        <v>181744.67994556497</v>
      </c>
      <c r="W9" s="596">
        <f t="shared" ref="W9:W19" si="5">G9+K9+P9+U9</f>
        <v>321579.48791006271</v>
      </c>
      <c r="X9" s="594">
        <f>Z9/Z7*100</f>
        <v>21.013739999999999</v>
      </c>
      <c r="Z9" s="595">
        <f>[7]м3!$W$9</f>
        <v>321.57948748978794</v>
      </c>
    </row>
    <row r="10" spans="1:30" s="120" customFormat="1" ht="13.5" x14ac:dyDescent="0.25">
      <c r="A10" s="597" t="s">
        <v>463</v>
      </c>
      <c r="B10" s="598">
        <f>B12+B16+B17+B18</f>
        <v>1124.7142810000003</v>
      </c>
      <c r="C10" s="586">
        <f t="shared" si="2"/>
        <v>1181.1270810000001</v>
      </c>
      <c r="D10" s="111">
        <f>SUM(D12:D18)-D15-D14-D13</f>
        <v>70838.94</v>
      </c>
      <c r="E10" s="111">
        <f t="shared" ref="E10:W10" si="6">SUM(E12:E18)-E15-E14-E13</f>
        <v>74119.511000000013</v>
      </c>
      <c r="F10" s="111">
        <f t="shared" si="6"/>
        <v>83946.315000000002</v>
      </c>
      <c r="G10" s="218">
        <f t="shared" si="6"/>
        <v>228904.76599999995</v>
      </c>
      <c r="H10" s="111">
        <f t="shared" si="6"/>
        <v>78389.350000000006</v>
      </c>
      <c r="I10" s="111">
        <f t="shared" si="6"/>
        <v>99518.45100000003</v>
      </c>
      <c r="J10" s="111">
        <f t="shared" si="6"/>
        <v>106785.73500000002</v>
      </c>
      <c r="K10" s="218">
        <f t="shared" si="6"/>
        <v>284693.53600000002</v>
      </c>
      <c r="L10" s="217">
        <f t="shared" si="6"/>
        <v>513598.30200000003</v>
      </c>
      <c r="M10" s="111">
        <f t="shared" si="6"/>
        <v>121655.01299999999</v>
      </c>
      <c r="N10" s="111">
        <f t="shared" si="6"/>
        <v>125599.00300000001</v>
      </c>
      <c r="O10" s="111">
        <f t="shared" si="6"/>
        <v>127210.43300000002</v>
      </c>
      <c r="P10" s="218">
        <f t="shared" si="6"/>
        <v>374464.44900000014</v>
      </c>
      <c r="Q10" s="217">
        <f t="shared" si="6"/>
        <v>888062.75100000028</v>
      </c>
      <c r="R10" s="111">
        <f t="shared" si="6"/>
        <v>112883.92700000003</v>
      </c>
      <c r="S10" s="111">
        <f t="shared" si="6"/>
        <v>96088.186000000016</v>
      </c>
      <c r="T10" s="111">
        <f t="shared" si="6"/>
        <v>84092.217000000004</v>
      </c>
      <c r="U10" s="218">
        <f t="shared" si="6"/>
        <v>293064.33000000007</v>
      </c>
      <c r="V10" s="589">
        <f t="shared" si="6"/>
        <v>667528.77900000033</v>
      </c>
      <c r="W10" s="596">
        <f t="shared" si="6"/>
        <v>1181127.081</v>
      </c>
      <c r="X10" s="599">
        <f>SUM(X12:X18)-X15</f>
        <v>2184526.7620000001</v>
      </c>
      <c r="Y10" s="600">
        <f>X10-W10</f>
        <v>1003399.6810000001</v>
      </c>
      <c r="Z10" s="601">
        <f>Z7-Z8-Z9</f>
        <v>1181.1270825102119</v>
      </c>
      <c r="AA10" s="602">
        <f>Z10-B10</f>
        <v>56.412801510211693</v>
      </c>
    </row>
    <row r="11" spans="1:30" s="102" customFormat="1" x14ac:dyDescent="0.2">
      <c r="A11" s="603" t="s">
        <v>464</v>
      </c>
      <c r="B11" s="604">
        <f>B7-B8-B9</f>
        <v>1124.714281</v>
      </c>
      <c r="C11" s="605">
        <f>W11/1000</f>
        <v>1181.1270840538366</v>
      </c>
      <c r="D11" s="606">
        <f>D7-D8-D9</f>
        <v>70838.938851926956</v>
      </c>
      <c r="E11" s="606">
        <f>E7-E8-E9</f>
        <v>74119.511204481969</v>
      </c>
      <c r="F11" s="606">
        <f>F7-F8-F9</f>
        <v>83946.316850294344</v>
      </c>
      <c r="G11" s="217">
        <f>SUM(D11:F11)</f>
        <v>228904.7669067033</v>
      </c>
      <c r="H11" s="606">
        <f>H7-H8-H9</f>
        <v>78389.349223374244</v>
      </c>
      <c r="I11" s="606">
        <f>I7-I8-I9</f>
        <v>99518.450120502093</v>
      </c>
      <c r="J11" s="606">
        <f>J7-J8-J9</f>
        <v>106785.73584798916</v>
      </c>
      <c r="K11" s="217">
        <f>SUM(H11:J11)</f>
        <v>284693.53519186552</v>
      </c>
      <c r="L11" s="217">
        <f t="shared" si="3"/>
        <v>513598.30209856882</v>
      </c>
      <c r="M11" s="606">
        <f>M7-M8-M9</f>
        <v>121655.00829770256</v>
      </c>
      <c r="N11" s="606">
        <f>N7-N8-N9</f>
        <v>125599.00341056322</v>
      </c>
      <c r="O11" s="606">
        <f>O7-O8-O9</f>
        <v>127210.43538745613</v>
      </c>
      <c r="P11" s="217">
        <f>SUM(M11:O11)</f>
        <v>374464.4470957219</v>
      </c>
      <c r="Q11" s="217">
        <f t="shared" si="4"/>
        <v>888062.74919429072</v>
      </c>
      <c r="R11" s="606">
        <f>R7-R8-R9</f>
        <v>112883.92598018306</v>
      </c>
      <c r="S11" s="606">
        <f>S7-S8-S9</f>
        <v>96088.188649326083</v>
      </c>
      <c r="T11" s="606">
        <f>T7-T8-T9</f>
        <v>84092.220230036633</v>
      </c>
      <c r="U11" s="606">
        <f>SUM(R11:T11)</f>
        <v>293064.33485954581</v>
      </c>
      <c r="V11" s="217">
        <f t="shared" si="1"/>
        <v>667528.78195526777</v>
      </c>
      <c r="W11" s="607">
        <f t="shared" si="5"/>
        <v>1181127.0840538365</v>
      </c>
      <c r="X11" s="608"/>
      <c r="Y11" s="609"/>
      <c r="AB11" s="608">
        <f>C11/365</f>
        <v>3.2359646138461278</v>
      </c>
      <c r="AC11" s="608">
        <f>AB11</f>
        <v>3.2359646138461278</v>
      </c>
      <c r="AD11" s="608">
        <v>3.6920000000000002</v>
      </c>
    </row>
    <row r="12" spans="1:30" x14ac:dyDescent="0.2">
      <c r="A12" s="149" t="s">
        <v>465</v>
      </c>
      <c r="B12" s="610">
        <f>[8]рік!$J$9</f>
        <v>978.91388100000006</v>
      </c>
      <c r="C12" s="586">
        <f t="shared" si="2"/>
        <v>1035.326681</v>
      </c>
      <c r="D12" s="587">
        <f>D14+D15+D13</f>
        <v>63883.360000000001</v>
      </c>
      <c r="E12" s="587">
        <f>E14+E15+E13</f>
        <v>65652.510999999999</v>
      </c>
      <c r="F12" s="587">
        <f t="shared" ref="F12" si="7">F14+F15+F13</f>
        <v>75781.184999999998</v>
      </c>
      <c r="G12" s="588">
        <f t="shared" ref="G12:G17" si="8">D12+E12+F12</f>
        <v>205317.05599999998</v>
      </c>
      <c r="H12" s="587">
        <f>H14+H15+H13</f>
        <v>69605.850000000006</v>
      </c>
      <c r="I12" s="587">
        <f t="shared" ref="I12:J12" si="9">I14+I15+I13</f>
        <v>89333.831000000006</v>
      </c>
      <c r="J12" s="587">
        <f t="shared" si="9"/>
        <v>94376.35500000001</v>
      </c>
      <c r="K12" s="588">
        <f t="shared" ref="K12:K17" si="10">H12+I12+J12</f>
        <v>253316.03600000002</v>
      </c>
      <c r="L12" s="588">
        <f>G12+K12</f>
        <v>458633.092</v>
      </c>
      <c r="M12" s="587">
        <f>M14+M15+M13</f>
        <v>106869.493</v>
      </c>
      <c r="N12" s="587">
        <f t="shared" ref="N12:O12" si="11">N14+N15+N13</f>
        <v>105722.963</v>
      </c>
      <c r="O12" s="587">
        <f t="shared" si="11"/>
        <v>108645.133</v>
      </c>
      <c r="P12" s="588">
        <f t="shared" ref="P12:P19" si="12">M12+N12+O12</f>
        <v>321237.58900000004</v>
      </c>
      <c r="Q12" s="588">
        <f>L12+P12</f>
        <v>779870.6810000001</v>
      </c>
      <c r="R12" s="587">
        <f>R14+R15+R13</f>
        <v>97187.687000000005</v>
      </c>
      <c r="S12" s="587">
        <f t="shared" ref="S12:T12" si="13">S14+S15+S13</f>
        <v>84986.266000000003</v>
      </c>
      <c r="T12" s="587">
        <f t="shared" si="13"/>
        <v>73282.046999999991</v>
      </c>
      <c r="U12" s="588">
        <f>R12+S12+T12</f>
        <v>255456</v>
      </c>
      <c r="V12" s="589">
        <f t="shared" si="1"/>
        <v>576693.58900000004</v>
      </c>
      <c r="W12" s="611">
        <f t="shared" si="5"/>
        <v>1035326.6810000001</v>
      </c>
      <c r="X12" s="612">
        <f>[7]м3!$U14</f>
        <v>1035326.6810000001</v>
      </c>
      <c r="Y12" s="564">
        <f>X12-W12</f>
        <v>0</v>
      </c>
      <c r="AB12" s="608">
        <f>C12/365</f>
        <v>2.8365114547945205</v>
      </c>
      <c r="AC12" s="613">
        <f>AB12</f>
        <v>2.8365114547945205</v>
      </c>
      <c r="AD12" s="148">
        <v>3.1629999999999998</v>
      </c>
    </row>
    <row r="13" spans="1:30" x14ac:dyDescent="0.2">
      <c r="A13" s="614" t="s">
        <v>466</v>
      </c>
      <c r="B13" s="610"/>
      <c r="C13" s="586">
        <f t="shared" si="2"/>
        <v>365.30967800000008</v>
      </c>
      <c r="D13" s="615">
        <f>'[9]реал 23'!$D$54+D19</f>
        <v>14438.93</v>
      </c>
      <c r="E13" s="615">
        <f>'[9]реал 23'!$D$55+E19</f>
        <v>15350.48</v>
      </c>
      <c r="F13" s="615">
        <f>'[9]реал 23'!$D$56+F19</f>
        <v>18216.59</v>
      </c>
      <c r="G13" s="616">
        <f t="shared" si="8"/>
        <v>48006</v>
      </c>
      <c r="H13" s="615">
        <f>'[9]реал 23'!$D$58+H19</f>
        <v>16746.760000000002</v>
      </c>
      <c r="I13" s="615">
        <f>'[9]реал 23'!$D$59+I19</f>
        <v>31933.93</v>
      </c>
      <c r="J13" s="615">
        <f>'[9]реал 23'!$D$60+J19</f>
        <v>37453.146000000001</v>
      </c>
      <c r="K13" s="616">
        <f t="shared" si="10"/>
        <v>86133.83600000001</v>
      </c>
      <c r="L13" s="616">
        <f>G13+K13</f>
        <v>134139.83600000001</v>
      </c>
      <c r="M13" s="615">
        <f>'[9]реал 23'!$D$63+M19</f>
        <v>52248.205000000002</v>
      </c>
      <c r="N13" s="615">
        <f>'[9]реал 23'!$D$64+N19</f>
        <v>50918.928</v>
      </c>
      <c r="O13" s="615">
        <f>'[9]реал 23'!$D$65+O19</f>
        <v>49563.968000000001</v>
      </c>
      <c r="P13" s="616">
        <f t="shared" si="12"/>
        <v>152731.101</v>
      </c>
      <c r="Q13" s="616">
        <f>L13+P13</f>
        <v>286870.93700000003</v>
      </c>
      <c r="R13" s="615">
        <f>'[9]реал 23'!$D$68+R19</f>
        <v>37043.957000000002</v>
      </c>
      <c r="S13" s="615">
        <f>'[9]реал 23'!$D$69+S19</f>
        <v>24219.830999999998</v>
      </c>
      <c r="T13" s="615">
        <f>'[9]реал 23'!$D$70+T19</f>
        <v>17174.953000000001</v>
      </c>
      <c r="U13" s="616">
        <f t="shared" ref="U13:U17" si="14">R13+S13+T13</f>
        <v>78438.741000000009</v>
      </c>
      <c r="V13" s="616">
        <f>P13+U13</f>
        <v>231169.842</v>
      </c>
      <c r="W13" s="617">
        <f t="shared" si="5"/>
        <v>365309.67800000007</v>
      </c>
      <c r="X13" s="612">
        <f>[7]м3!$U15</f>
        <v>365309.67800000007</v>
      </c>
      <c r="Y13" s="564">
        <f t="shared" ref="Y13:Y14" si="15">X13-W13</f>
        <v>0</v>
      </c>
      <c r="AB13" s="608"/>
      <c r="AC13" s="613"/>
    </row>
    <row r="14" spans="1:30" x14ac:dyDescent="0.2">
      <c r="A14" s="614" t="s">
        <v>467</v>
      </c>
      <c r="B14" s="610"/>
      <c r="C14" s="586">
        <f t="shared" si="2"/>
        <v>638.09000300000002</v>
      </c>
      <c r="D14" s="615">
        <f>'[9]реал 23'!$C$54</f>
        <v>46912.43</v>
      </c>
      <c r="E14" s="615">
        <f>'[9]реал 23'!$C$55</f>
        <v>48304.030999999995</v>
      </c>
      <c r="F14" s="615">
        <f>'[9]реал 23'!$C$56</f>
        <v>55190.595000000001</v>
      </c>
      <c r="G14" s="616">
        <f t="shared" si="8"/>
        <v>150407.05599999998</v>
      </c>
      <c r="H14" s="615">
        <f>'[9]реал 23'!$C$58</f>
        <v>50297.090000000004</v>
      </c>
      <c r="I14" s="615">
        <f>'[9]реал 23'!$C$59</f>
        <v>54860.901000000005</v>
      </c>
      <c r="J14" s="615">
        <f>'[9]реал 23'!$C$60</f>
        <v>54291.209000000003</v>
      </c>
      <c r="K14" s="616">
        <f t="shared" si="10"/>
        <v>159449.20000000001</v>
      </c>
      <c r="L14" s="616">
        <f>G14+K14</f>
        <v>309856.25599999999</v>
      </c>
      <c r="M14" s="615">
        <f>'[9]реал 23'!$C$63</f>
        <v>51488.288</v>
      </c>
      <c r="N14" s="615">
        <f>'[9]реал 23'!$C$64</f>
        <v>52181.035000000003</v>
      </c>
      <c r="O14" s="615">
        <f>'[9]реал 23'!$C$65</f>
        <v>55387.165000000001</v>
      </c>
      <c r="P14" s="616">
        <f t="shared" si="12"/>
        <v>159056.48800000001</v>
      </c>
      <c r="Q14" s="616">
        <f>L14+P14</f>
        <v>468912.74400000001</v>
      </c>
      <c r="R14" s="615">
        <f>'[9]реал 23'!$C$68</f>
        <v>57014.73</v>
      </c>
      <c r="S14" s="615">
        <f>'[9]реал 23'!$C$69</f>
        <v>58323.434999999998</v>
      </c>
      <c r="T14" s="615">
        <f>'[9]реал 23'!$C$70</f>
        <v>53839.093999999997</v>
      </c>
      <c r="U14" s="616">
        <f t="shared" si="14"/>
        <v>169177.25900000002</v>
      </c>
      <c r="V14" s="616">
        <f>P14+U14</f>
        <v>328233.74700000003</v>
      </c>
      <c r="W14" s="617">
        <f t="shared" si="5"/>
        <v>638090.00300000003</v>
      </c>
      <c r="X14" s="612">
        <f>[7]м3!$U16</f>
        <v>638090.00300000003</v>
      </c>
      <c r="Y14" s="564">
        <f t="shared" si="15"/>
        <v>0</v>
      </c>
      <c r="AB14" s="608"/>
      <c r="AC14" s="613"/>
    </row>
    <row r="15" spans="1:30" x14ac:dyDescent="0.2">
      <c r="A15" s="614" t="s">
        <v>468</v>
      </c>
      <c r="B15" s="610"/>
      <c r="C15" s="586">
        <f t="shared" si="2"/>
        <v>31.927</v>
      </c>
      <c r="D15" s="618">
        <f>'[9]реал 23'!$B$100</f>
        <v>2532</v>
      </c>
      <c r="E15" s="618">
        <f>'[9]реал 23'!$B$101</f>
        <v>1998</v>
      </c>
      <c r="F15" s="618">
        <f>'[9]реал 23'!$B$102</f>
        <v>2374</v>
      </c>
      <c r="G15" s="616">
        <f t="shared" si="8"/>
        <v>6904</v>
      </c>
      <c r="H15" s="618">
        <f>'[9]реал 23'!$B$104</f>
        <v>2562</v>
      </c>
      <c r="I15" s="618">
        <f>'[9]реал 23'!$B$105</f>
        <v>2539</v>
      </c>
      <c r="J15" s="618">
        <f>'[9]реал 23'!$B$106</f>
        <v>2632</v>
      </c>
      <c r="K15" s="616">
        <f t="shared" si="10"/>
        <v>7733</v>
      </c>
      <c r="L15" s="616">
        <f t="shared" ref="L15:L22" si="16">G15+K15</f>
        <v>14637</v>
      </c>
      <c r="M15" s="618">
        <f>'[9]реал 23'!$B$109</f>
        <v>3133</v>
      </c>
      <c r="N15" s="618">
        <f>'[9]реал 23'!$B$110</f>
        <v>2623</v>
      </c>
      <c r="O15" s="618">
        <f>'[9]реал 23'!$B$111</f>
        <v>3694</v>
      </c>
      <c r="P15" s="616">
        <f t="shared" si="12"/>
        <v>9450</v>
      </c>
      <c r="Q15" s="616">
        <f t="shared" ref="Q15:Q22" si="17">L15+P15</f>
        <v>24087</v>
      </c>
      <c r="R15" s="618">
        <f>'[9]реал 23'!$B$114</f>
        <v>3129</v>
      </c>
      <c r="S15" s="618">
        <f>'[9]реал 23'!$B$115</f>
        <v>2443</v>
      </c>
      <c r="T15" s="618">
        <f>'[9]реал 23'!$B$116</f>
        <v>2268</v>
      </c>
      <c r="U15" s="616">
        <f t="shared" si="14"/>
        <v>7840</v>
      </c>
      <c r="V15" s="616">
        <f t="shared" ref="V15:V19" si="18">P15+U15</f>
        <v>17290</v>
      </c>
      <c r="W15" s="617">
        <f t="shared" si="5"/>
        <v>31927</v>
      </c>
      <c r="X15" s="612">
        <f>[7]м3!$U17</f>
        <v>31927</v>
      </c>
      <c r="Y15" s="564">
        <f>X15-W15</f>
        <v>0</v>
      </c>
      <c r="AB15" s="608"/>
      <c r="AC15" s="613"/>
    </row>
    <row r="16" spans="1:30" x14ac:dyDescent="0.2">
      <c r="A16" s="149" t="s">
        <v>469</v>
      </c>
      <c r="B16" s="610">
        <f>[8]рік!$J$10</f>
        <v>48.337110000000003</v>
      </c>
      <c r="C16" s="586">
        <f t="shared" si="2"/>
        <v>48.337110000000003</v>
      </c>
      <c r="D16" s="587">
        <f>'[9]реал 23'!$E$54+'[9]реал 23'!$H$54</f>
        <v>1295.42</v>
      </c>
      <c r="E16" s="587">
        <f>'[9]реал 23'!$E$55+'[9]реал 23'!$H$55</f>
        <v>1995.4</v>
      </c>
      <c r="F16" s="587">
        <f>'[9]реал 23'!$E$56+'[9]реал 23'!$H$56</f>
        <v>2178.35</v>
      </c>
      <c r="G16" s="588">
        <f t="shared" si="8"/>
        <v>5469.17</v>
      </c>
      <c r="H16" s="587">
        <f>'[9]реал 23'!$E$58+'[9]реал 23'!$H$58</f>
        <v>2250.4</v>
      </c>
      <c r="I16" s="587">
        <f>'[9]реал 23'!$E$59+'[9]реал 23'!$H$59</f>
        <v>1768.3899999999999</v>
      </c>
      <c r="J16" s="587">
        <f>'[9]реал 23'!$E$60+'[9]реал 23'!$H$60</f>
        <v>4460.0599999999995</v>
      </c>
      <c r="K16" s="588">
        <f t="shared" si="10"/>
        <v>8478.8499999999985</v>
      </c>
      <c r="L16" s="588">
        <f t="shared" si="16"/>
        <v>13948.019999999999</v>
      </c>
      <c r="M16" s="587">
        <f>'[9]реал 23'!$E$63+'[9]реал 23'!$H$63</f>
        <v>4237.5200000000004</v>
      </c>
      <c r="N16" s="587">
        <f>'[9]реал 23'!$E$64+'[9]реал 23'!$H$64</f>
        <v>6807.5999999999995</v>
      </c>
      <c r="O16" s="587">
        <f>'[9]реал 23'!$E$65+'[9]реал 23'!$H$65</f>
        <v>7762.04</v>
      </c>
      <c r="P16" s="588">
        <f t="shared" si="12"/>
        <v>18807.16</v>
      </c>
      <c r="Q16" s="588">
        <f t="shared" si="17"/>
        <v>32755.18</v>
      </c>
      <c r="R16" s="587">
        <f>'[9]реал 23'!$E$68+'[9]реал 23'!$H$68</f>
        <v>5981.42</v>
      </c>
      <c r="S16" s="587">
        <f>'[9]реал 23'!$E$69+'[9]реал 23'!$H$69</f>
        <v>4075.6000000000004</v>
      </c>
      <c r="T16" s="587">
        <f>'[9]реал 23'!$E$70+'[9]реал 23'!$H$70</f>
        <v>5524.91</v>
      </c>
      <c r="U16" s="588">
        <f t="shared" si="14"/>
        <v>15581.93</v>
      </c>
      <c r="V16" s="588">
        <f t="shared" si="18"/>
        <v>34389.089999999997</v>
      </c>
      <c r="W16" s="611">
        <f t="shared" si="5"/>
        <v>48337.11</v>
      </c>
      <c r="X16" s="612">
        <f>[7]м3!$U18</f>
        <v>48337.11</v>
      </c>
      <c r="Y16" s="564">
        <f>X16-W16</f>
        <v>0</v>
      </c>
      <c r="AB16" s="608">
        <f>C16/365</f>
        <v>0.13243043835616439</v>
      </c>
      <c r="AC16" s="613">
        <f>AB16+AB17+AB18</f>
        <v>0.39945315068493148</v>
      </c>
      <c r="AD16" s="148">
        <v>0.53</v>
      </c>
    </row>
    <row r="17" spans="1:28" x14ac:dyDescent="0.2">
      <c r="A17" s="149" t="s">
        <v>470</v>
      </c>
      <c r="B17" s="610">
        <f>[8]рік!$J$13</f>
        <v>11.553990000000001</v>
      </c>
      <c r="C17" s="586">
        <f t="shared" si="2"/>
        <v>11.553990000000001</v>
      </c>
      <c r="D17" s="587">
        <f>'[9]реал 23'!$K$54</f>
        <v>213.16</v>
      </c>
      <c r="E17" s="587">
        <f>'[9]реал 23'!$K$55</f>
        <v>339.59999999999997</v>
      </c>
      <c r="F17" s="587">
        <f>'[9]реал 23'!$K$56</f>
        <v>351.78</v>
      </c>
      <c r="G17" s="588">
        <f t="shared" si="8"/>
        <v>904.54</v>
      </c>
      <c r="H17" s="587">
        <f>'[9]реал 23'!$K$58</f>
        <v>318.09999999999997</v>
      </c>
      <c r="I17" s="587">
        <f>'[9]реал 23'!$K$59</f>
        <v>313.23</v>
      </c>
      <c r="J17" s="587">
        <f>'[9]реал 23'!$K$60</f>
        <v>1282.32</v>
      </c>
      <c r="K17" s="588">
        <f t="shared" si="10"/>
        <v>1913.6499999999999</v>
      </c>
      <c r="L17" s="588">
        <f t="shared" si="16"/>
        <v>2818.1899999999996</v>
      </c>
      <c r="M17" s="587">
        <f>'[9]реал 23'!$K$63</f>
        <v>1848</v>
      </c>
      <c r="N17" s="587">
        <f>'[9]реал 23'!$K$64</f>
        <v>1994.64</v>
      </c>
      <c r="O17" s="587">
        <f>'[9]реал 23'!$K$65</f>
        <v>2751.26</v>
      </c>
      <c r="P17" s="588">
        <f t="shared" si="12"/>
        <v>6593.9000000000005</v>
      </c>
      <c r="Q17" s="588">
        <f t="shared" si="17"/>
        <v>9412.09</v>
      </c>
      <c r="R17" s="587">
        <f>'[9]реал 23'!$K$68</f>
        <v>1352.32</v>
      </c>
      <c r="S17" s="587">
        <f>'[9]реал 23'!$K$69</f>
        <v>545.32000000000005</v>
      </c>
      <c r="T17" s="587">
        <f>'[9]реал 23'!$K$70</f>
        <v>244.26</v>
      </c>
      <c r="U17" s="588">
        <f t="shared" si="14"/>
        <v>2141.8999999999996</v>
      </c>
      <c r="V17" s="588">
        <f t="shared" si="18"/>
        <v>8735.7999999999993</v>
      </c>
      <c r="W17" s="611">
        <f t="shared" si="5"/>
        <v>11553.99</v>
      </c>
      <c r="X17" s="612">
        <f>[7]м3!$U19</f>
        <v>11553.99</v>
      </c>
      <c r="Y17" s="564">
        <f>X17-W17</f>
        <v>0</v>
      </c>
      <c r="AB17" s="608">
        <f>C17/365</f>
        <v>3.1654767123287672E-2</v>
      </c>
    </row>
    <row r="18" spans="1:28" s="23" customFormat="1" x14ac:dyDescent="0.2">
      <c r="A18" s="98" t="s">
        <v>471</v>
      </c>
      <c r="B18" s="610">
        <f>[8]рік!$J$11-B17</f>
        <v>85.909300000000002</v>
      </c>
      <c r="C18" s="586">
        <f t="shared" si="2"/>
        <v>85.909300000000002</v>
      </c>
      <c r="D18" s="587">
        <f>'[9]реал 23'!$N$54</f>
        <v>5447</v>
      </c>
      <c r="E18" s="587">
        <f>'[9]реал 23'!$N$55</f>
        <v>6132</v>
      </c>
      <c r="F18" s="587">
        <f>'[9]реал 23'!$N$56</f>
        <v>5635</v>
      </c>
      <c r="G18" s="588">
        <f>SUM(D18:F18)</f>
        <v>17214</v>
      </c>
      <c r="H18" s="587">
        <f>'[9]реал 23'!$N$58</f>
        <v>6215</v>
      </c>
      <c r="I18" s="587">
        <f>'[9]реал 23'!$N$59</f>
        <v>8103</v>
      </c>
      <c r="J18" s="587">
        <f>'[9]реал 23'!$N$60</f>
        <v>6667</v>
      </c>
      <c r="K18" s="588">
        <f>SUM(H18:J18)</f>
        <v>20985</v>
      </c>
      <c r="L18" s="588">
        <f t="shared" si="16"/>
        <v>38199</v>
      </c>
      <c r="M18" s="587">
        <f>'[9]реал 23'!$N$63</f>
        <v>8700</v>
      </c>
      <c r="N18" s="587">
        <f>'[9]реал 23'!$N$64</f>
        <v>11073.8</v>
      </c>
      <c r="O18" s="587">
        <f>'[9]реал 23'!$N$65</f>
        <v>8052</v>
      </c>
      <c r="P18" s="588">
        <f t="shared" si="12"/>
        <v>27825.8</v>
      </c>
      <c r="Q18" s="588">
        <f t="shared" si="17"/>
        <v>66024.800000000003</v>
      </c>
      <c r="R18" s="587">
        <f>'[9]реал 23'!$N$68</f>
        <v>8362.5</v>
      </c>
      <c r="S18" s="587">
        <f>'[9]реал 23'!$N$69</f>
        <v>6481</v>
      </c>
      <c r="T18" s="587">
        <f>'[9]реал 23'!$N$70</f>
        <v>5041</v>
      </c>
      <c r="U18" s="588">
        <f>SUM(R18:T18)</f>
        <v>19884.5</v>
      </c>
      <c r="V18" s="588">
        <f t="shared" si="18"/>
        <v>47710.3</v>
      </c>
      <c r="W18" s="611">
        <f t="shared" si="5"/>
        <v>85909.3</v>
      </c>
      <c r="X18" s="612">
        <f>[7]м3!$U20</f>
        <v>85909.3</v>
      </c>
      <c r="Y18" s="564">
        <f>X18-W18</f>
        <v>0</v>
      </c>
      <c r="Z18" s="23">
        <f>Y18/12</f>
        <v>0</v>
      </c>
      <c r="AB18" s="608">
        <f>C18/365</f>
        <v>0.23536794520547946</v>
      </c>
    </row>
    <row r="19" spans="1:28" s="205" customFormat="1" ht="13.5" hidden="1" x14ac:dyDescent="0.25">
      <c r="A19" s="206"/>
      <c r="B19" s="619"/>
      <c r="C19" s="605"/>
      <c r="D19" s="620">
        <v>4000</v>
      </c>
      <c r="E19" s="620">
        <v>4000</v>
      </c>
      <c r="F19" s="620">
        <v>4000</v>
      </c>
      <c r="G19" s="589">
        <f>SUM(D19:F19)</f>
        <v>12000</v>
      </c>
      <c r="H19" s="620">
        <v>4000</v>
      </c>
      <c r="I19" s="620">
        <v>4000</v>
      </c>
      <c r="J19" s="620">
        <v>5000</v>
      </c>
      <c r="K19" s="589">
        <f>SUM(H19:J19)</f>
        <v>13000</v>
      </c>
      <c r="L19" s="589">
        <f t="shared" si="16"/>
        <v>25000</v>
      </c>
      <c r="M19" s="620">
        <v>6000</v>
      </c>
      <c r="N19" s="620">
        <f>6000+1412.8</f>
        <v>7412.8</v>
      </c>
      <c r="O19" s="620">
        <v>6000</v>
      </c>
      <c r="P19" s="589">
        <f t="shared" si="12"/>
        <v>19412.8</v>
      </c>
      <c r="Q19" s="589">
        <f t="shared" si="17"/>
        <v>44412.800000000003</v>
      </c>
      <c r="R19" s="620">
        <v>4000</v>
      </c>
      <c r="S19" s="620">
        <v>4000</v>
      </c>
      <c r="T19" s="620">
        <v>4000</v>
      </c>
      <c r="U19" s="589">
        <f>SUM(R19:T19)</f>
        <v>12000</v>
      </c>
      <c r="V19" s="589">
        <f t="shared" si="18"/>
        <v>31412.799999999999</v>
      </c>
      <c r="W19" s="621">
        <f t="shared" si="5"/>
        <v>56412.800000000003</v>
      </c>
      <c r="X19" s="622"/>
    </row>
    <row r="20" spans="1:28" s="631" customFormat="1" ht="13.5" hidden="1" x14ac:dyDescent="0.25">
      <c r="A20" s="623"/>
      <c r="B20" s="610"/>
      <c r="C20" s="624"/>
      <c r="D20" s="625">
        <f>80040.775+2407</f>
        <v>82447.774999999994</v>
      </c>
      <c r="E20" s="625">
        <f>74431.105+2211</f>
        <v>76642.104999999996</v>
      </c>
      <c r="F20" s="625">
        <f>77661.865+1669</f>
        <v>79330.865000000005</v>
      </c>
      <c r="G20" s="626">
        <f>D20+E20+F20</f>
        <v>238420.745</v>
      </c>
      <c r="H20" s="625">
        <f>74627.145+2051</f>
        <v>76678.145000000004</v>
      </c>
      <c r="I20" s="625">
        <f>72753.18+1364</f>
        <v>74117.179999999993</v>
      </c>
      <c r="J20" s="625">
        <f>78566.86+2090</f>
        <v>80656.86</v>
      </c>
      <c r="K20" s="626">
        <f>H20+I20+J20</f>
        <v>231452.185</v>
      </c>
      <c r="L20" s="626">
        <f t="shared" si="16"/>
        <v>469872.93</v>
      </c>
      <c r="M20" s="625">
        <f>87957.26+2725</f>
        <v>90682.26</v>
      </c>
      <c r="N20" s="625">
        <f>102064.31+2655</f>
        <v>104719.31</v>
      </c>
      <c r="O20" s="625">
        <f>93824.4+1564</f>
        <v>95388.4</v>
      </c>
      <c r="P20" s="626">
        <f>M20+N20+O20</f>
        <v>290789.96999999997</v>
      </c>
      <c r="Q20" s="626">
        <f t="shared" si="17"/>
        <v>760662.89999999991</v>
      </c>
      <c r="R20" s="625">
        <f>81648.65+1543</f>
        <v>83191.649999999994</v>
      </c>
      <c r="S20" s="625">
        <f>86983.215+2224</f>
        <v>89207.214999999997</v>
      </c>
      <c r="T20" s="625">
        <f>74527.18+2324</f>
        <v>76851.179999999993</v>
      </c>
      <c r="U20" s="626">
        <f>R20+S20+T20</f>
        <v>249250.04499999998</v>
      </c>
      <c r="V20" s="626"/>
      <c r="W20" s="627">
        <f>G20+K20+P20+U20</f>
        <v>1009912.9449999998</v>
      </c>
      <c r="X20" s="628" t="e">
        <f>#REF!+#REF!</f>
        <v>#REF!</v>
      </c>
      <c r="Y20" s="629" t="e">
        <f>#REF!+#REF!</f>
        <v>#REF!</v>
      </c>
      <c r="Z20" s="630"/>
    </row>
    <row r="21" spans="1:28" s="631" customFormat="1" ht="13.15" customHeight="1" x14ac:dyDescent="0.25">
      <c r="A21" s="623"/>
      <c r="B21" s="610"/>
      <c r="C21" s="624"/>
      <c r="D21" s="625"/>
      <c r="E21" s="625"/>
      <c r="F21" s="625"/>
      <c r="G21" s="626">
        <f>D21+E21+F21</f>
        <v>0</v>
      </c>
      <c r="H21" s="625"/>
      <c r="I21" s="625"/>
      <c r="J21" s="625"/>
      <c r="K21" s="626">
        <f>H21+I21+J21</f>
        <v>0</v>
      </c>
      <c r="L21" s="626">
        <f t="shared" si="16"/>
        <v>0</v>
      </c>
      <c r="M21" s="625"/>
      <c r="N21" s="625"/>
      <c r="O21" s="625"/>
      <c r="P21" s="626">
        <f>M21+N21+O21</f>
        <v>0</v>
      </c>
      <c r="Q21" s="626">
        <f t="shared" si="17"/>
        <v>0</v>
      </c>
      <c r="R21" s="625"/>
      <c r="S21" s="625"/>
      <c r="T21" s="625"/>
      <c r="U21" s="626">
        <f>R21+S21+T21</f>
        <v>0</v>
      </c>
      <c r="V21" s="626"/>
      <c r="W21" s="627">
        <f>G21+K21+P21+U21</f>
        <v>0</v>
      </c>
      <c r="X21" s="632"/>
    </row>
    <row r="22" spans="1:28" ht="26.25" x14ac:dyDescent="0.25">
      <c r="A22" s="633" t="s">
        <v>472</v>
      </c>
      <c r="B22" s="586">
        <f>SUM(B24:B30)</f>
        <v>810.53072499999996</v>
      </c>
      <c r="C22" s="634">
        <f>W22/1000</f>
        <v>810.53071799999987</v>
      </c>
      <c r="D22" s="111">
        <f>SUM(D24:D30)-D27-D25-D26</f>
        <v>59653.99</v>
      </c>
      <c r="E22" s="111">
        <f t="shared" ref="E22:F22" si="19">SUM(E24:E30)-E27-E25-E26</f>
        <v>60521.230999999992</v>
      </c>
      <c r="F22" s="111">
        <f t="shared" si="19"/>
        <v>68268.804999999993</v>
      </c>
      <c r="G22" s="593">
        <f>D22+E22+F22</f>
        <v>188444.02599999998</v>
      </c>
      <c r="H22" s="111">
        <f>SUM(H24:H30)-H27-H25-H26</f>
        <v>63700.590000000004</v>
      </c>
      <c r="I22" s="111">
        <f t="shared" ref="I22:J22" si="20">SUM(I24:I30)-I27-I25-I26</f>
        <v>69137.100999999995</v>
      </c>
      <c r="J22" s="111">
        <f t="shared" si="20"/>
        <v>68856.169000000009</v>
      </c>
      <c r="K22" s="593">
        <f>H22+I22+J22</f>
        <v>201693.86</v>
      </c>
      <c r="L22" s="217">
        <f t="shared" si="16"/>
        <v>390137.88599999994</v>
      </c>
      <c r="M22" s="111">
        <f>SUM(M24:M30)-M27-M25-M26</f>
        <v>66670.038</v>
      </c>
      <c r="N22" s="111">
        <f t="shared" ref="N22:O22" si="21">SUM(N24:N30)-N27-N25-N26</f>
        <v>66667.785000000003</v>
      </c>
      <c r="O22" s="111">
        <f t="shared" si="21"/>
        <v>70625.734999999986</v>
      </c>
      <c r="P22" s="593">
        <f>M22+N22+O22</f>
        <v>203963.55799999999</v>
      </c>
      <c r="Q22" s="217">
        <f t="shared" si="17"/>
        <v>594101.4439999999</v>
      </c>
      <c r="R22" s="111">
        <f>SUM(R24:R30)-R27-R25-R26</f>
        <v>72428.424999999988</v>
      </c>
      <c r="S22" s="111">
        <f t="shared" ref="S22:T22" si="22">SUM(S24:S30)-S27-S25-S26</f>
        <v>73852.565000000002</v>
      </c>
      <c r="T22" s="111">
        <f t="shared" si="22"/>
        <v>70148.284</v>
      </c>
      <c r="U22" s="593">
        <f>R22+S22+T22</f>
        <v>216429.27399999998</v>
      </c>
      <c r="V22" s="589">
        <f t="shared" ref="V22:V34" si="23">P22+U22</f>
        <v>420392.83199999994</v>
      </c>
      <c r="W22" s="635">
        <f>G22+K22+P22+U22</f>
        <v>810530.71799999988</v>
      </c>
      <c r="X22" s="636">
        <f>SUM(X24:X30)-X27-X25-X26</f>
        <v>810530.71799999964</v>
      </c>
      <c r="Y22" s="564">
        <f>X22-W22</f>
        <v>0</v>
      </c>
    </row>
    <row r="23" spans="1:28" ht="13.5" x14ac:dyDescent="0.25">
      <c r="A23" s="603" t="s">
        <v>464</v>
      </c>
      <c r="B23" s="586"/>
      <c r="C23" s="586"/>
      <c r="D23" s="111"/>
      <c r="E23" s="111"/>
      <c r="F23" s="111"/>
      <c r="G23" s="593"/>
      <c r="H23" s="111"/>
      <c r="I23" s="111"/>
      <c r="J23" s="111"/>
      <c r="K23" s="593"/>
      <c r="L23" s="217"/>
      <c r="M23" s="111"/>
      <c r="N23" s="111"/>
      <c r="O23" s="111"/>
      <c r="P23" s="593"/>
      <c r="Q23" s="217"/>
      <c r="R23" s="111"/>
      <c r="S23" s="111"/>
      <c r="T23" s="111"/>
      <c r="U23" s="593"/>
      <c r="V23" s="217"/>
      <c r="W23" s="635"/>
      <c r="X23" s="637"/>
      <c r="Y23" s="564">
        <f t="shared" ref="Y23:Y34" si="24">X23-W23</f>
        <v>0</v>
      </c>
    </row>
    <row r="24" spans="1:28" x14ac:dyDescent="0.2">
      <c r="A24" s="638" t="s">
        <v>473</v>
      </c>
      <c r="B24" s="610">
        <f>[8]рік!$J$73</f>
        <v>678.97000500000001</v>
      </c>
      <c r="C24" s="586">
        <f>W24/1000</f>
        <v>678.96999799999992</v>
      </c>
      <c r="D24" s="587">
        <f>D25+D26+D27</f>
        <v>50404.43</v>
      </c>
      <c r="E24" s="587">
        <f t="shared" ref="E24:J24" si="25">E25+E26+E27</f>
        <v>50973.030999999995</v>
      </c>
      <c r="F24" s="587">
        <f t="shared" si="25"/>
        <v>58370.595000000001</v>
      </c>
      <c r="G24" s="588">
        <f t="shared" ref="G24:G34" si="26">D24+E24+F24</f>
        <v>159748.05599999998</v>
      </c>
      <c r="H24" s="587">
        <f t="shared" si="25"/>
        <v>53974.090000000004</v>
      </c>
      <c r="I24" s="587">
        <f t="shared" si="25"/>
        <v>58389.901000000005</v>
      </c>
      <c r="J24" s="587">
        <f t="shared" si="25"/>
        <v>58050.209000000003</v>
      </c>
      <c r="K24" s="588">
        <f>H24+I24+J24</f>
        <v>170414.2</v>
      </c>
      <c r="L24" s="588">
        <f t="shared" ref="L24:L34" si="27">G24+K24</f>
        <v>330162.25599999999</v>
      </c>
      <c r="M24" s="587">
        <f t="shared" ref="M24:O24" si="28">M25+M26+M27</f>
        <v>55451.288</v>
      </c>
      <c r="N24" s="587">
        <f t="shared" si="28"/>
        <v>54882.035000000003</v>
      </c>
      <c r="O24" s="587">
        <f t="shared" si="28"/>
        <v>59441.764999999999</v>
      </c>
      <c r="P24" s="588">
        <f t="shared" ref="P24:P34" si="29">M24+N24+O24</f>
        <v>169775.08799999999</v>
      </c>
      <c r="Q24" s="588">
        <f>L24+P24</f>
        <v>499937.34399999998</v>
      </c>
      <c r="R24" s="587">
        <f t="shared" ref="R24:T24" si="30">R25+R26+R27</f>
        <v>60448.125</v>
      </c>
      <c r="S24" s="587">
        <f t="shared" si="30"/>
        <v>61629.434999999998</v>
      </c>
      <c r="T24" s="587">
        <f t="shared" si="30"/>
        <v>56955.093999999997</v>
      </c>
      <c r="U24" s="588">
        <f t="shared" ref="U24:U34" si="31">R24+S24+T24</f>
        <v>179032.65399999998</v>
      </c>
      <c r="V24" s="589">
        <f t="shared" si="23"/>
        <v>348807.74199999997</v>
      </c>
      <c r="W24" s="611">
        <f>G24+K24+P24+U24</f>
        <v>678969.99799999991</v>
      </c>
      <c r="X24" s="79">
        <f>[7]м3!$U24</f>
        <v>678969.99799999991</v>
      </c>
      <c r="Y24" s="564">
        <f t="shared" si="24"/>
        <v>0</v>
      </c>
      <c r="Z24" s="564"/>
      <c r="AA24" s="148">
        <f>Y24/12</f>
        <v>0</v>
      </c>
    </row>
    <row r="25" spans="1:28" s="641" customFormat="1" x14ac:dyDescent="0.2">
      <c r="A25" s="614" t="s">
        <v>466</v>
      </c>
      <c r="B25" s="639"/>
      <c r="C25" s="586">
        <f t="shared" ref="C25:C27" si="32">W25/1000</f>
        <v>13.165995000000001</v>
      </c>
      <c r="D25" s="615">
        <f>'[9]реал 23'!$D$77</f>
        <v>1003</v>
      </c>
      <c r="E25" s="615">
        <f>'[9]реал 23'!$D$78</f>
        <v>717</v>
      </c>
      <c r="F25" s="615">
        <f>'[9]реал 23'!$D$79</f>
        <v>931</v>
      </c>
      <c r="G25" s="616">
        <f t="shared" si="26"/>
        <v>2651</v>
      </c>
      <c r="H25" s="615">
        <f>'[9]реал 23'!$D$81</f>
        <v>1227</v>
      </c>
      <c r="I25" s="615">
        <f>'[9]реал 23'!$D$82</f>
        <v>1121</v>
      </c>
      <c r="J25" s="615">
        <f>'[9]реал 23'!$D$83</f>
        <v>1298</v>
      </c>
      <c r="K25" s="616">
        <f t="shared" ref="K25:K26" si="33">H25+I25+J25</f>
        <v>3646</v>
      </c>
      <c r="L25" s="616">
        <f t="shared" si="27"/>
        <v>6297</v>
      </c>
      <c r="M25" s="615">
        <f>'[9]реал 23'!$D$86</f>
        <v>1598</v>
      </c>
      <c r="N25" s="615">
        <f>'[9]реал 23'!$D$87</f>
        <v>994</v>
      </c>
      <c r="O25" s="615">
        <f>'[9]реал 23'!$D$88</f>
        <v>1437.6</v>
      </c>
      <c r="P25" s="616">
        <f t="shared" si="29"/>
        <v>4029.6</v>
      </c>
      <c r="Q25" s="616">
        <f>L25+P25</f>
        <v>10326.6</v>
      </c>
      <c r="R25" s="615">
        <f>'[9]реал 23'!$D$91</f>
        <v>986.39499999999998</v>
      </c>
      <c r="S25" s="615">
        <f>'[9]реал 23'!$D$92</f>
        <v>989</v>
      </c>
      <c r="T25" s="615">
        <f>'[9]реал 23'!$D$93</f>
        <v>864</v>
      </c>
      <c r="U25" s="616">
        <f t="shared" si="31"/>
        <v>2839.395</v>
      </c>
      <c r="V25" s="616">
        <f t="shared" si="23"/>
        <v>6868.9949999999999</v>
      </c>
      <c r="W25" s="617">
        <f>G25+K25+P25+U25</f>
        <v>13165.995000000001</v>
      </c>
      <c r="X25" s="79">
        <f>[7]м3!$U25</f>
        <v>13165.995000000001</v>
      </c>
      <c r="Y25" s="564">
        <f t="shared" si="24"/>
        <v>0</v>
      </c>
      <c r="Z25" s="640"/>
    </row>
    <row r="26" spans="1:28" s="641" customFormat="1" x14ac:dyDescent="0.2">
      <c r="A26" s="614" t="s">
        <v>467</v>
      </c>
      <c r="B26" s="639"/>
      <c r="C26" s="586">
        <f t="shared" si="32"/>
        <v>638.09000300000002</v>
      </c>
      <c r="D26" s="615">
        <f>D14</f>
        <v>46912.43</v>
      </c>
      <c r="E26" s="615">
        <f t="shared" ref="E26:F26" si="34">E14</f>
        <v>48304.030999999995</v>
      </c>
      <c r="F26" s="615">
        <f t="shared" si="34"/>
        <v>55190.595000000001</v>
      </c>
      <c r="G26" s="616">
        <f t="shared" si="26"/>
        <v>150407.05599999998</v>
      </c>
      <c r="H26" s="615">
        <f>H14</f>
        <v>50297.090000000004</v>
      </c>
      <c r="I26" s="615">
        <f t="shared" ref="I26:J26" si="35">I14</f>
        <v>54860.901000000005</v>
      </c>
      <c r="J26" s="615">
        <f t="shared" si="35"/>
        <v>54291.209000000003</v>
      </c>
      <c r="K26" s="616">
        <f t="shared" si="33"/>
        <v>159449.20000000001</v>
      </c>
      <c r="L26" s="616">
        <f t="shared" si="27"/>
        <v>309856.25599999999</v>
      </c>
      <c r="M26" s="615">
        <f>M14</f>
        <v>51488.288</v>
      </c>
      <c r="N26" s="615">
        <f t="shared" ref="N26:O26" si="36">N14</f>
        <v>52181.035000000003</v>
      </c>
      <c r="O26" s="615">
        <f t="shared" si="36"/>
        <v>55387.165000000001</v>
      </c>
      <c r="P26" s="616">
        <f t="shared" si="29"/>
        <v>159056.48800000001</v>
      </c>
      <c r="Q26" s="616">
        <f>L26+P26</f>
        <v>468912.74400000001</v>
      </c>
      <c r="R26" s="615">
        <f>R14</f>
        <v>57014.73</v>
      </c>
      <c r="S26" s="615">
        <f t="shared" ref="S26:T26" si="37">S14</f>
        <v>58323.434999999998</v>
      </c>
      <c r="T26" s="615">
        <f t="shared" si="37"/>
        <v>53839.093999999997</v>
      </c>
      <c r="U26" s="616">
        <f t="shared" si="31"/>
        <v>169177.25900000002</v>
      </c>
      <c r="V26" s="616">
        <f t="shared" si="23"/>
        <v>328233.74700000003</v>
      </c>
      <c r="W26" s="617">
        <f>G26+K26+P26+U26</f>
        <v>638090.00300000003</v>
      </c>
      <c r="X26" s="79">
        <f>[7]м3!$U26</f>
        <v>638090.00300000003</v>
      </c>
      <c r="Y26" s="564">
        <f t="shared" si="24"/>
        <v>0</v>
      </c>
      <c r="Z26" s="640"/>
    </row>
    <row r="27" spans="1:28" s="641" customFormat="1" x14ac:dyDescent="0.2">
      <c r="A27" s="614" t="s">
        <v>474</v>
      </c>
      <c r="B27" s="639"/>
      <c r="C27" s="586">
        <f t="shared" si="32"/>
        <v>27.713999999999999</v>
      </c>
      <c r="D27" s="618">
        <f>'[9]реал 23'!$B$123</f>
        <v>2489</v>
      </c>
      <c r="E27" s="618">
        <f>'[9]реал 23'!$B$124</f>
        <v>1952</v>
      </c>
      <c r="F27" s="618">
        <f>'[9]реал 23'!$B$125</f>
        <v>2249</v>
      </c>
      <c r="G27" s="616">
        <f t="shared" si="26"/>
        <v>6690</v>
      </c>
      <c r="H27" s="618">
        <f>'[9]реал 23'!$B$127</f>
        <v>2450</v>
      </c>
      <c r="I27" s="618">
        <f>'[9]реал 23'!$B$128</f>
        <v>2408</v>
      </c>
      <c r="J27" s="618">
        <f>'[9]реал 23'!$B$129</f>
        <v>2461</v>
      </c>
      <c r="K27" s="616">
        <f>H27+I27+J27</f>
        <v>7319</v>
      </c>
      <c r="L27" s="616">
        <f t="shared" si="27"/>
        <v>14009</v>
      </c>
      <c r="M27" s="618">
        <f>'[9]реал 23'!$B$132</f>
        <v>2365</v>
      </c>
      <c r="N27" s="618">
        <f>'[9]реал 23'!$B$133</f>
        <v>1707</v>
      </c>
      <c r="O27" s="618">
        <f>'[9]реал 23'!$B$134</f>
        <v>2617</v>
      </c>
      <c r="P27" s="616">
        <f t="shared" si="29"/>
        <v>6689</v>
      </c>
      <c r="Q27" s="616">
        <f t="shared" ref="Q27" si="38">L27+P27</f>
        <v>20698</v>
      </c>
      <c r="R27" s="618">
        <f>'[9]реал 23'!$B$137</f>
        <v>2447</v>
      </c>
      <c r="S27" s="618">
        <f>'[9]реал 23'!$B$138</f>
        <v>2317</v>
      </c>
      <c r="T27" s="618">
        <f>'[9]реал 23'!$B$139</f>
        <v>2252</v>
      </c>
      <c r="U27" s="616">
        <f t="shared" si="31"/>
        <v>7016</v>
      </c>
      <c r="V27" s="616">
        <f t="shared" si="23"/>
        <v>13705</v>
      </c>
      <c r="W27" s="617">
        <f>G27+K27+P27+U27</f>
        <v>27714</v>
      </c>
      <c r="X27" s="79">
        <f>[7]м3!$U27</f>
        <v>27714</v>
      </c>
      <c r="Y27" s="564">
        <f t="shared" si="24"/>
        <v>0</v>
      </c>
      <c r="Z27" s="640"/>
    </row>
    <row r="28" spans="1:28" x14ac:dyDescent="0.2">
      <c r="A28" s="638" t="s">
        <v>475</v>
      </c>
      <c r="B28" s="610">
        <f>[8]рік!$J$74</f>
        <v>42.354460000000003</v>
      </c>
      <c r="C28" s="586">
        <f>W28/1000</f>
        <v>42.354459999999996</v>
      </c>
      <c r="D28" s="587">
        <f>'[9]реал 23'!$E$77+'[9]реал 23'!$H$77</f>
        <v>1601.55</v>
      </c>
      <c r="E28" s="587">
        <f>'[9]реал 23'!$E$78+'[9]реал 23'!$H$78</f>
        <v>2214.8000000000002</v>
      </c>
      <c r="F28" s="587">
        <f>'[9]реал 23'!$E$79+'[9]реал 23'!$H$79</f>
        <v>2628.51</v>
      </c>
      <c r="G28" s="588">
        <f t="shared" si="26"/>
        <v>6444.8600000000006</v>
      </c>
      <c r="H28" s="587">
        <f>'[9]реал 23'!$E$81+'[9]реал 23'!$H$81</f>
        <v>2558.8000000000002</v>
      </c>
      <c r="I28" s="587">
        <f>'[9]реал 23'!$E$82+'[9]реал 23'!$H$82</f>
        <v>2325.5500000000002</v>
      </c>
      <c r="J28" s="587">
        <f>'[9]реал 23'!$E$83+'[9]реал 23'!$H$83</f>
        <v>3243.3199999999997</v>
      </c>
      <c r="K28" s="588">
        <f>H28+I28+J28</f>
        <v>8127.67</v>
      </c>
      <c r="L28" s="588">
        <f t="shared" si="27"/>
        <v>14572.53</v>
      </c>
      <c r="M28" s="587">
        <f>'[9]реал 23'!$E$86+'[9]реал 23'!$H$86</f>
        <v>3691.95</v>
      </c>
      <c r="N28" s="587">
        <f>'[9]реал 23'!$E$87+'[9]реал 23'!$H$87</f>
        <v>3488.69</v>
      </c>
      <c r="O28" s="587">
        <f>'[9]реал 23'!$E$88+'[9]реал 23'!$H$88</f>
        <v>4824.3600000000006</v>
      </c>
      <c r="P28" s="588">
        <f t="shared" si="29"/>
        <v>12005</v>
      </c>
      <c r="Q28" s="588">
        <f>L28+P28</f>
        <v>26577.53</v>
      </c>
      <c r="R28" s="587">
        <f>'[9]реал 23'!$E$91+'[9]реал 23'!$H$91</f>
        <v>4752.76</v>
      </c>
      <c r="S28" s="587">
        <f>'[9]реал 23'!$E$92+'[9]реал 23'!$H$92</f>
        <v>4662.26</v>
      </c>
      <c r="T28" s="587">
        <f>'[9]реал 23'!$E$93+'[9]реал 23'!$H$93</f>
        <v>6361.91</v>
      </c>
      <c r="U28" s="588">
        <f t="shared" si="31"/>
        <v>15776.93</v>
      </c>
      <c r="V28" s="588">
        <f t="shared" si="23"/>
        <v>27781.93</v>
      </c>
      <c r="W28" s="611">
        <f>G28+K28+P28+U28</f>
        <v>42354.46</v>
      </c>
      <c r="X28" s="79">
        <f>[7]м3!$U28</f>
        <v>42354.46</v>
      </c>
      <c r="Y28" s="564">
        <f t="shared" si="24"/>
        <v>0</v>
      </c>
      <c r="Z28" s="564"/>
    </row>
    <row r="29" spans="1:28" x14ac:dyDescent="0.2">
      <c r="A29" s="638" t="s">
        <v>476</v>
      </c>
      <c r="B29" s="610">
        <f>[8]рік!$J$77</f>
        <v>7.8532600000000006</v>
      </c>
      <c r="C29" s="586">
        <f>W29/1000</f>
        <v>7.8532600000000006</v>
      </c>
      <c r="D29" s="587">
        <f>D33+D34</f>
        <v>728.01</v>
      </c>
      <c r="E29" s="587">
        <f t="shared" ref="E29:F29" si="39">E33+E34</f>
        <v>1029.4000000000001</v>
      </c>
      <c r="F29" s="587">
        <f t="shared" si="39"/>
        <v>1181.7</v>
      </c>
      <c r="G29" s="588">
        <f t="shared" si="26"/>
        <v>2939.11</v>
      </c>
      <c r="H29" s="587">
        <f>H33+H34</f>
        <v>573.70000000000005</v>
      </c>
      <c r="I29" s="587">
        <f t="shared" ref="I29:J29" si="40">I33+I34</f>
        <v>581.65000000000009</v>
      </c>
      <c r="J29" s="587">
        <f t="shared" si="40"/>
        <v>508.64</v>
      </c>
      <c r="K29" s="588">
        <f>J29+I29+H29</f>
        <v>1663.99</v>
      </c>
      <c r="L29" s="588">
        <f t="shared" si="27"/>
        <v>4603.1000000000004</v>
      </c>
      <c r="M29" s="587">
        <f>M33+M34</f>
        <v>398.8</v>
      </c>
      <c r="N29" s="587">
        <f t="shared" ref="N29:O29" si="41">N33+N34</f>
        <v>452.06</v>
      </c>
      <c r="O29" s="587">
        <f t="shared" si="41"/>
        <v>461.61</v>
      </c>
      <c r="P29" s="588">
        <f t="shared" si="29"/>
        <v>1312.47</v>
      </c>
      <c r="Q29" s="588">
        <f t="shared" ref="Q29:Q34" si="42">L29+P29</f>
        <v>5915.5700000000006</v>
      </c>
      <c r="R29" s="587">
        <f>R33+R34</f>
        <v>463.54</v>
      </c>
      <c r="S29" s="587">
        <f t="shared" ref="S29:T29" si="43">S33+S34</f>
        <v>706.87</v>
      </c>
      <c r="T29" s="587">
        <f t="shared" si="43"/>
        <v>767.28</v>
      </c>
      <c r="U29" s="588">
        <f t="shared" si="31"/>
        <v>1937.69</v>
      </c>
      <c r="V29" s="588">
        <f t="shared" si="23"/>
        <v>3250.16</v>
      </c>
      <c r="W29" s="611">
        <f>U29+P29+K29+G29</f>
        <v>7853.26</v>
      </c>
      <c r="X29" s="79">
        <f>[7]м3!$U29</f>
        <v>7853.26</v>
      </c>
      <c r="Y29" s="564">
        <f t="shared" si="24"/>
        <v>0</v>
      </c>
    </row>
    <row r="30" spans="1:28" x14ac:dyDescent="0.2">
      <c r="A30" s="638" t="s">
        <v>477</v>
      </c>
      <c r="B30" s="610">
        <f>[8]рік!$J$75-B29</f>
        <v>81.352999999999994</v>
      </c>
      <c r="C30" s="586">
        <f>W30/1000</f>
        <v>81.352999999999994</v>
      </c>
      <c r="D30" s="587">
        <f>D31+D32</f>
        <v>6920</v>
      </c>
      <c r="E30" s="587">
        <f t="shared" ref="E30:F30" si="44">E31+E32</f>
        <v>6304</v>
      </c>
      <c r="F30" s="587">
        <f t="shared" si="44"/>
        <v>6088</v>
      </c>
      <c r="G30" s="588">
        <f t="shared" si="26"/>
        <v>19312</v>
      </c>
      <c r="H30" s="587">
        <f t="shared" ref="H30:J30" si="45">H31+H32</f>
        <v>6594</v>
      </c>
      <c r="I30" s="587">
        <f t="shared" si="45"/>
        <v>7840</v>
      </c>
      <c r="J30" s="587">
        <f t="shared" si="45"/>
        <v>7054</v>
      </c>
      <c r="K30" s="588">
        <f>J30+I30+H30</f>
        <v>21488</v>
      </c>
      <c r="L30" s="588">
        <f t="shared" si="27"/>
        <v>40800</v>
      </c>
      <c r="M30" s="587">
        <f t="shared" ref="M30:N30" si="46">M31+M32</f>
        <v>7128</v>
      </c>
      <c r="N30" s="587">
        <f t="shared" si="46"/>
        <v>7845</v>
      </c>
      <c r="O30" s="587">
        <f>O31+O32</f>
        <v>5898</v>
      </c>
      <c r="P30" s="588">
        <f t="shared" si="29"/>
        <v>20871</v>
      </c>
      <c r="Q30" s="588">
        <f t="shared" si="42"/>
        <v>61671</v>
      </c>
      <c r="R30" s="587">
        <f t="shared" ref="R30:T30" si="47">R31+R32</f>
        <v>6764</v>
      </c>
      <c r="S30" s="587">
        <f t="shared" si="47"/>
        <v>6854</v>
      </c>
      <c r="T30" s="587">
        <f t="shared" si="47"/>
        <v>6064</v>
      </c>
      <c r="U30" s="588">
        <f t="shared" si="31"/>
        <v>19682</v>
      </c>
      <c r="V30" s="588">
        <f t="shared" si="23"/>
        <v>40553</v>
      </c>
      <c r="W30" s="611">
        <f t="shared" ref="W30:W34" si="48">G30+K30+P30+U30</f>
        <v>81353</v>
      </c>
      <c r="X30" s="79">
        <f>[7]м3!$U30</f>
        <v>81353</v>
      </c>
      <c r="Y30" s="564">
        <f t="shared" si="24"/>
        <v>0</v>
      </c>
    </row>
    <row r="31" spans="1:28" s="641" customFormat="1" ht="13.5" hidden="1" x14ac:dyDescent="0.25">
      <c r="A31" s="642" t="s">
        <v>478</v>
      </c>
      <c r="B31" s="639">
        <f>[10]год!$I$79</f>
        <v>47.17</v>
      </c>
      <c r="C31" s="643">
        <f>W31/1000</f>
        <v>59.646999999999998</v>
      </c>
      <c r="D31" s="620">
        <f>'[9]реал 23'!$N$77</f>
        <v>4514</v>
      </c>
      <c r="E31" s="620">
        <f>'[9]реал 23'!$N$78</f>
        <v>4319</v>
      </c>
      <c r="F31" s="620">
        <f>'[9]реал 23'!$N$79</f>
        <v>4524</v>
      </c>
      <c r="G31" s="589">
        <f t="shared" si="26"/>
        <v>13357</v>
      </c>
      <c r="H31" s="620">
        <f>'[9]реал 23'!$N$81</f>
        <v>4993</v>
      </c>
      <c r="I31" s="620">
        <f>'[9]реал 23'!$N$82</f>
        <v>6245</v>
      </c>
      <c r="J31" s="620">
        <f>'[9]реал 23'!$N$83</f>
        <v>4737</v>
      </c>
      <c r="K31" s="589">
        <f>J31+I31+H31</f>
        <v>15975</v>
      </c>
      <c r="L31" s="589">
        <f t="shared" si="27"/>
        <v>29332</v>
      </c>
      <c r="M31" s="620">
        <f>'[9]реал 23'!$N$86</f>
        <v>5475</v>
      </c>
      <c r="N31" s="620">
        <f>'[9]реал 23'!$N$87</f>
        <v>6164</v>
      </c>
      <c r="O31" s="620">
        <f>'[9]реал 23'!$N$88</f>
        <v>4614</v>
      </c>
      <c r="P31" s="589">
        <f t="shared" si="29"/>
        <v>16253</v>
      </c>
      <c r="Q31" s="589">
        <f t="shared" si="42"/>
        <v>45585</v>
      </c>
      <c r="R31" s="620">
        <f>'[9]реал 23'!$N$91</f>
        <v>5119</v>
      </c>
      <c r="S31" s="620">
        <f>'[9]реал 23'!$N$92</f>
        <v>4952</v>
      </c>
      <c r="T31" s="620">
        <f>'[9]реал 23'!$N$93</f>
        <v>3991</v>
      </c>
      <c r="U31" s="589">
        <f t="shared" si="31"/>
        <v>14062</v>
      </c>
      <c r="V31" s="589">
        <f t="shared" si="23"/>
        <v>30315</v>
      </c>
      <c r="W31" s="621">
        <f t="shared" si="48"/>
        <v>59647</v>
      </c>
      <c r="X31" s="79">
        <f>[7]м3!$U31</f>
        <v>59647</v>
      </c>
      <c r="Y31" s="644">
        <f t="shared" si="24"/>
        <v>0</v>
      </c>
    </row>
    <row r="32" spans="1:28" s="641" customFormat="1" ht="13.5" hidden="1" x14ac:dyDescent="0.25">
      <c r="A32" s="642" t="s">
        <v>479</v>
      </c>
      <c r="B32" s="639"/>
      <c r="C32" s="643"/>
      <c r="D32" s="620">
        <f>'[9]реал 23'!$I$7</f>
        <v>2406</v>
      </c>
      <c r="E32" s="620">
        <f>'[9]реал 23'!$I$8</f>
        <v>1985</v>
      </c>
      <c r="F32" s="620">
        <f>'[9]реал 23'!$I$9</f>
        <v>1564</v>
      </c>
      <c r="G32" s="589">
        <f t="shared" si="26"/>
        <v>5955</v>
      </c>
      <c r="H32" s="620">
        <f>'[9]реал 23'!$I$11</f>
        <v>1601</v>
      </c>
      <c r="I32" s="620">
        <f>'[9]реал 23'!$I$12</f>
        <v>1595</v>
      </c>
      <c r="J32" s="620">
        <f>'[9]реал 23'!$I$13</f>
        <v>2317</v>
      </c>
      <c r="K32" s="589">
        <f>J32+I32+H32</f>
        <v>5513</v>
      </c>
      <c r="L32" s="589">
        <f t="shared" si="27"/>
        <v>11468</v>
      </c>
      <c r="M32" s="620">
        <f>'[9]реал 23'!$I$16</f>
        <v>1653</v>
      </c>
      <c r="N32" s="620">
        <f>'[9]реал 23'!$I$17</f>
        <v>1681</v>
      </c>
      <c r="O32" s="620">
        <f>'[9]реал 23'!$I$18</f>
        <v>1284</v>
      </c>
      <c r="P32" s="589">
        <f t="shared" si="29"/>
        <v>4618</v>
      </c>
      <c r="Q32" s="589">
        <f t="shared" si="42"/>
        <v>16086</v>
      </c>
      <c r="R32" s="620">
        <f>'[9]реал 23'!$I$21</f>
        <v>1645</v>
      </c>
      <c r="S32" s="620">
        <f>'[9]реал 23'!$I$22</f>
        <v>1902</v>
      </c>
      <c r="T32" s="620">
        <f>'[9]реал 23'!$I$23</f>
        <v>2073</v>
      </c>
      <c r="U32" s="589">
        <f t="shared" si="31"/>
        <v>5620</v>
      </c>
      <c r="V32" s="589">
        <f t="shared" si="23"/>
        <v>10238</v>
      </c>
      <c r="W32" s="621">
        <f t="shared" si="48"/>
        <v>21706</v>
      </c>
      <c r="X32" s="79">
        <f>[7]м3!$U32</f>
        <v>21706</v>
      </c>
      <c r="Y32" s="644">
        <f t="shared" si="24"/>
        <v>0</v>
      </c>
    </row>
    <row r="33" spans="1:25" s="641" customFormat="1" ht="13.5" hidden="1" x14ac:dyDescent="0.25">
      <c r="A33" s="642" t="s">
        <v>480</v>
      </c>
      <c r="B33" s="639"/>
      <c r="C33" s="643"/>
      <c r="D33" s="620">
        <f>'[9]реал 23'!$K$77</f>
        <v>417.15999999999997</v>
      </c>
      <c r="E33" s="620">
        <f>'[9]реал 23'!$K$78</f>
        <v>822.6</v>
      </c>
      <c r="F33" s="620">
        <f>'[9]реал 23'!$K$79</f>
        <v>762.28</v>
      </c>
      <c r="G33" s="645">
        <f t="shared" si="26"/>
        <v>2002.04</v>
      </c>
      <c r="H33" s="620">
        <f>'[9]реал 23'!$K$81</f>
        <v>261.60000000000002</v>
      </c>
      <c r="I33" s="620">
        <f>'[9]реал 23'!$K$82</f>
        <v>262.23</v>
      </c>
      <c r="J33" s="620">
        <f>'[9]реал 23'!$K$83</f>
        <v>170.32</v>
      </c>
      <c r="K33" s="645">
        <f>H33+I33+J33</f>
        <v>694.15000000000009</v>
      </c>
      <c r="L33" s="645">
        <f t="shared" si="27"/>
        <v>2696.19</v>
      </c>
      <c r="M33" s="620">
        <f>'[9]реал 23'!$K$86</f>
        <v>91</v>
      </c>
      <c r="N33" s="620">
        <f>'[9]реал 23'!$K$87</f>
        <v>169.64</v>
      </c>
      <c r="O33" s="620">
        <f>'[9]реал 23'!$K$88</f>
        <v>186.26</v>
      </c>
      <c r="P33" s="645">
        <f t="shared" si="29"/>
        <v>446.9</v>
      </c>
      <c r="Q33" s="645">
        <f t="shared" si="42"/>
        <v>3143.09</v>
      </c>
      <c r="R33" s="620">
        <f>'[9]реал 23'!$K$91</f>
        <v>172.32</v>
      </c>
      <c r="S33" s="620">
        <f>'[9]реал 23'!$K$92</f>
        <v>362.32</v>
      </c>
      <c r="T33" s="620">
        <f>'[9]реал 23'!$K$93</f>
        <v>498.26</v>
      </c>
      <c r="U33" s="645">
        <f t="shared" si="31"/>
        <v>1032.9000000000001</v>
      </c>
      <c r="V33" s="645">
        <f t="shared" si="23"/>
        <v>1479.8000000000002</v>
      </c>
      <c r="W33" s="646">
        <f t="shared" si="48"/>
        <v>4175.99</v>
      </c>
      <c r="X33" s="79">
        <f>[7]м3!$U33</f>
        <v>4175.99</v>
      </c>
      <c r="Y33" s="644">
        <f t="shared" si="24"/>
        <v>0</v>
      </c>
    </row>
    <row r="34" spans="1:25" s="641" customFormat="1" ht="13.5" hidden="1" x14ac:dyDescent="0.25">
      <c r="A34" s="642" t="s">
        <v>481</v>
      </c>
      <c r="B34" s="639"/>
      <c r="C34" s="643"/>
      <c r="D34" s="620">
        <f>'[9]реал 23'!$O$7</f>
        <v>310.85000000000002</v>
      </c>
      <c r="E34" s="620">
        <f>'[9]реал 23'!$O$8</f>
        <v>206.8</v>
      </c>
      <c r="F34" s="620">
        <f>'[9]реал 23'!$O$9</f>
        <v>419.42</v>
      </c>
      <c r="G34" s="645">
        <f t="shared" si="26"/>
        <v>937.07000000000016</v>
      </c>
      <c r="H34" s="620">
        <f>'[9]реал 23'!$O$11</f>
        <v>312.10000000000002</v>
      </c>
      <c r="I34" s="620">
        <f>'[9]реал 23'!$O$12</f>
        <v>319.42</v>
      </c>
      <c r="J34" s="620">
        <f>'[9]реал 23'!$O$13</f>
        <v>338.32</v>
      </c>
      <c r="K34" s="645">
        <f>H34+I34+J34</f>
        <v>969.83999999999992</v>
      </c>
      <c r="L34" s="645">
        <f t="shared" si="27"/>
        <v>1906.91</v>
      </c>
      <c r="M34" s="620">
        <f>'[9]реал 23'!$O$16</f>
        <v>307.8</v>
      </c>
      <c r="N34" s="620">
        <f>'[9]реал 23'!$O$17</f>
        <v>282.42</v>
      </c>
      <c r="O34" s="620">
        <f>'[9]реал 23'!$O$18</f>
        <v>275.35000000000002</v>
      </c>
      <c r="P34" s="645">
        <f t="shared" si="29"/>
        <v>865.57</v>
      </c>
      <c r="Q34" s="645">
        <f t="shared" si="42"/>
        <v>2772.48</v>
      </c>
      <c r="R34" s="620">
        <f>'[9]реал 23'!$O$21</f>
        <v>291.22000000000003</v>
      </c>
      <c r="S34" s="620">
        <f>'[9]реал 23'!$O$22</f>
        <v>344.55</v>
      </c>
      <c r="T34" s="620">
        <f>'[9]реал 23'!$O$23</f>
        <v>269.02</v>
      </c>
      <c r="U34" s="645">
        <f t="shared" si="31"/>
        <v>904.79</v>
      </c>
      <c r="V34" s="645">
        <f t="shared" si="23"/>
        <v>1770.3600000000001</v>
      </c>
      <c r="W34" s="582">
        <f t="shared" si="48"/>
        <v>3677.27</v>
      </c>
      <c r="X34" s="79">
        <f>[7]м3!$U34</f>
        <v>3677.27</v>
      </c>
      <c r="Y34" s="644">
        <f t="shared" si="24"/>
        <v>0</v>
      </c>
    </row>
    <row r="35" spans="1:25" hidden="1" x14ac:dyDescent="0.2">
      <c r="A35" s="149"/>
      <c r="B35" s="610"/>
      <c r="C35" s="647"/>
      <c r="D35" s="111"/>
      <c r="E35" s="111"/>
      <c r="F35" s="111"/>
      <c r="G35" s="593"/>
      <c r="H35" s="111"/>
      <c r="I35" s="111"/>
      <c r="J35" s="111"/>
      <c r="K35" s="593"/>
      <c r="L35" s="217"/>
      <c r="M35" s="111"/>
      <c r="N35" s="111"/>
      <c r="O35" s="111"/>
      <c r="P35" s="593"/>
      <c r="Q35" s="217"/>
      <c r="R35" s="111"/>
      <c r="S35" s="111"/>
      <c r="T35" s="111"/>
      <c r="U35" s="593"/>
      <c r="V35" s="217"/>
      <c r="W35" s="635"/>
      <c r="X35" s="79"/>
    </row>
    <row r="36" spans="1:25" ht="13.5" x14ac:dyDescent="0.25">
      <c r="A36" s="149"/>
      <c r="B36" s="610"/>
      <c r="C36" s="586"/>
      <c r="D36" s="111"/>
      <c r="E36" s="111"/>
      <c r="F36" s="111"/>
      <c r="G36" s="593"/>
      <c r="H36" s="111"/>
      <c r="I36" s="111"/>
      <c r="J36" s="111"/>
      <c r="K36" s="593"/>
      <c r="L36" s="217"/>
      <c r="M36" s="111"/>
      <c r="N36" s="111"/>
      <c r="O36" s="111"/>
      <c r="P36" s="593"/>
      <c r="Q36" s="217"/>
      <c r="R36" s="111"/>
      <c r="S36" s="111"/>
      <c r="T36" s="111"/>
      <c r="U36" s="593"/>
      <c r="V36" s="217"/>
      <c r="W36" s="635"/>
      <c r="X36" s="636"/>
    </row>
    <row r="37" spans="1:25" ht="13.5" customHeight="1" x14ac:dyDescent="0.25">
      <c r="A37" s="597" t="s">
        <v>482</v>
      </c>
      <c r="B37" s="648"/>
      <c r="C37" s="649">
        <f>W37</f>
        <v>164688</v>
      </c>
      <c r="D37" s="111">
        <f>D38+D39</f>
        <v>13724</v>
      </c>
      <c r="E37" s="111">
        <f t="shared" ref="E37:F37" si="49">E38+E39</f>
        <v>13724</v>
      </c>
      <c r="F37" s="111">
        <f t="shared" si="49"/>
        <v>13724</v>
      </c>
      <c r="G37" s="593">
        <f>D37+E37+F37</f>
        <v>41172</v>
      </c>
      <c r="H37" s="111">
        <f>H38+H39</f>
        <v>13724</v>
      </c>
      <c r="I37" s="111">
        <f t="shared" ref="I37:J37" si="50">I38+I39</f>
        <v>13724</v>
      </c>
      <c r="J37" s="111">
        <f t="shared" si="50"/>
        <v>13724</v>
      </c>
      <c r="K37" s="593">
        <f t="shared" ref="K37:K49" si="51">H37+I37+J37</f>
        <v>41172</v>
      </c>
      <c r="L37" s="217">
        <f t="shared" ref="L37:L49" si="52">G37+K37</f>
        <v>82344</v>
      </c>
      <c r="M37" s="111">
        <f>M38+M39</f>
        <v>13724</v>
      </c>
      <c r="N37" s="111">
        <f t="shared" ref="N37:O37" si="53">N38+N39</f>
        <v>13724</v>
      </c>
      <c r="O37" s="111">
        <f t="shared" si="53"/>
        <v>13724</v>
      </c>
      <c r="P37" s="593">
        <f t="shared" ref="P37:P49" si="54">M37+N37+O37</f>
        <v>41172</v>
      </c>
      <c r="Q37" s="217">
        <f t="shared" ref="Q37:Q49" si="55">L37+P37</f>
        <v>123516</v>
      </c>
      <c r="R37" s="111">
        <f>R38+R39</f>
        <v>13724</v>
      </c>
      <c r="S37" s="111">
        <f t="shared" ref="S37:T37" si="56">S38+S39</f>
        <v>13724</v>
      </c>
      <c r="T37" s="111">
        <f t="shared" si="56"/>
        <v>13724</v>
      </c>
      <c r="U37" s="593">
        <f t="shared" ref="U37:U49" si="57">R37+S37+T37</f>
        <v>41172</v>
      </c>
      <c r="V37" s="589">
        <f t="shared" ref="V37:V49" si="58">P37+U37</f>
        <v>82344</v>
      </c>
      <c r="W37" s="635">
        <f t="shared" ref="W37:W43" si="59">G37+K37+P37+U37</f>
        <v>164688</v>
      </c>
      <c r="X37" s="636"/>
      <c r="Y37" s="79"/>
    </row>
    <row r="38" spans="1:25" s="205" customFormat="1" ht="13.5" customHeight="1" x14ac:dyDescent="0.25">
      <c r="A38" s="650" t="s">
        <v>483</v>
      </c>
      <c r="B38" s="651"/>
      <c r="C38" s="652">
        <f>W38</f>
        <v>140112</v>
      </c>
      <c r="D38" s="606">
        <f>'[7]АП розб'!$K$56*1000</f>
        <v>11676</v>
      </c>
      <c r="E38" s="606">
        <f>'[7]АП розб'!$K$56*1000</f>
        <v>11676</v>
      </c>
      <c r="F38" s="606">
        <f>'[7]АП розб'!$K$56*1000</f>
        <v>11676</v>
      </c>
      <c r="G38" s="217">
        <f t="shared" ref="G38:G49" si="60">D38+E38+F38</f>
        <v>35028</v>
      </c>
      <c r="H38" s="606">
        <f>'[7]АП розб'!$K$56*1000</f>
        <v>11676</v>
      </c>
      <c r="I38" s="606">
        <f>'[7]АП розб'!$K$56*1000</f>
        <v>11676</v>
      </c>
      <c r="J38" s="606">
        <f>'[7]АП розб'!$K$56*1000</f>
        <v>11676</v>
      </c>
      <c r="K38" s="217">
        <f t="shared" si="51"/>
        <v>35028</v>
      </c>
      <c r="L38" s="217">
        <f t="shared" si="52"/>
        <v>70056</v>
      </c>
      <c r="M38" s="606">
        <f>'[7]АП розб'!$K$56*1000</f>
        <v>11676</v>
      </c>
      <c r="N38" s="606">
        <f>'[7]АП розб'!$K$56*1000</f>
        <v>11676</v>
      </c>
      <c r="O38" s="606">
        <f>'[7]АП розб'!$K$56*1000</f>
        <v>11676</v>
      </c>
      <c r="P38" s="217">
        <f t="shared" si="54"/>
        <v>35028</v>
      </c>
      <c r="Q38" s="217">
        <f t="shared" si="55"/>
        <v>105084</v>
      </c>
      <c r="R38" s="606">
        <f>'[7]АП розб'!$K$56*1000</f>
        <v>11676</v>
      </c>
      <c r="S38" s="606">
        <f>'[7]АП розб'!$K$56*1000</f>
        <v>11676</v>
      </c>
      <c r="T38" s="606">
        <f>'[7]АП розб'!$K$56*1000</f>
        <v>11676</v>
      </c>
      <c r="U38" s="217">
        <f t="shared" si="57"/>
        <v>35028</v>
      </c>
      <c r="V38" s="589">
        <f t="shared" si="58"/>
        <v>70056</v>
      </c>
      <c r="W38" s="607">
        <f t="shared" si="59"/>
        <v>140112</v>
      </c>
      <c r="X38" s="622">
        <f>W38+W39</f>
        <v>164688</v>
      </c>
      <c r="Y38" s="102"/>
    </row>
    <row r="39" spans="1:25" s="205" customFormat="1" ht="13.5" customHeight="1" x14ac:dyDescent="0.25">
      <c r="A39" s="650" t="s">
        <v>484</v>
      </c>
      <c r="B39" s="651"/>
      <c r="C39" s="652">
        <f>W39</f>
        <v>24576</v>
      </c>
      <c r="D39" s="606">
        <f>'[7]АП розб'!$P$56*1000</f>
        <v>2048</v>
      </c>
      <c r="E39" s="606">
        <f>'[7]АП розб'!$P$56*1000</f>
        <v>2048</v>
      </c>
      <c r="F39" s="606">
        <f>'[7]АП розб'!$P$56*1000</f>
        <v>2048</v>
      </c>
      <c r="G39" s="217">
        <f t="shared" si="60"/>
        <v>6144</v>
      </c>
      <c r="H39" s="606">
        <f>'[7]АП розб'!$P$56*1000</f>
        <v>2048</v>
      </c>
      <c r="I39" s="606">
        <f>'[7]АП розб'!$P$56*1000</f>
        <v>2048</v>
      </c>
      <c r="J39" s="606">
        <f>'[7]АП розб'!$P$56*1000</f>
        <v>2048</v>
      </c>
      <c r="K39" s="217">
        <f t="shared" si="51"/>
        <v>6144</v>
      </c>
      <c r="L39" s="217">
        <f t="shared" si="52"/>
        <v>12288</v>
      </c>
      <c r="M39" s="606">
        <f>'[7]АП розб'!$P$56*1000</f>
        <v>2048</v>
      </c>
      <c r="N39" s="606">
        <f>'[7]АП розб'!$P$56*1000</f>
        <v>2048</v>
      </c>
      <c r="O39" s="606">
        <f>'[7]АП розб'!$P$56*1000</f>
        <v>2048</v>
      </c>
      <c r="P39" s="217">
        <f t="shared" si="54"/>
        <v>6144</v>
      </c>
      <c r="Q39" s="217">
        <f t="shared" si="55"/>
        <v>18432</v>
      </c>
      <c r="R39" s="606">
        <f>'[7]АП розб'!$P$56*1000</f>
        <v>2048</v>
      </c>
      <c r="S39" s="606">
        <f>'[7]АП розб'!$P$56*1000</f>
        <v>2048</v>
      </c>
      <c r="T39" s="606">
        <f>'[7]АП розб'!$P$56*1000</f>
        <v>2048</v>
      </c>
      <c r="U39" s="217">
        <f t="shared" si="57"/>
        <v>6144</v>
      </c>
      <c r="V39" s="589">
        <f t="shared" si="58"/>
        <v>12288</v>
      </c>
      <c r="W39" s="607">
        <f t="shared" si="59"/>
        <v>24576</v>
      </c>
      <c r="X39" s="622">
        <f>W38+W40</f>
        <v>143460</v>
      </c>
      <c r="Y39" s="102"/>
    </row>
    <row r="40" spans="1:25" s="205" customFormat="1" ht="13.5" customHeight="1" x14ac:dyDescent="0.25">
      <c r="A40" s="650" t="s">
        <v>485</v>
      </c>
      <c r="B40" s="651"/>
      <c r="C40" s="652">
        <f>W40</f>
        <v>3347.9999999999986</v>
      </c>
      <c r="D40" s="606">
        <f>'[7]АП розб'!$R$56*1000</f>
        <v>278.99999999999989</v>
      </c>
      <c r="E40" s="606">
        <f>'[7]АП розб'!$R$56*1000</f>
        <v>278.99999999999989</v>
      </c>
      <c r="F40" s="606">
        <f>'[7]АП розб'!$R$56*1000</f>
        <v>278.99999999999989</v>
      </c>
      <c r="G40" s="217">
        <f t="shared" si="60"/>
        <v>836.99999999999966</v>
      </c>
      <c r="H40" s="606">
        <f>'[7]АП розб'!$R$56*1000</f>
        <v>278.99999999999989</v>
      </c>
      <c r="I40" s="606">
        <f>'[7]АП розб'!$R$56*1000</f>
        <v>278.99999999999989</v>
      </c>
      <c r="J40" s="606">
        <f>'[7]АП розб'!$R$56*1000</f>
        <v>278.99999999999989</v>
      </c>
      <c r="K40" s="217">
        <f t="shared" si="51"/>
        <v>836.99999999999966</v>
      </c>
      <c r="L40" s="217">
        <f t="shared" si="52"/>
        <v>1673.9999999999993</v>
      </c>
      <c r="M40" s="606">
        <f>'[7]АП розб'!$R$56*1000</f>
        <v>278.99999999999989</v>
      </c>
      <c r="N40" s="606">
        <f>'[7]АП розб'!$R$56*1000</f>
        <v>278.99999999999989</v>
      </c>
      <c r="O40" s="606">
        <f>'[7]АП розб'!$R$56*1000</f>
        <v>278.99999999999989</v>
      </c>
      <c r="P40" s="217">
        <f t="shared" si="54"/>
        <v>836.99999999999966</v>
      </c>
      <c r="Q40" s="217">
        <f t="shared" si="55"/>
        <v>2510.9999999999991</v>
      </c>
      <c r="R40" s="606">
        <f>'[7]АП розб'!$R$56*1000</f>
        <v>278.99999999999989</v>
      </c>
      <c r="S40" s="606">
        <f>'[7]АП розб'!$R$56*1000</f>
        <v>278.99999999999989</v>
      </c>
      <c r="T40" s="606">
        <f>'[7]АП розб'!$R$56*1000</f>
        <v>278.99999999999989</v>
      </c>
      <c r="U40" s="217">
        <f t="shared" si="57"/>
        <v>836.99999999999966</v>
      </c>
      <c r="V40" s="589">
        <f t="shared" si="58"/>
        <v>1673.9999999999993</v>
      </c>
      <c r="W40" s="607">
        <f t="shared" si="59"/>
        <v>3347.9999999999986</v>
      </c>
      <c r="X40" s="622"/>
      <c r="Y40" s="102"/>
    </row>
    <row r="41" spans="1:25" ht="13.5" hidden="1" customHeight="1" x14ac:dyDescent="0.25">
      <c r="A41" s="597" t="s">
        <v>486</v>
      </c>
      <c r="B41" s="648"/>
      <c r="C41" s="649">
        <f t="shared" ref="C41:C46" si="61">W41</f>
        <v>0</v>
      </c>
      <c r="D41" s="111"/>
      <c r="E41" s="111"/>
      <c r="F41" s="111"/>
      <c r="G41" s="593">
        <f t="shared" si="60"/>
        <v>0</v>
      </c>
      <c r="H41" s="111"/>
      <c r="I41" s="111"/>
      <c r="J41" s="111"/>
      <c r="K41" s="593">
        <f t="shared" si="51"/>
        <v>0</v>
      </c>
      <c r="L41" s="217">
        <f t="shared" si="52"/>
        <v>0</v>
      </c>
      <c r="M41" s="111"/>
      <c r="N41" s="111"/>
      <c r="O41" s="111"/>
      <c r="P41" s="593">
        <f t="shared" si="54"/>
        <v>0</v>
      </c>
      <c r="Q41" s="217">
        <f t="shared" si="55"/>
        <v>0</v>
      </c>
      <c r="R41" s="111"/>
      <c r="S41" s="111"/>
      <c r="T41" s="111"/>
      <c r="U41" s="593">
        <f t="shared" si="57"/>
        <v>0</v>
      </c>
      <c r="V41" s="589">
        <f t="shared" si="58"/>
        <v>0</v>
      </c>
      <c r="W41" s="635">
        <f t="shared" si="59"/>
        <v>0</v>
      </c>
      <c r="X41" s="636"/>
      <c r="Y41" s="79"/>
    </row>
    <row r="42" spans="1:25" ht="13.5" hidden="1" customHeight="1" x14ac:dyDescent="0.25">
      <c r="A42" s="597" t="s">
        <v>487</v>
      </c>
      <c r="B42" s="648"/>
      <c r="C42" s="649">
        <f t="shared" si="61"/>
        <v>0</v>
      </c>
      <c r="D42" s="111"/>
      <c r="E42" s="111"/>
      <c r="F42" s="111"/>
      <c r="G42" s="593">
        <f t="shared" si="60"/>
        <v>0</v>
      </c>
      <c r="H42" s="111"/>
      <c r="I42" s="111"/>
      <c r="J42" s="111"/>
      <c r="K42" s="593">
        <f t="shared" si="51"/>
        <v>0</v>
      </c>
      <c r="L42" s="217">
        <f t="shared" si="52"/>
        <v>0</v>
      </c>
      <c r="M42" s="111"/>
      <c r="N42" s="111"/>
      <c r="O42" s="111"/>
      <c r="P42" s="593">
        <f t="shared" si="54"/>
        <v>0</v>
      </c>
      <c r="Q42" s="217">
        <f t="shared" si="55"/>
        <v>0</v>
      </c>
      <c r="R42" s="111"/>
      <c r="S42" s="111"/>
      <c r="T42" s="111"/>
      <c r="U42" s="593">
        <f t="shared" si="57"/>
        <v>0</v>
      </c>
      <c r="V42" s="589">
        <f t="shared" si="58"/>
        <v>0</v>
      </c>
      <c r="W42" s="635">
        <f t="shared" si="59"/>
        <v>0</v>
      </c>
      <c r="X42" s="636"/>
      <c r="Y42" s="79"/>
    </row>
    <row r="43" spans="1:25" ht="13.5" hidden="1" customHeight="1" x14ac:dyDescent="0.25">
      <c r="A43" s="597" t="s">
        <v>488</v>
      </c>
      <c r="B43" s="218"/>
      <c r="C43" s="649">
        <f t="shared" si="61"/>
        <v>0</v>
      </c>
      <c r="D43" s="111"/>
      <c r="E43" s="111"/>
      <c r="F43" s="111"/>
      <c r="G43" s="593">
        <f t="shared" si="60"/>
        <v>0</v>
      </c>
      <c r="H43" s="111"/>
      <c r="I43" s="111"/>
      <c r="J43" s="111"/>
      <c r="K43" s="593">
        <f t="shared" si="51"/>
        <v>0</v>
      </c>
      <c r="L43" s="217">
        <f t="shared" si="52"/>
        <v>0</v>
      </c>
      <c r="M43" s="111"/>
      <c r="N43" s="111"/>
      <c r="O43" s="111"/>
      <c r="P43" s="593">
        <f t="shared" si="54"/>
        <v>0</v>
      </c>
      <c r="Q43" s="217">
        <f t="shared" si="55"/>
        <v>0</v>
      </c>
      <c r="R43" s="111"/>
      <c r="S43" s="111"/>
      <c r="T43" s="111"/>
      <c r="U43" s="593">
        <f t="shared" si="57"/>
        <v>0</v>
      </c>
      <c r="V43" s="589">
        <f t="shared" si="58"/>
        <v>0</v>
      </c>
      <c r="W43" s="635">
        <f t="shared" si="59"/>
        <v>0</v>
      </c>
      <c r="X43" s="636"/>
      <c r="Y43" s="79"/>
    </row>
    <row r="44" spans="1:25" x14ac:dyDescent="0.2">
      <c r="A44" s="597" t="s">
        <v>489</v>
      </c>
      <c r="B44" s="218">
        <v>3</v>
      </c>
      <c r="C44" s="649">
        <f t="shared" si="61"/>
        <v>4</v>
      </c>
      <c r="D44" s="111"/>
      <c r="E44" s="111"/>
      <c r="F44" s="111">
        <v>1</v>
      </c>
      <c r="G44" s="593">
        <f t="shared" si="60"/>
        <v>1</v>
      </c>
      <c r="H44" s="111"/>
      <c r="I44" s="111"/>
      <c r="J44" s="111">
        <v>1</v>
      </c>
      <c r="K44" s="593">
        <f t="shared" si="51"/>
        <v>1</v>
      </c>
      <c r="L44" s="217">
        <f t="shared" si="52"/>
        <v>2</v>
      </c>
      <c r="M44" s="111"/>
      <c r="N44" s="111"/>
      <c r="O44" s="111">
        <v>1</v>
      </c>
      <c r="P44" s="593">
        <f t="shared" si="54"/>
        <v>1</v>
      </c>
      <c r="Q44" s="217">
        <f t="shared" si="55"/>
        <v>3</v>
      </c>
      <c r="R44" s="111"/>
      <c r="S44" s="111"/>
      <c r="T44" s="111">
        <v>1</v>
      </c>
      <c r="U44" s="593">
        <f t="shared" si="57"/>
        <v>1</v>
      </c>
      <c r="V44" s="589">
        <f t="shared" si="58"/>
        <v>2</v>
      </c>
      <c r="W44" s="635">
        <f>U44+P44+K44+G44</f>
        <v>4</v>
      </c>
      <c r="X44" s="653"/>
    </row>
    <row r="45" spans="1:25" ht="12.75" customHeight="1" x14ac:dyDescent="0.25">
      <c r="A45" s="597" t="s">
        <v>490</v>
      </c>
      <c r="B45" s="218">
        <v>322</v>
      </c>
      <c r="C45" s="649">
        <f t="shared" si="61"/>
        <v>320</v>
      </c>
      <c r="D45" s="111">
        <v>25</v>
      </c>
      <c r="E45" s="111">
        <v>30</v>
      </c>
      <c r="F45" s="111">
        <v>25</v>
      </c>
      <c r="G45" s="593">
        <f t="shared" si="60"/>
        <v>80</v>
      </c>
      <c r="H45" s="111">
        <v>25</v>
      </c>
      <c r="I45" s="111">
        <v>30</v>
      </c>
      <c r="J45" s="111">
        <v>25</v>
      </c>
      <c r="K45" s="593">
        <f t="shared" si="51"/>
        <v>80</v>
      </c>
      <c r="L45" s="217">
        <f t="shared" si="52"/>
        <v>160</v>
      </c>
      <c r="M45" s="111">
        <v>25</v>
      </c>
      <c r="N45" s="111">
        <v>30</v>
      </c>
      <c r="O45" s="111">
        <v>25</v>
      </c>
      <c r="P45" s="593">
        <f t="shared" si="54"/>
        <v>80</v>
      </c>
      <c r="Q45" s="217">
        <f t="shared" si="55"/>
        <v>240</v>
      </c>
      <c r="R45" s="111">
        <v>25</v>
      </c>
      <c r="S45" s="111">
        <v>30</v>
      </c>
      <c r="T45" s="111">
        <v>25</v>
      </c>
      <c r="U45" s="593">
        <f t="shared" si="57"/>
        <v>80</v>
      </c>
      <c r="V45" s="589">
        <f t="shared" si="58"/>
        <v>160</v>
      </c>
      <c r="W45" s="635">
        <f>G45+K45+P45+U45</f>
        <v>320</v>
      </c>
      <c r="X45" s="637"/>
    </row>
    <row r="46" spans="1:25" ht="12.75" hidden="1" customHeight="1" x14ac:dyDescent="0.25">
      <c r="A46" s="597" t="s">
        <v>491</v>
      </c>
      <c r="B46" s="218">
        <v>0</v>
      </c>
      <c r="C46" s="649">
        <f t="shared" si="61"/>
        <v>0</v>
      </c>
      <c r="D46" s="654"/>
      <c r="E46" s="654"/>
      <c r="F46" s="654"/>
      <c r="G46" s="218">
        <f t="shared" si="60"/>
        <v>0</v>
      </c>
      <c r="H46" s="654"/>
      <c r="I46" s="654"/>
      <c r="J46" s="654"/>
      <c r="K46" s="218">
        <f t="shared" si="51"/>
        <v>0</v>
      </c>
      <c r="L46" s="217">
        <f t="shared" si="52"/>
        <v>0</v>
      </c>
      <c r="M46" s="654"/>
      <c r="N46" s="654"/>
      <c r="O46" s="654"/>
      <c r="P46" s="218">
        <f t="shared" si="54"/>
        <v>0</v>
      </c>
      <c r="Q46" s="217">
        <f t="shared" si="55"/>
        <v>0</v>
      </c>
      <c r="R46" s="654"/>
      <c r="S46" s="654"/>
      <c r="T46" s="654"/>
      <c r="U46" s="593">
        <f t="shared" si="57"/>
        <v>0</v>
      </c>
      <c r="V46" s="589">
        <f t="shared" si="58"/>
        <v>0</v>
      </c>
      <c r="W46" s="635">
        <f>G46+K46+P46+U46</f>
        <v>0</v>
      </c>
      <c r="X46" s="637"/>
    </row>
    <row r="47" spans="1:25" ht="13.5" hidden="1" x14ac:dyDescent="0.25">
      <c r="A47" s="597"/>
      <c r="B47" s="218">
        <v>0</v>
      </c>
      <c r="C47" s="655">
        <f>W47/1000</f>
        <v>0</v>
      </c>
      <c r="D47" s="654"/>
      <c r="E47" s="654"/>
      <c r="F47" s="654"/>
      <c r="G47" s="218">
        <f t="shared" si="60"/>
        <v>0</v>
      </c>
      <c r="H47" s="654"/>
      <c r="I47" s="654"/>
      <c r="J47" s="654"/>
      <c r="K47" s="218">
        <f t="shared" si="51"/>
        <v>0</v>
      </c>
      <c r="L47" s="217">
        <f t="shared" si="52"/>
        <v>0</v>
      </c>
      <c r="M47" s="654"/>
      <c r="N47" s="654"/>
      <c r="O47" s="654"/>
      <c r="P47" s="218">
        <f t="shared" si="54"/>
        <v>0</v>
      </c>
      <c r="Q47" s="217">
        <f t="shared" si="55"/>
        <v>0</v>
      </c>
      <c r="R47" s="654"/>
      <c r="S47" s="654"/>
      <c r="T47" s="654"/>
      <c r="U47" s="593">
        <f t="shared" si="57"/>
        <v>0</v>
      </c>
      <c r="V47" s="589">
        <f t="shared" si="58"/>
        <v>0</v>
      </c>
      <c r="W47" s="635">
        <f>G47+K47+P47+U47</f>
        <v>0</v>
      </c>
      <c r="X47" s="637"/>
    </row>
    <row r="48" spans="1:25" hidden="1" x14ac:dyDescent="0.2">
      <c r="B48" s="79"/>
      <c r="C48" s="613"/>
      <c r="L48" s="573">
        <f t="shared" si="52"/>
        <v>0</v>
      </c>
      <c r="Q48" s="573">
        <f t="shared" si="55"/>
        <v>0</v>
      </c>
      <c r="U48" s="593">
        <f t="shared" si="57"/>
        <v>0</v>
      </c>
      <c r="V48" s="589">
        <f t="shared" si="58"/>
        <v>0</v>
      </c>
      <c r="W48" s="635">
        <f>G48+K48+P48+U48</f>
        <v>0</v>
      </c>
    </row>
    <row r="49" spans="1:28" x14ac:dyDescent="0.2">
      <c r="A49" s="597" t="s">
        <v>492</v>
      </c>
      <c r="B49" s="218">
        <f>[11]ПММ!E34</f>
        <v>71</v>
      </c>
      <c r="C49" s="649">
        <f>W49</f>
        <v>458</v>
      </c>
      <c r="D49" s="111">
        <v>30</v>
      </c>
      <c r="E49" s="111">
        <v>30</v>
      </c>
      <c r="F49" s="111">
        <v>30</v>
      </c>
      <c r="G49" s="593">
        <f t="shared" si="60"/>
        <v>90</v>
      </c>
      <c r="H49" s="111">
        <v>35</v>
      </c>
      <c r="I49" s="111">
        <v>45</v>
      </c>
      <c r="J49" s="111">
        <v>50</v>
      </c>
      <c r="K49" s="593">
        <f t="shared" si="51"/>
        <v>130</v>
      </c>
      <c r="L49" s="217">
        <f t="shared" si="52"/>
        <v>220</v>
      </c>
      <c r="M49" s="111">
        <v>50</v>
      </c>
      <c r="N49" s="111">
        <v>50</v>
      </c>
      <c r="O49" s="111">
        <v>48</v>
      </c>
      <c r="P49" s="593">
        <f t="shared" si="54"/>
        <v>148</v>
      </c>
      <c r="Q49" s="217">
        <f t="shared" si="55"/>
        <v>368</v>
      </c>
      <c r="R49" s="111">
        <v>30</v>
      </c>
      <c r="S49" s="111">
        <v>30</v>
      </c>
      <c r="T49" s="111">
        <v>30</v>
      </c>
      <c r="U49" s="593">
        <f t="shared" si="57"/>
        <v>90</v>
      </c>
      <c r="V49" s="589">
        <f t="shared" si="58"/>
        <v>238</v>
      </c>
      <c r="W49" s="635">
        <f>G49+K49+P49+U49</f>
        <v>458</v>
      </c>
      <c r="X49" s="656">
        <f>[11]ПММ!E29</f>
        <v>0</v>
      </c>
      <c r="Y49" s="79">
        <f>W22-E22-D22</f>
        <v>690355.49699999986</v>
      </c>
    </row>
    <row r="50" spans="1:28" s="4" customFormat="1" x14ac:dyDescent="0.2">
      <c r="A50" s="4" t="s">
        <v>493</v>
      </c>
      <c r="B50" s="148"/>
      <c r="C50" s="4">
        <f>X49/1000</f>
        <v>0</v>
      </c>
      <c r="G50" s="110"/>
      <c r="K50" s="110"/>
      <c r="L50" s="573"/>
      <c r="P50" s="110"/>
      <c r="Q50" s="573"/>
      <c r="V50" s="205"/>
      <c r="Y50" s="657">
        <f>W24-D24-E24</f>
        <v>577592.53699999989</v>
      </c>
    </row>
    <row r="51" spans="1:28" x14ac:dyDescent="0.2">
      <c r="W51" s="79"/>
    </row>
    <row r="52" spans="1:28" s="23" customFormat="1" hidden="1" x14ac:dyDescent="0.2">
      <c r="A52" s="23" t="s">
        <v>494</v>
      </c>
      <c r="B52" s="148"/>
      <c r="C52" s="148"/>
      <c r="D52" s="148"/>
      <c r="E52" s="148"/>
      <c r="F52" s="148"/>
      <c r="G52" s="101"/>
      <c r="H52" s="148"/>
      <c r="J52" s="228"/>
      <c r="K52" s="101"/>
      <c r="L52" s="573"/>
      <c r="M52" s="228"/>
      <c r="N52" s="228"/>
      <c r="O52" s="228"/>
      <c r="P52" s="658" t="s">
        <v>495</v>
      </c>
      <c r="Q52" s="573"/>
      <c r="R52" s="228"/>
      <c r="S52" s="228"/>
      <c r="T52" s="228"/>
      <c r="U52" s="228"/>
      <c r="V52" s="236"/>
      <c r="W52" s="228"/>
      <c r="X52" s="228"/>
    </row>
    <row r="53" spans="1:28" s="4" customFormat="1" x14ac:dyDescent="0.2">
      <c r="B53" s="148"/>
      <c r="C53" s="659">
        <f>(C9+C1)*1.2</f>
        <v>385.89538549207526</v>
      </c>
      <c r="D53" s="660">
        <f>C53*0.8%*82%</f>
        <v>2.5314737288280136</v>
      </c>
      <c r="G53" s="110"/>
      <c r="I53" s="661"/>
      <c r="J53" s="661"/>
      <c r="K53" s="110"/>
      <c r="L53" s="573"/>
      <c r="P53" s="110"/>
      <c r="Q53" s="573"/>
      <c r="S53" s="139"/>
      <c r="T53" s="139"/>
      <c r="U53" s="110">
        <v>1197.4068400000001</v>
      </c>
      <c r="V53" s="573"/>
      <c r="W53" s="662">
        <f>(W22+W31)/1000</f>
        <v>870.17771799999991</v>
      </c>
      <c r="X53" s="110"/>
    </row>
    <row r="54" spans="1:28" x14ac:dyDescent="0.2">
      <c r="A54" s="233" t="s">
        <v>218</v>
      </c>
      <c r="B54" s="233"/>
      <c r="C54" s="233"/>
      <c r="D54" s="233"/>
      <c r="E54" s="233"/>
      <c r="F54" s="233"/>
      <c r="G54" s="663"/>
      <c r="H54" s="233"/>
      <c r="I54" s="233"/>
      <c r="J54" s="233"/>
      <c r="M54" s="233"/>
      <c r="N54" s="233"/>
      <c r="O54" s="233"/>
      <c r="P54" s="663" t="s">
        <v>148</v>
      </c>
      <c r="R54" s="233"/>
      <c r="S54" s="233"/>
      <c r="T54" s="664"/>
      <c r="U54" s="233"/>
      <c r="V54" s="236"/>
      <c r="W54" s="233"/>
      <c r="X54" s="233"/>
    </row>
    <row r="55" spans="1:28" hidden="1" x14ac:dyDescent="0.2">
      <c r="A55" s="638" t="s">
        <v>496</v>
      </c>
      <c r="B55" s="638"/>
      <c r="C55" s="638"/>
      <c r="D55" s="587">
        <f>[7]м3!B38</f>
        <v>1179.8</v>
      </c>
      <c r="E55" s="587">
        <f>[7]м3!C38</f>
        <v>1955.8</v>
      </c>
      <c r="F55" s="587">
        <f>[7]м3!D38</f>
        <v>1354</v>
      </c>
      <c r="G55" s="588">
        <f>D55+E55+F55</f>
        <v>4489.6000000000004</v>
      </c>
      <c r="H55" s="587">
        <f>[7]м3!F38</f>
        <v>968.56</v>
      </c>
      <c r="I55" s="587">
        <f>[7]м3!G38</f>
        <v>2331.8000000000002</v>
      </c>
      <c r="J55" s="587">
        <f>[7]м3!H38</f>
        <v>2599.8000000000002</v>
      </c>
      <c r="K55" s="588">
        <f>H55+I55+J55</f>
        <v>5900.16</v>
      </c>
      <c r="L55" s="588">
        <f>G55+K55</f>
        <v>10389.76</v>
      </c>
      <c r="M55" s="587">
        <f>[7]м3!K38</f>
        <v>2456.8000000000002</v>
      </c>
      <c r="N55" s="587">
        <f>[7]м3!L38</f>
        <v>2998.8</v>
      </c>
      <c r="O55" s="587">
        <f>[7]м3!M38</f>
        <v>2756.8</v>
      </c>
      <c r="P55" s="588">
        <f>M55+N55+O55</f>
        <v>8212.4000000000015</v>
      </c>
      <c r="Q55" s="588">
        <f>L55+P55</f>
        <v>18602.160000000003</v>
      </c>
      <c r="R55" s="587">
        <f>[7]м3!P38</f>
        <v>2333.8000000000002</v>
      </c>
      <c r="S55" s="587">
        <f>[7]м3!Q38</f>
        <v>1891.8</v>
      </c>
      <c r="T55" s="587">
        <f>[7]м3!R38</f>
        <v>1488.8</v>
      </c>
      <c r="U55" s="588">
        <f>R55+S55+T55</f>
        <v>5714.4000000000005</v>
      </c>
      <c r="V55" s="588">
        <f>P55+U55</f>
        <v>13926.800000000003</v>
      </c>
      <c r="W55" s="611">
        <f>G55+K55+P55+U55</f>
        <v>24316.560000000005</v>
      </c>
      <c r="X55" s="665">
        <f>[7]м3!V38</f>
        <v>24316.560000000005</v>
      </c>
      <c r="Y55" s="666"/>
      <c r="Z55" s="666"/>
      <c r="AA55" s="667"/>
      <c r="AB55" s="148" t="e">
        <f>#REF!-Z54</f>
        <v>#REF!</v>
      </c>
    </row>
    <row r="56" spans="1:28" hidden="1" x14ac:dyDescent="0.2">
      <c r="A56" s="668"/>
      <c r="B56" s="668"/>
      <c r="C56" s="668"/>
      <c r="D56" s="587">
        <f>[7]м3!B39</f>
        <v>3134</v>
      </c>
      <c r="E56" s="587">
        <f>[7]м3!C39</f>
        <v>3109</v>
      </c>
      <c r="F56" s="587">
        <f>[7]м3!D39</f>
        <v>2473</v>
      </c>
      <c r="G56" s="588">
        <f>D56+E56+F56</f>
        <v>8716</v>
      </c>
      <c r="H56" s="587">
        <f>[7]м3!F39</f>
        <v>2452</v>
      </c>
      <c r="I56" s="587">
        <f>[7]м3!G39</f>
        <v>3813</v>
      </c>
      <c r="J56" s="587">
        <f>[7]м3!H39</f>
        <v>4197</v>
      </c>
      <c r="K56" s="588">
        <f>H56+I56+J56</f>
        <v>10462</v>
      </c>
      <c r="L56" s="588">
        <f>G56+K56</f>
        <v>19178</v>
      </c>
      <c r="M56" s="587">
        <f>[7]м3!K39</f>
        <v>4803</v>
      </c>
      <c r="N56" s="587">
        <f>[7]м3!L39</f>
        <v>5030</v>
      </c>
      <c r="O56" s="587">
        <f>[7]м3!M39</f>
        <v>4465</v>
      </c>
      <c r="P56" s="588">
        <f>M56+N56+O56</f>
        <v>14298</v>
      </c>
      <c r="Q56" s="588">
        <f>L56+P56</f>
        <v>33476</v>
      </c>
      <c r="R56" s="587">
        <f>[7]м3!P39</f>
        <v>3984</v>
      </c>
      <c r="S56" s="587">
        <f>[7]м3!Q39</f>
        <v>3383</v>
      </c>
      <c r="T56" s="587">
        <f>[7]м3!R39</f>
        <v>3214</v>
      </c>
      <c r="U56" s="588">
        <f>R56+S56+T56</f>
        <v>10581</v>
      </c>
      <c r="V56" s="588">
        <f>P56+U56</f>
        <v>24879</v>
      </c>
      <c r="W56" s="611">
        <f>G56+K56+P56+U56</f>
        <v>44057</v>
      </c>
      <c r="X56" s="665">
        <f>[7]м3!V39</f>
        <v>44057</v>
      </c>
      <c r="Y56" s="666"/>
      <c r="Z56" s="666"/>
      <c r="AA56" s="667"/>
    </row>
    <row r="57" spans="1:28" hidden="1" x14ac:dyDescent="0.2">
      <c r="A57" s="668"/>
      <c r="B57" s="669"/>
      <c r="C57" s="666"/>
      <c r="D57" s="670"/>
      <c r="E57" s="587"/>
      <c r="F57" s="587"/>
      <c r="G57" s="588"/>
      <c r="H57" s="587"/>
      <c r="I57" s="587"/>
      <c r="J57" s="587"/>
      <c r="K57" s="588"/>
      <c r="L57" s="588"/>
      <c r="M57" s="587"/>
      <c r="N57" s="587"/>
      <c r="O57" s="587"/>
      <c r="P57" s="588"/>
      <c r="Q57" s="588"/>
      <c r="R57" s="587"/>
      <c r="S57" s="587"/>
      <c r="T57" s="587"/>
      <c r="U57" s="588"/>
      <c r="V57" s="588"/>
      <c r="W57" s="611"/>
      <c r="X57" s="671"/>
      <c r="Y57" s="667"/>
    </row>
    <row r="58" spans="1:28" s="205" customFormat="1" hidden="1" x14ac:dyDescent="0.2">
      <c r="A58" s="672" t="s">
        <v>497</v>
      </c>
      <c r="B58" s="672"/>
      <c r="C58" s="672"/>
      <c r="D58" s="620">
        <f>[7]м3!B41</f>
        <v>239</v>
      </c>
      <c r="E58" s="620">
        <f>[7]м3!C41</f>
        <v>401</v>
      </c>
      <c r="F58" s="620">
        <f>[7]м3!D41</f>
        <v>231</v>
      </c>
      <c r="G58" s="589">
        <f t="shared" ref="G58" si="62">D58+E58+F58</f>
        <v>871</v>
      </c>
      <c r="H58" s="620">
        <f>[7]м3!F41</f>
        <v>220</v>
      </c>
      <c r="I58" s="620">
        <f>[7]м3!G41</f>
        <v>318</v>
      </c>
      <c r="J58" s="620">
        <f>[7]м3!H41</f>
        <v>286</v>
      </c>
      <c r="K58" s="589">
        <f t="shared" ref="K58" si="63">H58+I58+J58</f>
        <v>824</v>
      </c>
      <c r="L58" s="589">
        <f t="shared" ref="L58" si="64">G58+K58</f>
        <v>1695</v>
      </c>
      <c r="M58" s="620">
        <f>[7]м3!K41</f>
        <v>2229</v>
      </c>
      <c r="N58" s="620">
        <f>[7]м3!L41</f>
        <v>1142</v>
      </c>
      <c r="O58" s="620">
        <f>[7]м3!M41</f>
        <v>1227</v>
      </c>
      <c r="P58" s="589">
        <f t="shared" ref="P58" si="65">M58+N58+O58</f>
        <v>4598</v>
      </c>
      <c r="Q58" s="589">
        <f t="shared" ref="Q58" si="66">L58+P58</f>
        <v>6293</v>
      </c>
      <c r="R58" s="620">
        <f>[7]м3!P41</f>
        <v>880</v>
      </c>
      <c r="S58" s="620">
        <f>[7]м3!Q41</f>
        <v>388</v>
      </c>
      <c r="T58" s="620">
        <f>[7]м3!R41</f>
        <v>307</v>
      </c>
      <c r="U58" s="589">
        <f t="shared" ref="U58" si="67">R58+S58+T58</f>
        <v>1575</v>
      </c>
      <c r="V58" s="589">
        <f t="shared" ref="V58" si="68">P58+U58</f>
        <v>6173</v>
      </c>
      <c r="W58" s="621">
        <f t="shared" ref="W58" si="69">G58+K58+P58+U58</f>
        <v>7868</v>
      </c>
      <c r="X58" s="673">
        <f>[7]м3!V41</f>
        <v>7868</v>
      </c>
      <c r="Y58" s="674"/>
      <c r="Z58" s="674"/>
    </row>
    <row r="59" spans="1:28" s="4" customFormat="1" ht="21" customHeight="1" x14ac:dyDescent="0.2">
      <c r="A59" s="675"/>
      <c r="B59" s="676"/>
      <c r="C59" s="676"/>
      <c r="D59" s="676"/>
      <c r="E59" s="677"/>
      <c r="F59" s="676"/>
      <c r="G59" s="676"/>
      <c r="H59" s="2050"/>
      <c r="I59" s="2050"/>
      <c r="J59" s="22"/>
      <c r="K59" s="676"/>
      <c r="L59" s="676"/>
      <c r="M59" s="676"/>
      <c r="N59" s="678"/>
      <c r="O59" s="678"/>
      <c r="P59" s="676"/>
      <c r="Q59" s="676"/>
      <c r="R59" s="676"/>
      <c r="S59" s="678"/>
      <c r="T59" s="22"/>
      <c r="U59" s="679"/>
      <c r="V59" s="676"/>
      <c r="W59" s="678"/>
      <c r="X59" s="678"/>
    </row>
    <row r="60" spans="1:28" x14ac:dyDescent="0.2">
      <c r="A60" s="668"/>
      <c r="B60" s="668"/>
      <c r="C60" s="668"/>
      <c r="D60" s="668"/>
      <c r="E60" s="680"/>
      <c r="F60" s="668"/>
      <c r="G60" s="668"/>
      <c r="H60" s="668"/>
      <c r="I60" s="681"/>
      <c r="J60" s="681"/>
      <c r="K60" s="668"/>
      <c r="L60" s="668"/>
      <c r="M60" s="668"/>
      <c r="N60" s="681"/>
      <c r="O60" s="681"/>
      <c r="P60" s="668"/>
      <c r="Q60" s="668"/>
      <c r="R60" s="668"/>
      <c r="S60" s="681"/>
      <c r="T60" s="681"/>
      <c r="U60" s="682"/>
      <c r="V60" s="668"/>
      <c r="W60" s="681"/>
      <c r="X60" s="681"/>
    </row>
    <row r="61" spans="1:28" x14ac:dyDescent="0.2">
      <c r="A61" s="668"/>
      <c r="B61" s="668"/>
      <c r="C61" s="668"/>
      <c r="D61" s="668"/>
      <c r="E61" s="680"/>
      <c r="F61" s="668"/>
      <c r="G61" s="668"/>
      <c r="H61" s="668"/>
      <c r="I61" s="681"/>
      <c r="J61" s="152"/>
      <c r="K61" s="668"/>
      <c r="L61" s="668"/>
      <c r="M61" s="668"/>
      <c r="N61" s="681"/>
      <c r="O61" s="681"/>
      <c r="P61" s="668"/>
      <c r="Q61" s="668"/>
      <c r="R61" s="668"/>
      <c r="S61" s="681"/>
      <c r="T61" s="681"/>
      <c r="U61" s="681"/>
      <c r="V61" s="668"/>
      <c r="W61" s="681"/>
      <c r="X61" s="681"/>
    </row>
    <row r="62" spans="1:28" x14ac:dyDescent="0.2">
      <c r="A62" s="668"/>
      <c r="B62" s="668"/>
      <c r="C62" s="668"/>
      <c r="D62" s="668"/>
      <c r="E62" s="680"/>
      <c r="F62" s="668"/>
      <c r="G62" s="668"/>
      <c r="H62" s="668"/>
      <c r="I62" s="681"/>
      <c r="J62" s="152"/>
      <c r="K62" s="668"/>
      <c r="L62" s="668"/>
      <c r="M62" s="668"/>
      <c r="N62" s="681"/>
      <c r="O62" s="681"/>
      <c r="P62" s="668"/>
      <c r="Q62" s="668"/>
      <c r="R62" s="668"/>
      <c r="S62" s="681"/>
      <c r="T62" s="681"/>
      <c r="U62" s="681"/>
      <c r="V62" s="668"/>
      <c r="W62" s="681"/>
      <c r="X62" s="681"/>
    </row>
    <row r="63" spans="1:28" x14ac:dyDescent="0.2">
      <c r="A63" s="668"/>
      <c r="B63" s="668"/>
      <c r="C63" s="668"/>
      <c r="D63" s="668" t="s">
        <v>498</v>
      </c>
      <c r="E63" s="680"/>
      <c r="F63" s="668"/>
      <c r="G63" s="668"/>
      <c r="H63" s="668"/>
      <c r="I63" s="681"/>
      <c r="J63" s="152"/>
      <c r="K63" s="668"/>
      <c r="L63" s="668"/>
      <c r="M63" s="668"/>
      <c r="N63" s="681"/>
      <c r="O63" s="681"/>
      <c r="P63" s="668"/>
      <c r="Q63" s="668"/>
      <c r="R63" s="668"/>
      <c r="S63" s="681"/>
      <c r="T63" s="681"/>
      <c r="U63" s="681"/>
      <c r="V63" s="668"/>
      <c r="W63" s="681"/>
      <c r="X63" s="681"/>
    </row>
    <row r="64" spans="1:28" x14ac:dyDescent="0.2">
      <c r="A64" s="668"/>
      <c r="B64" s="668"/>
      <c r="C64" s="668"/>
      <c r="D64" s="668"/>
      <c r="E64" s="680"/>
      <c r="F64" s="668"/>
      <c r="G64" s="668"/>
      <c r="H64" s="668"/>
      <c r="I64" s="681"/>
      <c r="J64" s="152"/>
      <c r="K64" s="668"/>
      <c r="L64" s="668"/>
      <c r="M64" s="668"/>
      <c r="N64" s="681"/>
      <c r="O64" s="681"/>
      <c r="P64" s="668"/>
      <c r="Q64" s="668"/>
      <c r="R64" s="668"/>
      <c r="S64" s="681"/>
      <c r="T64" s="681"/>
      <c r="U64" s="681"/>
      <c r="V64" s="668"/>
      <c r="W64" s="681"/>
      <c r="X64" s="681"/>
    </row>
    <row r="65" spans="1:24" x14ac:dyDescent="0.2">
      <c r="A65" s="668"/>
      <c r="B65" s="668"/>
      <c r="C65" s="668"/>
      <c r="D65" s="668"/>
      <c r="E65" s="680"/>
      <c r="F65" s="668"/>
      <c r="G65" s="668"/>
      <c r="H65" s="668"/>
      <c r="I65" s="681"/>
      <c r="J65" s="681"/>
      <c r="K65" s="668"/>
      <c r="L65" s="668"/>
      <c r="M65" s="668"/>
      <c r="N65" s="681"/>
      <c r="O65" s="681"/>
      <c r="P65" s="668"/>
      <c r="Q65" s="668"/>
      <c r="R65" s="668"/>
      <c r="S65" s="681"/>
      <c r="T65" s="681"/>
      <c r="U65" s="681"/>
      <c r="V65" s="668"/>
      <c r="W65" s="681"/>
      <c r="X65" s="681"/>
    </row>
    <row r="66" spans="1:24" x14ac:dyDescent="0.2">
      <c r="A66" s="668"/>
      <c r="B66" s="668"/>
      <c r="C66" s="668"/>
      <c r="D66" s="668"/>
      <c r="E66" s="680"/>
      <c r="F66" s="668"/>
      <c r="G66" s="668"/>
      <c r="H66" s="668"/>
      <c r="I66" s="681"/>
      <c r="J66" s="681"/>
      <c r="K66" s="668"/>
      <c r="L66" s="668"/>
      <c r="M66" s="668"/>
      <c r="N66" s="681"/>
      <c r="O66" s="681"/>
      <c r="P66" s="668"/>
      <c r="Q66" s="668"/>
      <c r="R66" s="668"/>
      <c r="S66" s="681"/>
      <c r="T66" s="681"/>
      <c r="U66" s="681"/>
      <c r="V66" s="668"/>
      <c r="W66" s="683"/>
      <c r="X66" s="682"/>
    </row>
    <row r="67" spans="1:24" x14ac:dyDescent="0.2">
      <c r="A67" s="668"/>
      <c r="B67" s="668"/>
      <c r="C67" s="668"/>
      <c r="D67" s="668"/>
      <c r="E67" s="680"/>
      <c r="F67" s="668"/>
      <c r="G67" s="668"/>
      <c r="H67" s="668"/>
      <c r="I67" s="681"/>
      <c r="J67" s="681"/>
      <c r="K67" s="668"/>
      <c r="L67" s="668"/>
      <c r="M67" s="668"/>
      <c r="N67" s="681"/>
      <c r="O67" s="681"/>
      <c r="P67" s="668"/>
      <c r="Q67" s="668"/>
      <c r="R67" s="668"/>
      <c r="S67" s="681"/>
      <c r="T67" s="681"/>
      <c r="U67" s="681"/>
      <c r="V67" s="668"/>
      <c r="W67" s="683"/>
      <c r="X67" s="595"/>
    </row>
    <row r="68" spans="1:24" x14ac:dyDescent="0.2">
      <c r="A68" s="668"/>
      <c r="B68" s="668"/>
      <c r="C68" s="668"/>
      <c r="D68" s="668"/>
      <c r="E68" s="680"/>
      <c r="F68" s="668"/>
      <c r="G68" s="668"/>
      <c r="H68" s="668"/>
      <c r="I68" s="681"/>
      <c r="J68" s="681"/>
      <c r="K68" s="668"/>
      <c r="L68" s="668"/>
      <c r="M68" s="668"/>
      <c r="N68" s="681"/>
      <c r="O68" s="681"/>
      <c r="P68" s="668"/>
      <c r="Q68" s="668"/>
      <c r="R68" s="668"/>
      <c r="S68" s="681"/>
      <c r="T68" s="681"/>
      <c r="U68" s="681"/>
      <c r="V68" s="668"/>
      <c r="W68" s="683"/>
      <c r="X68" s="564"/>
    </row>
  </sheetData>
  <mergeCells count="1">
    <mergeCell ref="H59:I59"/>
  </mergeCells>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5"/>
  <sheetViews>
    <sheetView view="pageBreakPreview" zoomScale="93" zoomScaleNormal="100" zoomScaleSheetLayoutView="93" workbookViewId="0">
      <selection activeCell="X1" sqref="X1:Z1048576"/>
    </sheetView>
  </sheetViews>
  <sheetFormatPr defaultColWidth="9.140625" defaultRowHeight="12.75" x14ac:dyDescent="0.2"/>
  <cols>
    <col min="1" max="1" width="41.85546875" style="735" customWidth="1"/>
    <col min="2" max="2" width="8.5703125" style="148" customWidth="1"/>
    <col min="3" max="3" width="10.140625" style="1" customWidth="1"/>
    <col min="4" max="5" width="8.5703125" style="22" hidden="1" customWidth="1"/>
    <col min="6" max="6" width="8.42578125" style="22" hidden="1" customWidth="1"/>
    <col min="7" max="7" width="9.5703125" style="22" customWidth="1"/>
    <col min="8" max="8" width="8.7109375" style="22" hidden="1" customWidth="1"/>
    <col min="9" max="10" width="8.7109375" style="695" hidden="1" customWidth="1"/>
    <col min="11" max="11" width="9.42578125" style="1" customWidth="1"/>
    <col min="12" max="12" width="9.85546875" style="205" hidden="1" customWidth="1"/>
    <col min="13" max="14" width="8.5703125" style="668" hidden="1" customWidth="1"/>
    <col min="15" max="15" width="8.7109375" style="668" hidden="1" customWidth="1"/>
    <col min="16" max="16" width="10.140625" style="1" customWidth="1"/>
    <col min="17" max="17" width="9.7109375" style="205" hidden="1" customWidth="1"/>
    <col min="18" max="18" width="8.42578125" style="668" hidden="1" customWidth="1"/>
    <col min="19" max="20" width="8.7109375" style="668" hidden="1" customWidth="1"/>
    <col min="21" max="21" width="10.42578125" style="160" customWidth="1"/>
    <col min="22" max="22" width="9.7109375" style="160" customWidth="1"/>
    <col min="23" max="23" width="0.7109375" style="160" customWidth="1"/>
    <col min="24" max="24" width="11.7109375" style="160" hidden="1" customWidth="1"/>
    <col min="25" max="25" width="9.7109375" style="160" hidden="1" customWidth="1"/>
    <col min="26" max="26" width="12.140625" style="681" hidden="1" customWidth="1"/>
    <col min="27" max="28" width="9.140625" style="735" customWidth="1"/>
    <col min="29" max="16384" width="9.140625" style="735"/>
  </cols>
  <sheetData>
    <row r="1" spans="1:32" ht="15" x14ac:dyDescent="0.25">
      <c r="A1" s="819" t="s">
        <v>571</v>
      </c>
      <c r="B1" s="820"/>
      <c r="C1" s="821"/>
      <c r="D1" s="822">
        <f>B41*[11]м3!C10</f>
        <v>30177.796919550005</v>
      </c>
      <c r="E1" s="821"/>
      <c r="F1" s="821"/>
      <c r="G1" s="821"/>
      <c r="H1" s="821"/>
      <c r="I1" s="823"/>
      <c r="J1" s="823"/>
      <c r="K1" s="821"/>
      <c r="L1" s="824"/>
      <c r="M1" s="820"/>
      <c r="N1" s="820"/>
      <c r="O1" s="820"/>
      <c r="P1" s="821"/>
      <c r="Q1" s="824"/>
      <c r="V1" s="825" t="s">
        <v>572</v>
      </c>
      <c r="W1" s="825"/>
      <c r="X1" s="825"/>
      <c r="Y1" s="101"/>
    </row>
    <row r="2" spans="1:32" s="826" customFormat="1" x14ac:dyDescent="0.2">
      <c r="A2" s="826">
        <f>C5*1.2</f>
        <v>36213.356303460001</v>
      </c>
      <c r="B2" s="148"/>
      <c r="C2" s="629">
        <f>C7+C16</f>
        <v>45857.559242390002</v>
      </c>
      <c r="D2" s="822">
        <f>C41*[11]м3!C22</f>
        <v>23164.967920439994</v>
      </c>
      <c r="E2" s="795"/>
      <c r="F2" s="795"/>
      <c r="G2" s="631"/>
      <c r="H2" s="795"/>
      <c r="I2" s="827"/>
      <c r="J2" s="827"/>
      <c r="K2" s="631"/>
      <c r="L2" s="631"/>
      <c r="M2" s="795"/>
      <c r="N2" s="795"/>
      <c r="O2" s="795"/>
      <c r="P2" s="631"/>
      <c r="Q2" s="631"/>
      <c r="R2" s="795"/>
      <c r="S2" s="795"/>
      <c r="T2" s="795"/>
      <c r="U2" s="828"/>
      <c r="V2" s="828"/>
      <c r="W2" s="829"/>
      <c r="X2" s="829"/>
      <c r="Y2" s="828"/>
    </row>
    <row r="3" spans="1:32" s="826" customFormat="1" x14ac:dyDescent="0.2">
      <c r="A3" s="826">
        <f>C14*1.2</f>
        <v>27797.961504527993</v>
      </c>
      <c r="B3" s="148"/>
      <c r="C3" s="629">
        <f>C7+C16</f>
        <v>45857.559242390002</v>
      </c>
      <c r="D3" s="796">
        <f>D5+D14+D20</f>
        <v>3514845.9512</v>
      </c>
      <c r="E3" s="796">
        <f>E5+E14+E20</f>
        <v>3623450.2880300004</v>
      </c>
      <c r="F3" s="796">
        <f>F5+F14+F20</f>
        <v>4095950.7951499997</v>
      </c>
      <c r="G3" s="631"/>
      <c r="H3" s="796">
        <f>H5+H14+H20</f>
        <v>3823410.7547000004</v>
      </c>
      <c r="I3" s="830">
        <f>I5+I14+I20</f>
        <v>4518634.76963</v>
      </c>
      <c r="J3" s="830">
        <f>J5+J14+J20</f>
        <v>4696284.8392700003</v>
      </c>
      <c r="K3" s="631"/>
      <c r="L3" s="631"/>
      <c r="M3" s="796">
        <f>M5+M14+M20</f>
        <v>5013715.2681900002</v>
      </c>
      <c r="N3" s="796">
        <f>N5+N14+N20</f>
        <v>5114419.8219499998</v>
      </c>
      <c r="O3" s="796">
        <f>O5+O14+O20</f>
        <v>5268710.0694500003</v>
      </c>
      <c r="P3" s="631"/>
      <c r="Q3" s="631"/>
      <c r="R3" s="796">
        <f>R5+R14+R20</f>
        <v>4954188.7213499993</v>
      </c>
      <c r="S3" s="796">
        <f>S5+S14+S20</f>
        <v>4565759.46</v>
      </c>
      <c r="T3" s="796">
        <f>T5+T14+T20</f>
        <v>4153394.1010699994</v>
      </c>
      <c r="U3" s="828"/>
      <c r="V3" s="829" t="s">
        <v>573</v>
      </c>
      <c r="W3" s="828"/>
      <c r="X3" s="828"/>
      <c r="Y3" s="828"/>
    </row>
    <row r="4" spans="1:32" ht="39" x14ac:dyDescent="0.25">
      <c r="A4" s="831"/>
      <c r="B4" s="578" t="s">
        <v>574</v>
      </c>
      <c r="C4" s="60" t="s">
        <v>575</v>
      </c>
      <c r="D4" s="579" t="s">
        <v>440</v>
      </c>
      <c r="E4" s="579" t="s">
        <v>441</v>
      </c>
      <c r="F4" s="579" t="s">
        <v>442</v>
      </c>
      <c r="G4" s="832" t="s">
        <v>576</v>
      </c>
      <c r="H4" s="579" t="s">
        <v>444</v>
      </c>
      <c r="I4" s="579" t="s">
        <v>445</v>
      </c>
      <c r="J4" s="579" t="s">
        <v>446</v>
      </c>
      <c r="K4" s="832" t="s">
        <v>577</v>
      </c>
      <c r="L4" s="581" t="s">
        <v>38</v>
      </c>
      <c r="M4" s="579" t="s">
        <v>448</v>
      </c>
      <c r="N4" s="579" t="s">
        <v>449</v>
      </c>
      <c r="O4" s="579" t="s">
        <v>450</v>
      </c>
      <c r="P4" s="832" t="s">
        <v>578</v>
      </c>
      <c r="Q4" s="581" t="s">
        <v>452</v>
      </c>
      <c r="R4" s="579" t="s">
        <v>453</v>
      </c>
      <c r="S4" s="579" t="s">
        <v>454</v>
      </c>
      <c r="T4" s="579" t="s">
        <v>455</v>
      </c>
      <c r="U4" s="832" t="s">
        <v>579</v>
      </c>
      <c r="V4" s="832" t="s">
        <v>580</v>
      </c>
      <c r="W4" s="833"/>
      <c r="X4" s="833"/>
      <c r="Y4" s="833"/>
    </row>
    <row r="5" spans="1:32" s="739" customFormat="1" ht="12.6" customHeight="1" x14ac:dyDescent="0.25">
      <c r="A5" s="834" t="s">
        <v>581</v>
      </c>
      <c r="B5" s="835">
        <f>SUM(B7:B10)</f>
        <v>25304.361241666666</v>
      </c>
      <c r="C5" s="836">
        <f>V5/1000</f>
        <v>30177.796919550001</v>
      </c>
      <c r="D5" s="837">
        <f>SUM(D7:D10)</f>
        <v>1809934.9169999999</v>
      </c>
      <c r="E5" s="837">
        <f>SUM(E7:E10)</f>
        <v>1893753.5060500002</v>
      </c>
      <c r="F5" s="837">
        <f>SUM(F7:F10)</f>
        <v>2144828.3482499998</v>
      </c>
      <c r="G5" s="838">
        <f>D5+E5+F5</f>
        <v>5848516.7713000001</v>
      </c>
      <c r="H5" s="837">
        <f>SUM(H7:H10)</f>
        <v>2002847.8925000003</v>
      </c>
      <c r="I5" s="839">
        <f>SUM(I7:I10)</f>
        <v>2542696.4230500003</v>
      </c>
      <c r="J5" s="839">
        <f>SUM(J7:J10)</f>
        <v>2728375.5292500001</v>
      </c>
      <c r="K5" s="838">
        <f>H5+I5+J5</f>
        <v>7273919.844800001</v>
      </c>
      <c r="L5" s="840">
        <f>G5+K5</f>
        <v>13122436.616100002</v>
      </c>
      <c r="M5" s="839">
        <f>SUM(M7:M10)</f>
        <v>3108285.5821500001</v>
      </c>
      <c r="N5" s="839">
        <f>SUM(N7:N10)</f>
        <v>3209054.5266500004</v>
      </c>
      <c r="O5" s="839">
        <f>SUM(O7:O10)</f>
        <v>3250226.5631500003</v>
      </c>
      <c r="P5" s="838">
        <f>M5+N5+O5</f>
        <v>9567566.6719500013</v>
      </c>
      <c r="Q5" s="840">
        <f>L5+P5</f>
        <v>22690003.288050003</v>
      </c>
      <c r="R5" s="839">
        <f>SUM(R7:R10)</f>
        <v>2884184.3348500002</v>
      </c>
      <c r="S5" s="839">
        <f>SUM(S7:S10)</f>
        <v>2455053.1523000002</v>
      </c>
      <c r="T5" s="839">
        <f>SUM(T7:T10)</f>
        <v>2148556.1443499997</v>
      </c>
      <c r="U5" s="838">
        <f>R5+S5+T5</f>
        <v>7487793.6315000001</v>
      </c>
      <c r="V5" s="838">
        <f>G5+K5+P5+U5</f>
        <v>30177796.919550002</v>
      </c>
      <c r="W5" s="841"/>
      <c r="X5" s="841">
        <f>[11]м3!W10*B41</f>
        <v>30177796.919550002</v>
      </c>
      <c r="Y5" s="841"/>
      <c r="Z5" s="842"/>
      <c r="AA5" s="735"/>
      <c r="AE5" s="843"/>
    </row>
    <row r="6" spans="1:32" ht="12.6" customHeight="1" x14ac:dyDescent="0.25">
      <c r="A6" s="844" t="s">
        <v>464</v>
      </c>
      <c r="B6" s="845"/>
      <c r="C6" s="836"/>
      <c r="D6" s="846"/>
      <c r="E6" s="846"/>
      <c r="F6" s="846"/>
      <c r="G6" s="111"/>
      <c r="H6" s="846"/>
      <c r="I6" s="847"/>
      <c r="J6" s="847"/>
      <c r="K6" s="111"/>
      <c r="L6" s="840">
        <f t="shared" ref="L6:L36" si="0">G6+K6</f>
        <v>0</v>
      </c>
      <c r="M6" s="587"/>
      <c r="N6" s="587"/>
      <c r="O6" s="587"/>
      <c r="P6" s="111"/>
      <c r="Q6" s="840">
        <f t="shared" ref="Q6:Q36" si="1">L6+P6</f>
        <v>0</v>
      </c>
      <c r="R6" s="587"/>
      <c r="S6" s="587"/>
      <c r="T6" s="587"/>
      <c r="U6" s="593"/>
      <c r="V6" s="838"/>
      <c r="W6" s="841"/>
      <c r="X6" s="841"/>
      <c r="Y6" s="841"/>
      <c r="Z6" s="842"/>
    </row>
    <row r="7" spans="1:32" ht="12.6" customHeight="1" x14ac:dyDescent="0.25">
      <c r="A7" s="638" t="s">
        <v>582</v>
      </c>
      <c r="B7" s="848">
        <f>SUM('[12]2023'!$EP$7:$EQ$11)/1000</f>
        <v>22013.646533333333</v>
      </c>
      <c r="C7" s="836">
        <f>V7/1000</f>
        <v>26452.596699550002</v>
      </c>
      <c r="D7" s="846">
        <f>[11]м3!D12*$B$41</f>
        <v>1632219.848</v>
      </c>
      <c r="E7" s="846">
        <f>[11]м3!E12*$B$41</f>
        <v>1677421.6560500001</v>
      </c>
      <c r="F7" s="846">
        <f>[11]м3!F12*$B$41</f>
        <v>1936209.27675</v>
      </c>
      <c r="G7" s="838">
        <f>D7+E7+F7</f>
        <v>5245850.7807999998</v>
      </c>
      <c r="H7" s="846">
        <f>[11]м3!H12*$B$41</f>
        <v>1778429.4675000003</v>
      </c>
      <c r="I7" s="846">
        <f>[11]м3!I12*$B$41</f>
        <v>2282479.3820500001</v>
      </c>
      <c r="J7" s="846">
        <f>[11]м3!J12*$B$41</f>
        <v>2411315.8702500002</v>
      </c>
      <c r="K7" s="838">
        <f>H7+I7+J7</f>
        <v>6472224.719800001</v>
      </c>
      <c r="L7" s="840">
        <f t="shared" si="0"/>
        <v>11718075.500600001</v>
      </c>
      <c r="M7" s="846">
        <f>[11]м3!M12*$B$41</f>
        <v>2730515.5461500003</v>
      </c>
      <c r="N7" s="846">
        <f>[11]м3!N12*$B$41</f>
        <v>2701221.7046500002</v>
      </c>
      <c r="O7" s="846">
        <f>[11]м3!O12*$B$41</f>
        <v>2775883.1481500003</v>
      </c>
      <c r="P7" s="838">
        <f>M7+N7+O7</f>
        <v>8207620.3989500012</v>
      </c>
      <c r="Q7" s="840">
        <f t="shared" si="1"/>
        <v>19925695.899550002</v>
      </c>
      <c r="R7" s="846">
        <f>[11]м3!R12*$B$41</f>
        <v>2483145.4028500002</v>
      </c>
      <c r="S7" s="846">
        <f>[11]м3!S12*$B$41</f>
        <v>2171399.0963000003</v>
      </c>
      <c r="T7" s="846">
        <f>[11]м3!T12*$B$41</f>
        <v>1872356.3008499998</v>
      </c>
      <c r="U7" s="838">
        <f>R7+S7+T7</f>
        <v>6526900.8000000007</v>
      </c>
      <c r="V7" s="838">
        <f>G7+K7+P7+U7</f>
        <v>26452596.699550003</v>
      </c>
      <c r="W7" s="841"/>
      <c r="X7" s="841"/>
      <c r="Y7" s="841"/>
      <c r="Z7" s="842"/>
      <c r="AA7" s="849"/>
      <c r="AD7" s="849"/>
    </row>
    <row r="8" spans="1:32" ht="12.6" customHeight="1" x14ac:dyDescent="0.25">
      <c r="A8" s="638" t="s">
        <v>475</v>
      </c>
      <c r="B8" s="848">
        <f>SUM('[12]2023'!$EP$13:$EQ$14)/1000</f>
        <v>1090.9685416666669</v>
      </c>
      <c r="C8" s="836">
        <f>V8/1000</f>
        <v>1235.0131604999999</v>
      </c>
      <c r="D8" s="846">
        <f>[11]м3!D16*$B$41</f>
        <v>33097.981</v>
      </c>
      <c r="E8" s="846">
        <f>[11]м3!E16*$B$41</f>
        <v>50982.47</v>
      </c>
      <c r="F8" s="846">
        <f>[11]м3!F16*$B$41</f>
        <v>55656.842499999999</v>
      </c>
      <c r="G8" s="838">
        <f>D8+E8+F8</f>
        <v>139737.2935</v>
      </c>
      <c r="H8" s="846">
        <f>[11]м3!H16*$B$41</f>
        <v>57497.72</v>
      </c>
      <c r="I8" s="846">
        <f>[11]м3!I16*$B$41</f>
        <v>45182.364499999996</v>
      </c>
      <c r="J8" s="846">
        <f>[11]м3!J16*$B$41</f>
        <v>113954.533</v>
      </c>
      <c r="K8" s="838">
        <f>H8+I8+J8</f>
        <v>216634.61749999999</v>
      </c>
      <c r="L8" s="840">
        <f t="shared" si="0"/>
        <v>356371.91099999996</v>
      </c>
      <c r="M8" s="846">
        <f>[11]м3!M16*$B$41</f>
        <v>108268.63600000001</v>
      </c>
      <c r="N8" s="846">
        <f>[11]м3!N16*$B$41</f>
        <v>173934.18</v>
      </c>
      <c r="O8" s="846">
        <f>[11]м3!O16*$B$41</f>
        <v>198320.122</v>
      </c>
      <c r="P8" s="838">
        <f>M8+N8+O8</f>
        <v>480522.93799999997</v>
      </c>
      <c r="Q8" s="840">
        <f t="shared" si="1"/>
        <v>836894.84899999993</v>
      </c>
      <c r="R8" s="846">
        <f>[11]м3!R16*$B$41</f>
        <v>152825.28100000002</v>
      </c>
      <c r="S8" s="846">
        <f>[11]м3!S16*$B$41</f>
        <v>104131.58000000002</v>
      </c>
      <c r="T8" s="846">
        <f>[11]м3!T16*$B$41</f>
        <v>141161.45050000001</v>
      </c>
      <c r="U8" s="838">
        <f>R8+S8+T8</f>
        <v>398118.31150000007</v>
      </c>
      <c r="V8" s="838">
        <f>G8+K8+P8+U8</f>
        <v>1235013.1605</v>
      </c>
      <c r="W8" s="841"/>
      <c r="X8" s="841"/>
      <c r="Y8" s="841"/>
      <c r="Z8" s="842"/>
    </row>
    <row r="9" spans="1:32" ht="12.6" customHeight="1" x14ac:dyDescent="0.25">
      <c r="A9" s="638" t="s">
        <v>476</v>
      </c>
      <c r="B9" s="848">
        <f>SUM('[12]2023'!$EP$16:$EQ$16)/1000</f>
        <v>260.77356666666668</v>
      </c>
      <c r="C9" s="836">
        <f>V9/1000</f>
        <v>295.20444449999997</v>
      </c>
      <c r="D9" s="846">
        <f>[11]м3!D17*$B$41</f>
        <v>5446.2380000000003</v>
      </c>
      <c r="E9" s="846">
        <f>[11]м3!E17*$B$41</f>
        <v>8676.7799999999988</v>
      </c>
      <c r="F9" s="846">
        <f>[11]м3!F17*$B$41</f>
        <v>8987.9789999999994</v>
      </c>
      <c r="G9" s="850">
        <f>D9+E9+F9</f>
        <v>23110.996999999999</v>
      </c>
      <c r="H9" s="846">
        <f>[11]м3!H17*$B$41</f>
        <v>8127.454999999999</v>
      </c>
      <c r="I9" s="846">
        <f>[11]м3!I17*$B$41</f>
        <v>8003.0265000000009</v>
      </c>
      <c r="J9" s="846">
        <f>[11]м3!J17*$B$41</f>
        <v>32763.275999999998</v>
      </c>
      <c r="K9" s="838">
        <f>H9+I9+J9</f>
        <v>48893.7575</v>
      </c>
      <c r="L9" s="840">
        <f t="shared" si="0"/>
        <v>72004.754499999995</v>
      </c>
      <c r="M9" s="846">
        <f>[11]м3!M17*$B$41</f>
        <v>47216.4</v>
      </c>
      <c r="N9" s="846">
        <f>[11]м3!N17*$B$41</f>
        <v>50963.052000000003</v>
      </c>
      <c r="O9" s="846">
        <f>[11]м3!O17*$B$41</f>
        <v>70294.693000000014</v>
      </c>
      <c r="P9" s="838">
        <f>M9+N9+O9</f>
        <v>168474.14500000002</v>
      </c>
      <c r="Q9" s="840">
        <f t="shared" si="1"/>
        <v>240478.8995</v>
      </c>
      <c r="R9" s="846">
        <f>[11]м3!R17*$B$41</f>
        <v>34551.775999999998</v>
      </c>
      <c r="S9" s="846">
        <f>[11]м3!S17*$B$41</f>
        <v>13932.926000000001</v>
      </c>
      <c r="T9" s="846">
        <f>[11]м3!T17*$B$41</f>
        <v>6240.8429999999998</v>
      </c>
      <c r="U9" s="838">
        <f>R9+S9+T9</f>
        <v>54725.544999999998</v>
      </c>
      <c r="V9" s="838">
        <f>U9+P9+K9+G9</f>
        <v>295204.44449999998</v>
      </c>
      <c r="W9" s="841"/>
      <c r="X9" s="841"/>
      <c r="Y9" s="841"/>
      <c r="Z9" s="842"/>
    </row>
    <row r="10" spans="1:32" ht="12.6" customHeight="1" x14ac:dyDescent="0.25">
      <c r="A10" s="757" t="s">
        <v>477</v>
      </c>
      <c r="B10" s="848">
        <f>SUM('[12]2023'!$EP$15:$EQ$15)/1000-B9</f>
        <v>1938.9725999999996</v>
      </c>
      <c r="C10" s="836">
        <f>V10/1000</f>
        <v>2194.9826149999999</v>
      </c>
      <c r="D10" s="846">
        <f>[11]м3!D18*$B$41</f>
        <v>139170.85</v>
      </c>
      <c r="E10" s="846">
        <f>[11]м3!E18*$B$41</f>
        <v>156672.6</v>
      </c>
      <c r="F10" s="846">
        <f>[11]м3!F18*$B$41</f>
        <v>143974.25</v>
      </c>
      <c r="G10" s="838">
        <f>D10+E10+F10</f>
        <v>439817.7</v>
      </c>
      <c r="H10" s="846">
        <f>[11]м3!H18*$B$41</f>
        <v>158793.25</v>
      </c>
      <c r="I10" s="846">
        <f>[11]м3!I18*$B$41</f>
        <v>207031.65</v>
      </c>
      <c r="J10" s="846">
        <f>[11]м3!J18*$B$41</f>
        <v>170341.85</v>
      </c>
      <c r="K10" s="838">
        <f>H10+I10+J10</f>
        <v>536166.75</v>
      </c>
      <c r="L10" s="840">
        <f t="shared" si="0"/>
        <v>975984.45</v>
      </c>
      <c r="M10" s="846">
        <f>[11]м3!M18*$B$41</f>
        <v>222285</v>
      </c>
      <c r="N10" s="846">
        <f>[11]м3!N18*$B$41</f>
        <v>282935.58999999997</v>
      </c>
      <c r="O10" s="846">
        <f>[11]м3!O18*$B$41</f>
        <v>205728.6</v>
      </c>
      <c r="P10" s="838">
        <f>M10+N10+O10</f>
        <v>710949.19</v>
      </c>
      <c r="Q10" s="840">
        <f t="shared" si="1"/>
        <v>1686933.64</v>
      </c>
      <c r="R10" s="846">
        <f>[11]м3!R18*$B$41</f>
        <v>213661.875</v>
      </c>
      <c r="S10" s="846">
        <f>[11]м3!S18*$B$41</f>
        <v>165589.55000000002</v>
      </c>
      <c r="T10" s="846">
        <f>[11]м3!T18*$B$41</f>
        <v>128797.55</v>
      </c>
      <c r="U10" s="838">
        <f>R10+S10+T10</f>
        <v>508048.97500000003</v>
      </c>
      <c r="V10" s="838">
        <f>G10+K10+P10+U10</f>
        <v>2194982.6149999998</v>
      </c>
      <c r="W10" s="841"/>
      <c r="X10" s="841"/>
      <c r="Y10" s="841"/>
      <c r="Z10" s="842"/>
    </row>
    <row r="11" spans="1:32" ht="12.6" customHeight="1" x14ac:dyDescent="0.25">
      <c r="A11" s="851"/>
      <c r="B11" s="848"/>
      <c r="C11" s="836"/>
      <c r="D11" s="846"/>
      <c r="E11" s="846"/>
      <c r="F11" s="846"/>
      <c r="G11" s="838"/>
      <c r="H11" s="846"/>
      <c r="I11" s="587"/>
      <c r="J11" s="587"/>
      <c r="K11" s="838"/>
      <c r="L11" s="840">
        <f t="shared" si="0"/>
        <v>0</v>
      </c>
      <c r="M11" s="587"/>
      <c r="N11" s="587"/>
      <c r="O11" s="587"/>
      <c r="P11" s="838"/>
      <c r="Q11" s="840">
        <f t="shared" si="1"/>
        <v>0</v>
      </c>
      <c r="R11" s="587"/>
      <c r="S11" s="587"/>
      <c r="T11" s="587"/>
      <c r="U11" s="838"/>
      <c r="V11" s="838"/>
      <c r="W11" s="841"/>
      <c r="X11" s="841"/>
      <c r="Y11" s="841"/>
      <c r="Z11" s="842"/>
    </row>
    <row r="12" spans="1:32" s="674" customFormat="1" ht="13.15" customHeight="1" x14ac:dyDescent="0.25">
      <c r="A12" s="852"/>
      <c r="B12" s="848"/>
      <c r="C12" s="853"/>
      <c r="D12" s="620"/>
      <c r="E12" s="620"/>
      <c r="F12" s="620"/>
      <c r="G12" s="840"/>
      <c r="H12" s="620"/>
      <c r="I12" s="620">
        <f>[11]м3!I20*$B$45</f>
        <v>0</v>
      </c>
      <c r="J12" s="620">
        <f>[11]м3!J20*$B$45</f>
        <v>0</v>
      </c>
      <c r="K12" s="840"/>
      <c r="L12" s="840">
        <f t="shared" si="0"/>
        <v>0</v>
      </c>
      <c r="M12" s="620">
        <f>[11]м3!M20*$B$45</f>
        <v>0</v>
      </c>
      <c r="N12" s="620"/>
      <c r="O12" s="620"/>
      <c r="P12" s="840"/>
      <c r="Q12" s="840">
        <f t="shared" si="1"/>
        <v>0</v>
      </c>
      <c r="R12" s="620"/>
      <c r="S12" s="620"/>
      <c r="T12" s="620"/>
      <c r="U12" s="840"/>
      <c r="V12" s="840"/>
      <c r="W12" s="572"/>
      <c r="X12" s="572"/>
      <c r="Y12" s="572"/>
      <c r="Z12" s="854"/>
      <c r="AA12" s="855"/>
      <c r="AD12" s="855"/>
    </row>
    <row r="13" spans="1:32" ht="12.6" customHeight="1" x14ac:dyDescent="0.25">
      <c r="A13" s="856"/>
      <c r="B13" s="848"/>
      <c r="C13" s="853"/>
      <c r="D13" s="857"/>
      <c r="E13" s="857"/>
      <c r="F13" s="857"/>
      <c r="G13" s="850"/>
      <c r="H13" s="857"/>
      <c r="I13" s="847"/>
      <c r="J13" s="847"/>
      <c r="K13" s="850"/>
      <c r="L13" s="840">
        <f t="shared" si="0"/>
        <v>0</v>
      </c>
      <c r="M13" s="587"/>
      <c r="N13" s="587"/>
      <c r="O13" s="587"/>
      <c r="P13" s="838"/>
      <c r="Q13" s="840">
        <f t="shared" si="1"/>
        <v>0</v>
      </c>
      <c r="R13" s="587"/>
      <c r="S13" s="587"/>
      <c r="T13" s="587"/>
      <c r="U13" s="838"/>
      <c r="V13" s="838"/>
      <c r="W13" s="841"/>
      <c r="X13" s="841"/>
      <c r="Y13" s="841"/>
      <c r="Z13" s="842"/>
    </row>
    <row r="14" spans="1:32" s="739" customFormat="1" ht="12.6" customHeight="1" x14ac:dyDescent="0.25">
      <c r="A14" s="834" t="s">
        <v>583</v>
      </c>
      <c r="B14" s="835">
        <f>SUM(B16:B19)</f>
        <v>9716.7526083333341</v>
      </c>
      <c r="C14" s="836">
        <f>V14/1000</f>
        <v>23164.967920439994</v>
      </c>
      <c r="D14" s="837">
        <f>SUM(D16:D20)</f>
        <v>1704911.0342000001</v>
      </c>
      <c r="E14" s="837">
        <f>SUM(E16:E20)</f>
        <v>1729696.78198</v>
      </c>
      <c r="F14" s="837">
        <f>SUM(F16:F20)</f>
        <v>1951122.4469000001</v>
      </c>
      <c r="G14" s="838">
        <f>D14+E14+F14</f>
        <v>5385730.2630799999</v>
      </c>
      <c r="H14" s="837">
        <f>SUM(H16:H20)</f>
        <v>1820562.8621999999</v>
      </c>
      <c r="I14" s="839">
        <f>SUM(I16:I20)</f>
        <v>1975938.3465800001</v>
      </c>
      <c r="J14" s="839">
        <f>SUM(J16:J20)</f>
        <v>1967909.31002</v>
      </c>
      <c r="K14" s="838">
        <f>H14+I14+J14</f>
        <v>5764410.5187999997</v>
      </c>
      <c r="L14" s="840">
        <f t="shared" si="0"/>
        <v>11150140.781879999</v>
      </c>
      <c r="M14" s="839">
        <f>SUM(M16:M20)</f>
        <v>1905429.6860399998</v>
      </c>
      <c r="N14" s="839">
        <f>SUM(N16:N20)</f>
        <v>1905365.2952999999</v>
      </c>
      <c r="O14" s="839">
        <f>SUM(O16:O20)</f>
        <v>2018483.5063</v>
      </c>
      <c r="P14" s="838">
        <f>M14+N14+O14</f>
        <v>5829278.487639999</v>
      </c>
      <c r="Q14" s="840">
        <f t="shared" si="1"/>
        <v>16979419.26952</v>
      </c>
      <c r="R14" s="839">
        <f>SUM(R16:R20)</f>
        <v>2070004.3864999996</v>
      </c>
      <c r="S14" s="839">
        <f>SUM(S16:S20)</f>
        <v>2110706.3076999998</v>
      </c>
      <c r="T14" s="839">
        <f>SUM(T16:T20)</f>
        <v>2004837.9567199997</v>
      </c>
      <c r="U14" s="838">
        <f>R14+S14+T14</f>
        <v>6185548.650919999</v>
      </c>
      <c r="V14" s="838">
        <f>G14+K14+U14+P14</f>
        <v>23164967.920439996</v>
      </c>
      <c r="W14" s="841"/>
      <c r="X14" s="841">
        <f>[11]м3!W22*C41</f>
        <v>23164967.920439996</v>
      </c>
      <c r="Y14" s="841"/>
      <c r="Z14" s="842"/>
      <c r="AA14" s="678"/>
      <c r="AF14" s="843"/>
    </row>
    <row r="15" spans="1:32" s="674" customFormat="1" ht="12.6" customHeight="1" x14ac:dyDescent="0.25">
      <c r="A15" s="858" t="s">
        <v>464</v>
      </c>
      <c r="B15" s="845"/>
      <c r="C15" s="853"/>
      <c r="D15" s="620"/>
      <c r="E15" s="620"/>
      <c r="F15" s="620"/>
      <c r="G15" s="620"/>
      <c r="H15" s="620"/>
      <c r="I15" s="847"/>
      <c r="J15" s="847"/>
      <c r="K15" s="620"/>
      <c r="L15" s="840">
        <f t="shared" si="0"/>
        <v>0</v>
      </c>
      <c r="M15" s="587"/>
      <c r="N15" s="587"/>
      <c r="O15" s="587"/>
      <c r="P15" s="840"/>
      <c r="Q15" s="840">
        <f t="shared" si="1"/>
        <v>0</v>
      </c>
      <c r="R15" s="587"/>
      <c r="S15" s="587"/>
      <c r="T15" s="587"/>
      <c r="U15" s="840"/>
      <c r="V15" s="840"/>
      <c r="W15" s="572"/>
      <c r="X15" s="572"/>
      <c r="Y15" s="572"/>
      <c r="Z15" s="854"/>
    </row>
    <row r="16" spans="1:32" ht="12.6" customHeight="1" x14ac:dyDescent="0.25">
      <c r="A16" s="638" t="s">
        <v>582</v>
      </c>
      <c r="B16" s="848">
        <f>SUM('[12]2023'!$ES$7:$ET$11)/1000</f>
        <v>8177.03575</v>
      </c>
      <c r="C16" s="836">
        <f>V16/1000</f>
        <v>19404.96254284</v>
      </c>
      <c r="D16" s="846">
        <f>[11]м3!D24*$C$41</f>
        <v>1440558.6094</v>
      </c>
      <c r="E16" s="846">
        <f>[11]м3!E24*$C$41</f>
        <v>1456809.2259799999</v>
      </c>
      <c r="F16" s="846">
        <f>[11]м3!F24*$C$41</f>
        <v>1668231.6051</v>
      </c>
      <c r="G16" s="838">
        <f>D16+E16+F16</f>
        <v>4565599.4404800003</v>
      </c>
      <c r="H16" s="846">
        <f>[11]м3!H24*$C$41</f>
        <v>1542579.4922</v>
      </c>
      <c r="I16" s="846">
        <f>[11]м3!I24*$C$41</f>
        <v>1668783.3705800001</v>
      </c>
      <c r="J16" s="846">
        <f>[11]м3!J24*$C$41</f>
        <v>1659074.97322</v>
      </c>
      <c r="K16" s="838">
        <f>H16+I16+J16</f>
        <v>4870437.8360000001</v>
      </c>
      <c r="L16" s="840">
        <f t="shared" si="0"/>
        <v>9436037.2764800005</v>
      </c>
      <c r="M16" s="846">
        <f>[11]м3!M24*$C$41</f>
        <v>1584797.8110399998</v>
      </c>
      <c r="N16" s="846">
        <f>[11]м3!N24*$C$41</f>
        <v>1568528.5603</v>
      </c>
      <c r="O16" s="846">
        <f>[11]м3!O24*$C$41</f>
        <v>1698845.6436999999</v>
      </c>
      <c r="P16" s="838">
        <f>M16+N16+O16</f>
        <v>4852172.01504</v>
      </c>
      <c r="Q16" s="840">
        <f t="shared" si="1"/>
        <v>14288209.29152</v>
      </c>
      <c r="R16" s="846">
        <f>[11]м3!R24*$C$41</f>
        <v>1727607.4124999999</v>
      </c>
      <c r="S16" s="846">
        <f>[11]м3!S24*$C$41</f>
        <v>1761369.2522999998</v>
      </c>
      <c r="T16" s="846">
        <f>[11]м3!T24*$C$41</f>
        <v>1627776.5865199999</v>
      </c>
      <c r="U16" s="838">
        <f>R16+S16+T16</f>
        <v>5116753.2513199989</v>
      </c>
      <c r="V16" s="838">
        <f>G16+K16+U16+P16</f>
        <v>19404962.54284</v>
      </c>
      <c r="W16" s="841"/>
      <c r="X16" s="161"/>
      <c r="Y16" s="841"/>
      <c r="Z16" s="842"/>
      <c r="AA16" s="96"/>
      <c r="AC16" s="849"/>
    </row>
    <row r="17" spans="1:30" ht="12.6" customHeight="1" x14ac:dyDescent="0.25">
      <c r="A17" s="638" t="s">
        <v>475</v>
      </c>
      <c r="B17" s="848">
        <f>SUM('[12]2023'!$ES$13:$ET$14)/1000</f>
        <v>509.94748333333342</v>
      </c>
      <c r="C17" s="836">
        <f>V17/1000</f>
        <v>1210.4904668000001</v>
      </c>
      <c r="D17" s="846">
        <f>[11]м3!D28*$C$41</f>
        <v>45772.298999999999</v>
      </c>
      <c r="E17" s="846">
        <f>[11]м3!E28*$C$41</f>
        <v>63298.984000000004</v>
      </c>
      <c r="F17" s="846">
        <f>[11]м3!F28*$C$41</f>
        <v>75122.815799999997</v>
      </c>
      <c r="G17" s="838">
        <f>D17+E17+F17</f>
        <v>184194.09879999998</v>
      </c>
      <c r="H17" s="846">
        <f>[11]м3!H28*$C$41</f>
        <v>73130.504000000001</v>
      </c>
      <c r="I17" s="846">
        <f>[11]м3!I28*$C$41</f>
        <v>66464.218999999997</v>
      </c>
      <c r="J17" s="846">
        <f>[11]м3!J28*$C$41</f>
        <v>92694.085599999991</v>
      </c>
      <c r="K17" s="838">
        <f>H17+I17+J17</f>
        <v>232288.80859999999</v>
      </c>
      <c r="L17" s="840">
        <f t="shared" si="0"/>
        <v>416482.90739999997</v>
      </c>
      <c r="M17" s="846">
        <f>[11]м3!M28*$C$41</f>
        <v>105515.93099999998</v>
      </c>
      <c r="N17" s="846">
        <f>[11]м3!N28*$C$41</f>
        <v>99706.76019999999</v>
      </c>
      <c r="O17" s="846">
        <f>[11]м3!O28*$C$41</f>
        <v>137880.20880000002</v>
      </c>
      <c r="P17" s="838">
        <f>M17+N17+O17</f>
        <v>343102.9</v>
      </c>
      <c r="Q17" s="840">
        <f t="shared" si="1"/>
        <v>759585.80740000005</v>
      </c>
      <c r="R17" s="846">
        <f>[11]м3!R28*$C$41</f>
        <v>135833.88079999998</v>
      </c>
      <c r="S17" s="846">
        <f>[11]м3!S28*$C$41</f>
        <v>133247.39079999999</v>
      </c>
      <c r="T17" s="846">
        <f>[11]м3!T28*$C$41</f>
        <v>181823.3878</v>
      </c>
      <c r="U17" s="838">
        <f>R17+S17+T17</f>
        <v>450904.6594</v>
      </c>
      <c r="V17" s="838">
        <f>G17+K17+U17+P17</f>
        <v>1210490.4668000001</v>
      </c>
      <c r="W17" s="841"/>
      <c r="X17" s="161"/>
      <c r="Y17" s="841"/>
      <c r="Z17" s="842"/>
      <c r="AA17" s="678"/>
    </row>
    <row r="18" spans="1:30" ht="12.6" customHeight="1" x14ac:dyDescent="0.25">
      <c r="A18" s="638" t="s">
        <v>476</v>
      </c>
      <c r="B18" s="848">
        <f>SUM('[12]2023'!$ES$16:$ET$16)/1000</f>
        <v>48.372544999999995</v>
      </c>
      <c r="C18" s="836">
        <f>V18/1000</f>
        <v>224.4461708</v>
      </c>
      <c r="D18" s="846">
        <f>[11]м3!D29*$C$41</f>
        <v>20806.525799999999</v>
      </c>
      <c r="E18" s="846">
        <f>[11]м3!E29*$C$41</f>
        <v>29420.252</v>
      </c>
      <c r="F18" s="846">
        <f>[11]м3!F29*$C$41</f>
        <v>33772.985999999997</v>
      </c>
      <c r="G18" s="850">
        <f>D18+E18+F18</f>
        <v>83999.763799999986</v>
      </c>
      <c r="H18" s="846">
        <f>[11]м3!H29*$C$41</f>
        <v>16396.346000000001</v>
      </c>
      <c r="I18" s="846">
        <f>[11]м3!I29*$C$41</f>
        <v>16623.557000000001</v>
      </c>
      <c r="J18" s="846">
        <f>[11]м3!J29*$C$41</f>
        <v>14536.931199999999</v>
      </c>
      <c r="K18" s="838">
        <f>H18+I18+J18</f>
        <v>47556.834200000005</v>
      </c>
      <c r="L18" s="840">
        <f t="shared" si="0"/>
        <v>131556.598</v>
      </c>
      <c r="M18" s="846">
        <f>[11]м3!M29*$C$41</f>
        <v>11397.704</v>
      </c>
      <c r="N18" s="846">
        <f>[11]м3!N29*$C$41</f>
        <v>12919.8748</v>
      </c>
      <c r="O18" s="846">
        <f>[11]м3!O29*$C$41</f>
        <v>13192.8138</v>
      </c>
      <c r="P18" s="838">
        <f>M18+N18+O18</f>
        <v>37510.392599999999</v>
      </c>
      <c r="Q18" s="840">
        <f t="shared" si="1"/>
        <v>169066.99059999999</v>
      </c>
      <c r="R18" s="846">
        <f>[11]м3!R29*$C$41</f>
        <v>13247.9732</v>
      </c>
      <c r="S18" s="846">
        <f>[11]м3!S29*$C$41</f>
        <v>20202.3446</v>
      </c>
      <c r="T18" s="846">
        <f>[11]м3!T29*$C$41</f>
        <v>21928.862399999998</v>
      </c>
      <c r="U18" s="838">
        <f>R18+S18+T18</f>
        <v>55379.180200000003</v>
      </c>
      <c r="V18" s="838">
        <f>G18+K18+U18+P18</f>
        <v>224446.17079999999</v>
      </c>
      <c r="W18" s="841"/>
      <c r="X18" s="161"/>
      <c r="Y18" s="841"/>
      <c r="Z18" s="842"/>
      <c r="AA18" s="678"/>
    </row>
    <row r="19" spans="1:30" ht="12.6" customHeight="1" x14ac:dyDescent="0.25">
      <c r="A19" s="757" t="s">
        <v>477</v>
      </c>
      <c r="B19" s="848">
        <f>SUM('[12]2023'!$ES$15:$ET$15)/1000-B18</f>
        <v>981.39683000000014</v>
      </c>
      <c r="C19" s="836">
        <f>V19/1000</f>
        <v>2325.0687400000002</v>
      </c>
      <c r="D19" s="846">
        <f>[11]м3!D30*$C$41</f>
        <v>197773.59999999998</v>
      </c>
      <c r="E19" s="846">
        <f>[11]м3!E30*$C$41</f>
        <v>180168.31999999998</v>
      </c>
      <c r="F19" s="846">
        <f>[11]м3!F30*$C$41</f>
        <v>173995.03999999998</v>
      </c>
      <c r="G19" s="838">
        <f>D19+E19+F19</f>
        <v>551936.96</v>
      </c>
      <c r="H19" s="846">
        <f>[11]м3!H30*$C$41</f>
        <v>188456.52</v>
      </c>
      <c r="I19" s="846">
        <f>[11]м3!I30*$C$41</f>
        <v>224067.19999999998</v>
      </c>
      <c r="J19" s="846">
        <f>[11]м3!J30*$C$41</f>
        <v>201603.31999999998</v>
      </c>
      <c r="K19" s="838">
        <f>H19+I19+J19</f>
        <v>614127.03999999992</v>
      </c>
      <c r="L19" s="840">
        <f t="shared" si="0"/>
        <v>1166064</v>
      </c>
      <c r="M19" s="846">
        <f>[11]м3!M30*$C$41</f>
        <v>203718.24</v>
      </c>
      <c r="N19" s="846">
        <f>[11]м3!N30*$C$41</f>
        <v>224210.09999999998</v>
      </c>
      <c r="O19" s="846">
        <f>[11]м3!O30*$C$41</f>
        <v>168564.84</v>
      </c>
      <c r="P19" s="838">
        <f>M19+N19+O19</f>
        <v>596493.17999999993</v>
      </c>
      <c r="Q19" s="840">
        <f t="shared" si="1"/>
        <v>1762557.18</v>
      </c>
      <c r="R19" s="846">
        <f>[11]м3!R30*$C$41</f>
        <v>193315.12</v>
      </c>
      <c r="S19" s="846">
        <f>[11]м3!S30*$C$41</f>
        <v>195887.31999999998</v>
      </c>
      <c r="T19" s="846">
        <f>[11]м3!T30*$C$41</f>
        <v>173309.12</v>
      </c>
      <c r="U19" s="838">
        <f>R19+S19+T19</f>
        <v>562511.55999999994</v>
      </c>
      <c r="V19" s="838">
        <f>G19+K19+U19+P19</f>
        <v>2325068.7400000002</v>
      </c>
      <c r="W19" s="841"/>
      <c r="X19" s="161"/>
      <c r="Y19" s="841"/>
      <c r="Z19" s="842"/>
      <c r="AA19" s="678"/>
    </row>
    <row r="20" spans="1:30" s="739" customFormat="1" ht="12.6" customHeight="1" x14ac:dyDescent="0.25">
      <c r="A20" s="859"/>
      <c r="B20" s="848"/>
      <c r="C20" s="836"/>
      <c r="D20" s="846"/>
      <c r="E20" s="846"/>
      <c r="F20" s="846"/>
      <c r="G20" s="838"/>
      <c r="H20" s="846"/>
      <c r="I20" s="587"/>
      <c r="J20" s="587"/>
      <c r="K20" s="838"/>
      <c r="L20" s="840"/>
      <c r="M20" s="587"/>
      <c r="N20" s="587"/>
      <c r="O20" s="587"/>
      <c r="P20" s="838"/>
      <c r="Q20" s="840"/>
      <c r="R20" s="587"/>
      <c r="S20" s="587"/>
      <c r="T20" s="587"/>
      <c r="U20" s="838"/>
      <c r="V20" s="838"/>
      <c r="W20" s="841"/>
      <c r="X20" s="161"/>
      <c r="Y20" s="841"/>
      <c r="Z20" s="842"/>
      <c r="AA20" s="677"/>
    </row>
    <row r="21" spans="1:30" s="677" customFormat="1" ht="12.6" customHeight="1" x14ac:dyDescent="0.25">
      <c r="A21" s="860"/>
      <c r="B21" s="835"/>
      <c r="C21" s="861">
        <f>SUM(C17:C20)</f>
        <v>3760.0053776000004</v>
      </c>
      <c r="D21" s="862"/>
      <c r="E21" s="862"/>
      <c r="F21" s="862"/>
      <c r="G21" s="863"/>
      <c r="H21" s="862"/>
      <c r="I21" s="587"/>
      <c r="J21" s="587"/>
      <c r="K21" s="863"/>
      <c r="L21" s="840">
        <f t="shared" si="0"/>
        <v>0</v>
      </c>
      <c r="M21" s="587"/>
      <c r="N21" s="587"/>
      <c r="O21" s="587"/>
      <c r="P21" s="863"/>
      <c r="Q21" s="840">
        <f t="shared" si="1"/>
        <v>0</v>
      </c>
      <c r="R21" s="587"/>
      <c r="S21" s="587"/>
      <c r="T21" s="587"/>
      <c r="U21" s="863"/>
      <c r="V21" s="863"/>
      <c r="W21" s="864"/>
      <c r="X21" s="864"/>
      <c r="Y21" s="864"/>
      <c r="Z21" s="865"/>
    </row>
    <row r="22" spans="1:30" ht="12.6" customHeight="1" x14ac:dyDescent="0.25">
      <c r="A22" s="851"/>
      <c r="B22" s="848"/>
      <c r="C22" s="836"/>
      <c r="D22" s="846"/>
      <c r="E22" s="846"/>
      <c r="F22" s="846"/>
      <c r="G22" s="838"/>
      <c r="H22" s="846"/>
      <c r="I22" s="587"/>
      <c r="J22" s="587"/>
      <c r="K22" s="838"/>
      <c r="L22" s="840"/>
      <c r="M22" s="587"/>
      <c r="N22" s="587"/>
      <c r="O22" s="587"/>
      <c r="P22" s="838"/>
      <c r="Q22" s="840"/>
      <c r="R22" s="587"/>
      <c r="S22" s="587"/>
      <c r="T22" s="587"/>
      <c r="U22" s="838"/>
      <c r="V22" s="838"/>
      <c r="W22" s="841"/>
      <c r="X22" s="841"/>
      <c r="Y22" s="841"/>
      <c r="Z22" s="842"/>
    </row>
    <row r="23" spans="1:30" s="681" customFormat="1" ht="12.6" customHeight="1" x14ac:dyDescent="0.25">
      <c r="A23" s="597" t="s">
        <v>584</v>
      </c>
      <c r="B23" s="866">
        <f>B5+B14</f>
        <v>35021.113850000002</v>
      </c>
      <c r="C23" s="866">
        <f>V23/1000</f>
        <v>53342.764839990006</v>
      </c>
      <c r="D23" s="587">
        <f>D5+D14</f>
        <v>3514845.9512</v>
      </c>
      <c r="E23" s="587">
        <f>E5+E14</f>
        <v>3623450.2880300004</v>
      </c>
      <c r="F23" s="587">
        <f>F5+F14</f>
        <v>4095950.7951499997</v>
      </c>
      <c r="G23" s="867">
        <f>D23+E23+F23</f>
        <v>11234247.03438</v>
      </c>
      <c r="H23" s="587">
        <f>H5+H14</f>
        <v>3823410.7547000004</v>
      </c>
      <c r="I23" s="587">
        <f>I5+I14</f>
        <v>4518634.76963</v>
      </c>
      <c r="J23" s="587">
        <f>J5+J14</f>
        <v>4696284.8392700003</v>
      </c>
      <c r="K23" s="867">
        <f>H23+I23+J23</f>
        <v>13038330.363600001</v>
      </c>
      <c r="L23" s="840">
        <f>G23+K23</f>
        <v>24272577.397980001</v>
      </c>
      <c r="M23" s="587">
        <f>M5+M14</f>
        <v>5013715.2681900002</v>
      </c>
      <c r="N23" s="587">
        <f>N5+N14</f>
        <v>5114419.8219499998</v>
      </c>
      <c r="O23" s="587">
        <f>O5+O14</f>
        <v>5268710.0694500003</v>
      </c>
      <c r="P23" s="867">
        <f>M23+N23+O23</f>
        <v>15396845.15959</v>
      </c>
      <c r="Q23" s="840">
        <f>L23+P23</f>
        <v>39669422.557570003</v>
      </c>
      <c r="R23" s="587">
        <f>R5+R14</f>
        <v>4954188.7213499993</v>
      </c>
      <c r="S23" s="587">
        <f>S5+S14</f>
        <v>4565759.46</v>
      </c>
      <c r="T23" s="587">
        <f>T5+T14</f>
        <v>4153394.1010699994</v>
      </c>
      <c r="U23" s="867">
        <f>R23+S23+T23</f>
        <v>13673342.28242</v>
      </c>
      <c r="V23" s="867">
        <f>G23+K23+P23+U23</f>
        <v>53342764.839990005</v>
      </c>
      <c r="W23" s="571"/>
      <c r="X23" s="571"/>
      <c r="Y23" s="571"/>
      <c r="Z23" s="842"/>
    </row>
    <row r="24" spans="1:30" s="677" customFormat="1" ht="12.6" customHeight="1" x14ac:dyDescent="0.25">
      <c r="A24" s="868"/>
      <c r="B24" s="869">
        <f>('[12]2023'!$EP$19+'[12]2023'!$EQ$19+'[12]2023'!$ES$19+'[12]2023'!$ET$19)/1000</f>
        <v>35021.113850000002</v>
      </c>
      <c r="C24" s="870">
        <f>C23*1.2</f>
        <v>64011.317807988002</v>
      </c>
      <c r="D24" s="862"/>
      <c r="E24" s="862"/>
      <c r="F24" s="862"/>
      <c r="G24" s="863"/>
      <c r="H24" s="862"/>
      <c r="I24" s="587"/>
      <c r="J24" s="587"/>
      <c r="K24" s="863"/>
      <c r="L24" s="840">
        <f t="shared" si="0"/>
        <v>0</v>
      </c>
      <c r="M24" s="587"/>
      <c r="N24" s="587"/>
      <c r="O24" s="587"/>
      <c r="P24" s="863"/>
      <c r="Q24" s="840">
        <f t="shared" si="1"/>
        <v>0</v>
      </c>
      <c r="R24" s="587"/>
      <c r="S24" s="587"/>
      <c r="T24" s="587"/>
      <c r="U24" s="863"/>
      <c r="V24" s="863">
        <f>V14+V5</f>
        <v>53342764.839989997</v>
      </c>
      <c r="W24" s="864"/>
      <c r="X24" s="864"/>
      <c r="Y24" s="864"/>
      <c r="Z24" s="865"/>
    </row>
    <row r="25" spans="1:30" s="729" customFormat="1" ht="12.6" customHeight="1" x14ac:dyDescent="0.25">
      <c r="A25" s="736" t="s">
        <v>585</v>
      </c>
      <c r="B25" s="598">
        <f>('[12]2023'!$ER$19+'[12]2023'!$EU$19)/1000</f>
        <v>7209.0513166666669</v>
      </c>
      <c r="C25" s="836">
        <f>V25/1000</f>
        <v>6584.3899199999996</v>
      </c>
      <c r="D25" s="846">
        <f>([11]м3!D38)*($B$43+$C$43)+[11]м3!D39*$B$44+[11]м3!D40*$C$44</f>
        <v>548699.16</v>
      </c>
      <c r="E25" s="846">
        <f>([11]м3!E38)*($B$43+$C$43)+[11]м3!E39*$B$44+[11]м3!E40*$C$44</f>
        <v>548699.16</v>
      </c>
      <c r="F25" s="846">
        <f>([11]м3!F38)*($B$43+$C$43)+[11]м3!F39*$B$44+[11]м3!F40*$C$44</f>
        <v>548699.16</v>
      </c>
      <c r="G25" s="838">
        <f>D25+E25+F25</f>
        <v>1646097.48</v>
      </c>
      <c r="H25" s="846">
        <f>([11]м3!H38)*($B$43+$C$43)+[11]м3!H39*$B$44+[11]м3!H40*$C$44</f>
        <v>548699.16</v>
      </c>
      <c r="I25" s="846">
        <f>([11]м3!I38)*($B$43+$C$43)+[11]м3!I39*$B$44+[11]м3!I40*$C$44</f>
        <v>548699.16</v>
      </c>
      <c r="J25" s="846">
        <f>([11]м3!J38)*($B$43+$C$43)+[11]м3!J39*$B$44+[11]м3!J40*$C$44</f>
        <v>548699.16</v>
      </c>
      <c r="K25" s="838">
        <f>H25+I25+J25</f>
        <v>1646097.48</v>
      </c>
      <c r="L25" s="840">
        <f>G25+K25</f>
        <v>3292194.96</v>
      </c>
      <c r="M25" s="846">
        <f>([11]м3!M38)*($B$43+$C$43)+[11]м3!M39*$B$44+[11]м3!M40*$C$44</f>
        <v>548699.16</v>
      </c>
      <c r="N25" s="846">
        <f>([11]м3!N38)*($B$43+$C$43)+[11]м3!N39*$B$44+[11]м3!N40*$C$44</f>
        <v>548699.16</v>
      </c>
      <c r="O25" s="846">
        <f>([11]м3!O38)*($B$43+$C$43)+[11]м3!O39*$B$44+[11]м3!O40*$C$44</f>
        <v>548699.16</v>
      </c>
      <c r="P25" s="838">
        <f>M25+N25+O25</f>
        <v>1646097.48</v>
      </c>
      <c r="Q25" s="840">
        <f>L25+P25</f>
        <v>4938292.4399999995</v>
      </c>
      <c r="R25" s="846">
        <f>([11]м3!R38)*($B$43+$C$43)+[11]м3!R39*$B$44+[11]м3!R40*$C$44</f>
        <v>548699.16</v>
      </c>
      <c r="S25" s="846">
        <f>([11]м3!S38)*($B$43+$C$43)+[11]м3!S39*$B$44+[11]м3!S40*$C$44</f>
        <v>548699.16</v>
      </c>
      <c r="T25" s="846">
        <f>([11]м3!T38)*($B$43+$C$43)+[11]м3!T39*$B$44+[11]м3!T40*$C$44</f>
        <v>548699.16</v>
      </c>
      <c r="U25" s="838">
        <f>R25+S25+T25</f>
        <v>1646097.48</v>
      </c>
      <c r="V25" s="838">
        <f>G25+K25+U25+P25</f>
        <v>6584389.9199999999</v>
      </c>
      <c r="W25" s="841"/>
      <c r="X25" s="841">
        <f>[11]м3!W38*(B43+C43)+[11]м3!W39*B44+[11]м3!W40*C44</f>
        <v>6584389.9199999999</v>
      </c>
      <c r="Y25" s="841"/>
      <c r="Z25" s="842"/>
      <c r="AA25" s="871"/>
      <c r="AD25" s="752"/>
    </row>
    <row r="26" spans="1:30" s="729" customFormat="1" ht="12.6" customHeight="1" x14ac:dyDescent="0.25">
      <c r="A26" s="736" t="s">
        <v>586</v>
      </c>
      <c r="B26" s="598">
        <f>('[13]2021'!$DK$26+'[13]2021'!$DK$27)/1000</f>
        <v>0</v>
      </c>
      <c r="C26" s="836">
        <f>V26/1000</f>
        <v>0</v>
      </c>
      <c r="D26" s="846">
        <f>$O41*$P41+$O42*$P42+$O43*$P43</f>
        <v>0</v>
      </c>
      <c r="E26" s="846">
        <f>$O41*$P41+$O42*$P42+$O43*$P43</f>
        <v>0</v>
      </c>
      <c r="F26" s="846">
        <f>$O41*$P41+$O42*$P42+$O43*$P43</f>
        <v>0</v>
      </c>
      <c r="G26" s="838">
        <f>D26+E26+F26</f>
        <v>0</v>
      </c>
      <c r="H26" s="846">
        <f>$O41*$P41+$O42*$P42+$O43*$P43</f>
        <v>0</v>
      </c>
      <c r="I26" s="587"/>
      <c r="J26" s="587"/>
      <c r="K26" s="838">
        <f>H26+I26+J26</f>
        <v>0</v>
      </c>
      <c r="L26" s="840">
        <f>G26+K26</f>
        <v>0</v>
      </c>
      <c r="M26" s="587"/>
      <c r="N26" s="587"/>
      <c r="O26" s="587"/>
      <c r="P26" s="838">
        <f>M26+N26+O26</f>
        <v>0</v>
      </c>
      <c r="Q26" s="840">
        <f>L26+P26</f>
        <v>0</v>
      </c>
      <c r="R26" s="587"/>
      <c r="S26" s="587"/>
      <c r="T26" s="587"/>
      <c r="U26" s="838">
        <f>R26+S26+T26</f>
        <v>0</v>
      </c>
      <c r="V26" s="838">
        <f>G26+K26+U26+P26</f>
        <v>0</v>
      </c>
      <c r="W26" s="841"/>
      <c r="X26" s="841"/>
      <c r="Y26" s="841"/>
      <c r="Z26" s="842"/>
      <c r="AA26" s="871"/>
      <c r="AD26" s="752"/>
    </row>
    <row r="27" spans="1:30" s="739" customFormat="1" ht="12.6" customHeight="1" x14ac:dyDescent="0.25">
      <c r="A27" s="736" t="s">
        <v>587</v>
      </c>
      <c r="B27" s="598">
        <f>'[12]2023'!$EV$22/1000</f>
        <v>0</v>
      </c>
      <c r="C27" s="872">
        <f t="shared" ref="C27:C32" si="2">V27/1000</f>
        <v>1.0242333333333333</v>
      </c>
      <c r="D27" s="846">
        <f>$G42*[11]м3!D44*50%+$G43*[11]м3!D44*50%</f>
        <v>0</v>
      </c>
      <c r="E27" s="846">
        <f>$G42*[11]м3!E44*50%+$G43*[11]м3!E44*50%</f>
        <v>0</v>
      </c>
      <c r="F27" s="846">
        <f>$G42*[11]м3!F44*50%+$G43*[11]м3!F44*50%</f>
        <v>256.05833333333334</v>
      </c>
      <c r="G27" s="838">
        <f t="shared" ref="G27:G32" si="3">D27+E27+F27</f>
        <v>256.05833333333334</v>
      </c>
      <c r="H27" s="846">
        <f>$G42*[11]м3!H44*50%+$G43*[11]м3!H44*50%</f>
        <v>0</v>
      </c>
      <c r="I27" s="587">
        <f>$G42*[11]м3!I44*50%+$G43*[11]м3!I44*50%</f>
        <v>0</v>
      </c>
      <c r="J27" s="587">
        <f>$G42*[11]м3!J44*50%+$G43*[11]м3!J44*50%</f>
        <v>256.05833333333334</v>
      </c>
      <c r="K27" s="838">
        <f t="shared" ref="K27:K33" si="4">H27+I27+J27</f>
        <v>256.05833333333334</v>
      </c>
      <c r="L27" s="840">
        <f t="shared" si="0"/>
        <v>512.11666666666667</v>
      </c>
      <c r="M27" s="587">
        <f>$G42*[11]м3!M44*50%+$G43*[11]м3!M44*50%</f>
        <v>0</v>
      </c>
      <c r="N27" s="587">
        <f>$G42*[11]м3!N44*50%+$G43*[11]м3!N44*50%</f>
        <v>0</v>
      </c>
      <c r="O27" s="587">
        <f>$G42*[11]м3!O44*50%+$G43*[11]м3!O44*50%</f>
        <v>256.05833333333334</v>
      </c>
      <c r="P27" s="838">
        <f t="shared" ref="P27:P33" si="5">M27+N27+O27</f>
        <v>256.05833333333334</v>
      </c>
      <c r="Q27" s="840">
        <f t="shared" si="1"/>
        <v>768.17499999999995</v>
      </c>
      <c r="R27" s="587">
        <f>$G42*[11]м3!R44*50%+$G43*[11]м3!R44*50%</f>
        <v>0</v>
      </c>
      <c r="S27" s="587">
        <f>$G42*[11]м3!S44*50%+$G43*[11]м3!S44*50%</f>
        <v>0</v>
      </c>
      <c r="T27" s="587">
        <f>$G42*[11]м3!T44*50%+$G43*[11]м3!T44*50%</f>
        <v>256.05833333333334</v>
      </c>
      <c r="U27" s="838">
        <f t="shared" ref="U27:U32" si="6">R27+S27+T27</f>
        <v>256.05833333333334</v>
      </c>
      <c r="V27" s="838">
        <f t="shared" ref="V27:V32" si="7">G27+K27+U27+P27</f>
        <v>1024.2333333333333</v>
      </c>
      <c r="W27" s="841"/>
      <c r="X27" s="841"/>
      <c r="Y27" s="841"/>
      <c r="Z27" s="842"/>
      <c r="AA27" s="873"/>
    </row>
    <row r="28" spans="1:30" s="739" customFormat="1" ht="12.6" customHeight="1" x14ac:dyDescent="0.25">
      <c r="A28" s="722" t="s">
        <v>588</v>
      </c>
      <c r="B28" s="598">
        <f>'[12]2023'!$EV$23/1000</f>
        <v>3.4755750000000001</v>
      </c>
      <c r="C28" s="836">
        <f t="shared" si="2"/>
        <v>81.938666666666677</v>
      </c>
      <c r="D28" s="846">
        <f>$K42*[11]м3!D45*50%+$K43*[11]м3!D45*50%</f>
        <v>6401.4583333333339</v>
      </c>
      <c r="E28" s="846">
        <f>$K42*[11]м3!E45*50%+$K43*[11]м3!E45*50%</f>
        <v>7681.75</v>
      </c>
      <c r="F28" s="846">
        <f>$K42*[11]м3!F45*50%+$K43*[11]м3!F45*50%</f>
        <v>6401.4583333333339</v>
      </c>
      <c r="G28" s="838">
        <f t="shared" si="3"/>
        <v>20484.666666666668</v>
      </c>
      <c r="H28" s="846">
        <f>$K42*[11]м3!H45*50%+$K43*[11]м3!H45*50%</f>
        <v>6401.4583333333339</v>
      </c>
      <c r="I28" s="587">
        <f>$K42*[11]м3!I45*50%+$K43*[11]м3!I45*50%</f>
        <v>7681.75</v>
      </c>
      <c r="J28" s="587">
        <f>$K42*[11]м3!J45*50%+$K43*[11]м3!J45*50%</f>
        <v>6401.4583333333339</v>
      </c>
      <c r="K28" s="838">
        <f t="shared" si="4"/>
        <v>20484.666666666668</v>
      </c>
      <c r="L28" s="840">
        <f t="shared" si="0"/>
        <v>40969.333333333336</v>
      </c>
      <c r="M28" s="587">
        <f>$K42*[11]м3!M45*50%+$K43*[11]м3!M45*50%</f>
        <v>6401.4583333333339</v>
      </c>
      <c r="N28" s="587">
        <f>$K42*[11]м3!N45*50%+$K43*[11]м3!N45*50%</f>
        <v>7681.75</v>
      </c>
      <c r="O28" s="587">
        <f>$K42*[11]м3!O45*50%+$K43*[11]м3!O45*50%</f>
        <v>6401.4583333333339</v>
      </c>
      <c r="P28" s="838">
        <f t="shared" si="5"/>
        <v>20484.666666666668</v>
      </c>
      <c r="Q28" s="840">
        <f t="shared" si="1"/>
        <v>61454</v>
      </c>
      <c r="R28" s="587">
        <f>$K42*[11]м3!R45*50%+$K43*[11]м3!R45*50%</f>
        <v>6401.4583333333339</v>
      </c>
      <c r="S28" s="587">
        <f>$K42*[11]м3!S45*50%+$K43*[11]м3!S45*50%</f>
        <v>7681.75</v>
      </c>
      <c r="T28" s="587">
        <f>$K42*[11]м3!T45*50%+$K43*[11]м3!T45*50%</f>
        <v>6401.4583333333339</v>
      </c>
      <c r="U28" s="838">
        <f t="shared" si="6"/>
        <v>20484.666666666668</v>
      </c>
      <c r="V28" s="838">
        <f t="shared" si="7"/>
        <v>81938.666666666672</v>
      </c>
      <c r="W28" s="841"/>
      <c r="X28" s="841"/>
      <c r="Y28" s="841"/>
      <c r="Z28" s="842"/>
      <c r="AA28" s="871"/>
    </row>
    <row r="29" spans="1:30" s="729" customFormat="1" ht="12.6" customHeight="1" x14ac:dyDescent="0.25">
      <c r="A29" s="736" t="s">
        <v>589</v>
      </c>
      <c r="B29" s="598">
        <f>('[12]2023'!$EV$25+'[12]2023'!$EV$26+'[12]2023'!$EV$32)/1000</f>
        <v>79.565658333333346</v>
      </c>
      <c r="C29" s="836">
        <f t="shared" si="2"/>
        <v>98.4</v>
      </c>
      <c r="D29" s="846">
        <v>8200</v>
      </c>
      <c r="E29" s="846">
        <v>8200</v>
      </c>
      <c r="F29" s="846">
        <v>8200</v>
      </c>
      <c r="G29" s="838">
        <f t="shared" si="3"/>
        <v>24600</v>
      </c>
      <c r="H29" s="846">
        <v>8200</v>
      </c>
      <c r="I29" s="587">
        <v>8200</v>
      </c>
      <c r="J29" s="587">
        <v>8200</v>
      </c>
      <c r="K29" s="838">
        <f t="shared" si="4"/>
        <v>24600</v>
      </c>
      <c r="L29" s="840">
        <f t="shared" si="0"/>
        <v>49200</v>
      </c>
      <c r="M29" s="587">
        <v>8200</v>
      </c>
      <c r="N29" s="587">
        <v>8200</v>
      </c>
      <c r="O29" s="587">
        <v>8200</v>
      </c>
      <c r="P29" s="838">
        <f t="shared" si="5"/>
        <v>24600</v>
      </c>
      <c r="Q29" s="840">
        <f t="shared" si="1"/>
        <v>73800</v>
      </c>
      <c r="R29" s="587">
        <v>8200</v>
      </c>
      <c r="S29" s="587">
        <v>8200</v>
      </c>
      <c r="T29" s="587">
        <v>8200</v>
      </c>
      <c r="U29" s="838">
        <f t="shared" si="6"/>
        <v>24600</v>
      </c>
      <c r="V29" s="838">
        <f t="shared" si="7"/>
        <v>98400</v>
      </c>
      <c r="W29" s="841"/>
      <c r="X29" s="841"/>
      <c r="Y29" s="841"/>
      <c r="Z29" s="842"/>
      <c r="AA29" s="874"/>
    </row>
    <row r="30" spans="1:30" s="729" customFormat="1" ht="12.6" hidden="1" customHeight="1" x14ac:dyDescent="0.25">
      <c r="A30" s="736" t="s">
        <v>491</v>
      </c>
      <c r="B30" s="598">
        <v>0</v>
      </c>
      <c r="C30" s="836">
        <f t="shared" si="2"/>
        <v>0</v>
      </c>
      <c r="D30" s="846"/>
      <c r="E30" s="846"/>
      <c r="F30" s="846"/>
      <c r="G30" s="838">
        <f t="shared" si="3"/>
        <v>0</v>
      </c>
      <c r="H30" s="846"/>
      <c r="I30" s="587"/>
      <c r="J30" s="587"/>
      <c r="K30" s="838">
        <f t="shared" si="4"/>
        <v>0</v>
      </c>
      <c r="L30" s="840">
        <f t="shared" si="0"/>
        <v>0</v>
      </c>
      <c r="M30" s="587"/>
      <c r="N30" s="587"/>
      <c r="O30" s="587"/>
      <c r="P30" s="838">
        <f t="shared" si="5"/>
        <v>0</v>
      </c>
      <c r="Q30" s="840">
        <f t="shared" si="1"/>
        <v>0</v>
      </c>
      <c r="R30" s="587"/>
      <c r="S30" s="587"/>
      <c r="T30" s="587"/>
      <c r="U30" s="838">
        <f t="shared" si="6"/>
        <v>0</v>
      </c>
      <c r="V30" s="838">
        <f t="shared" si="7"/>
        <v>0</v>
      </c>
      <c r="W30" s="841"/>
      <c r="X30" s="841"/>
      <c r="Y30" s="841"/>
      <c r="Z30" s="842"/>
      <c r="AA30" s="874"/>
    </row>
    <row r="31" spans="1:30" s="729" customFormat="1" ht="12.6" customHeight="1" x14ac:dyDescent="0.25">
      <c r="A31" s="736" t="s">
        <v>590</v>
      </c>
      <c r="B31" s="598">
        <f>'[12]2023'!$EV$24/1000</f>
        <v>76.980841666666677</v>
      </c>
      <c r="C31" s="836">
        <f t="shared" si="2"/>
        <v>214.6133772543852</v>
      </c>
      <c r="D31" s="846">
        <f>((D7+D16)*1.2*1.5%)*26%</f>
        <v>14380.603180631999</v>
      </c>
      <c r="E31" s="846">
        <f t="shared" ref="E31:F31" si="8">((E7+E16)*1.2*1.5%)*26%</f>
        <v>14668.200527900399</v>
      </c>
      <c r="F31" s="846">
        <f t="shared" si="8"/>
        <v>16868.783327058001</v>
      </c>
      <c r="G31" s="838">
        <f t="shared" si="3"/>
        <v>45917.587035590397</v>
      </c>
      <c r="H31" s="846">
        <f>((H7+H16)*1.2*1.5%)*26%</f>
        <v>15542.321931396002</v>
      </c>
      <c r="I31" s="846">
        <f t="shared" ref="I31:J31" si="9">((I7+I16)*1.2*1.5%)*26%</f>
        <v>18491.909682308396</v>
      </c>
      <c r="J31" s="846">
        <f t="shared" si="9"/>
        <v>19049.429147439601</v>
      </c>
      <c r="K31" s="838">
        <f t="shared" si="4"/>
        <v>53083.660761143998</v>
      </c>
      <c r="L31" s="840">
        <f t="shared" si="0"/>
        <v>99001.247796734388</v>
      </c>
      <c r="M31" s="846">
        <f>((M7+M16)*1.2*1.5%)*26%</f>
        <v>20195.6665116492</v>
      </c>
      <c r="N31" s="846">
        <f t="shared" ref="N31:O31" si="10">((N7+N16)*1.2*1.5%)*26%</f>
        <v>19982.431239965998</v>
      </c>
      <c r="O31" s="846">
        <f t="shared" si="10"/>
        <v>20941.730745858004</v>
      </c>
      <c r="P31" s="838">
        <f t="shared" si="5"/>
        <v>61119.828497473201</v>
      </c>
      <c r="Q31" s="840">
        <f t="shared" si="1"/>
        <v>160121.0762942076</v>
      </c>
      <c r="R31" s="846">
        <f>((R7+R16)*1.2*1.5%)*26%</f>
        <v>19706.323175838002</v>
      </c>
      <c r="S31" s="846">
        <f t="shared" ref="S31:T31" si="11">((S7+S16)*1.2*1.5%)*26%</f>
        <v>18405.355871447999</v>
      </c>
      <c r="T31" s="846">
        <f t="shared" si="11"/>
        <v>16380.621912891598</v>
      </c>
      <c r="U31" s="838">
        <f t="shared" si="6"/>
        <v>54492.300960177599</v>
      </c>
      <c r="V31" s="838">
        <f t="shared" si="7"/>
        <v>214613.37725438521</v>
      </c>
      <c r="W31" s="841"/>
      <c r="X31" s="841"/>
      <c r="Y31" s="841"/>
      <c r="Z31" s="842"/>
      <c r="AA31" s="873"/>
    </row>
    <row r="32" spans="1:30" ht="12.6" customHeight="1" x14ac:dyDescent="0.25">
      <c r="A32" s="875" t="s">
        <v>591</v>
      </c>
      <c r="B32" s="876">
        <f>'[12]2023'!$EV$29/1000</f>
        <v>74.333991666666662</v>
      </c>
      <c r="C32" s="877">
        <f t="shared" si="2"/>
        <v>659.77991500000007</v>
      </c>
      <c r="D32" s="587">
        <f>[11]м3!D49*5%*$U41+[11]м3!D49*20%*$U42+[11]м3!D49*75%*$U43</f>
        <v>43217.025000000001</v>
      </c>
      <c r="E32" s="587">
        <f>[11]м3!E49*5%*$U41+[11]м3!E49*20%*$U42+[11]м3!E49*75%*$U43</f>
        <v>43217.025000000001</v>
      </c>
      <c r="F32" s="587">
        <f>[11]м3!F49*5%*$U41+[11]м3!F49*20%*$U42+[11]м3!F49*75%*$U43</f>
        <v>43217.025000000001</v>
      </c>
      <c r="G32" s="838">
        <f t="shared" si="3"/>
        <v>129651.07500000001</v>
      </c>
      <c r="H32" s="587">
        <f>[11]м3!H49*5%*$U41+[11]м3!H49*20%*$U42+[11]м3!H49*75%*$U43</f>
        <v>50419.862500000003</v>
      </c>
      <c r="I32" s="587">
        <f>[11]м3!I49*5%*$U41+[11]м3!I49*20%*$U42+[11]м3!I49*75%*$U43</f>
        <v>64825.537499999999</v>
      </c>
      <c r="J32" s="587">
        <f>[11]м3!J49*5%*$U41+[11]м3!J49*20%*$U42+[11]м3!J49*75%*$U43</f>
        <v>72028.375</v>
      </c>
      <c r="K32" s="838">
        <f t="shared" si="4"/>
        <v>187273.77499999999</v>
      </c>
      <c r="L32" s="840">
        <f t="shared" si="0"/>
        <v>316924.84999999998</v>
      </c>
      <c r="M32" s="587">
        <f>[11]м3!M49*5%*$U41+[11]м3!M49*20%*$U42+[11]м3!M49*75%*$U43</f>
        <v>72028.375</v>
      </c>
      <c r="N32" s="587">
        <f>[11]м3!N49*5%*$U41+[11]м3!N49*20%*$U42+[11]м3!N49*75%*$U43</f>
        <v>72028.375</v>
      </c>
      <c r="O32" s="587">
        <f>[11]м3!O49*5%*$U41+[11]м3!O49*20%*$U42+[11]м3!O49*75%*$U43</f>
        <v>69147.240000000005</v>
      </c>
      <c r="P32" s="838">
        <f t="shared" si="5"/>
        <v>213203.99</v>
      </c>
      <c r="Q32" s="840">
        <f t="shared" si="1"/>
        <v>530128.84</v>
      </c>
      <c r="R32" s="587">
        <f>[11]м3!R49*5%*$U41+[11]м3!R49*20%*$U42+[11]м3!R49*75%*$U43</f>
        <v>43217.025000000001</v>
      </c>
      <c r="S32" s="587">
        <f>[11]м3!S49*5%*$U41+[11]м3!S49*20%*$U42+[11]м3!S49*75%*$U43</f>
        <v>43217.025000000001</v>
      </c>
      <c r="T32" s="587">
        <f>[11]м3!T49*5%*$U41+[11]м3!T49*20%*$U42+[11]м3!T49*75%*$U43</f>
        <v>43217.025000000001</v>
      </c>
      <c r="U32" s="838">
        <f t="shared" si="6"/>
        <v>129651.07500000001</v>
      </c>
      <c r="V32" s="838">
        <f t="shared" si="7"/>
        <v>659779.91500000004</v>
      </c>
      <c r="W32" s="841"/>
      <c r="X32" s="841"/>
      <c r="Y32" s="841"/>
      <c r="Z32" s="842"/>
      <c r="AA32" s="678"/>
    </row>
    <row r="33" spans="1:30" s="680" customFormat="1" ht="12.6" customHeight="1" x14ac:dyDescent="0.25">
      <c r="A33" s="878" t="s">
        <v>71</v>
      </c>
      <c r="B33" s="598"/>
      <c r="C33" s="866">
        <f>V33/1000</f>
        <v>14733.1</v>
      </c>
      <c r="D33" s="587">
        <f>1170000</f>
        <v>1170000</v>
      </c>
      <c r="E33" s="587">
        <f t="shared" ref="E33:F33" si="12">1170000</f>
        <v>1170000</v>
      </c>
      <c r="F33" s="587">
        <f t="shared" si="12"/>
        <v>1170000</v>
      </c>
      <c r="G33" s="867">
        <f>D33+E33+F33</f>
        <v>3510000</v>
      </c>
      <c r="H33" s="587">
        <f t="shared" ref="H33" si="13">1170000</f>
        <v>1170000</v>
      </c>
      <c r="I33" s="587">
        <v>1277000</v>
      </c>
      <c r="J33" s="587">
        <v>1250000</v>
      </c>
      <c r="K33" s="867">
        <f t="shared" si="4"/>
        <v>3697000</v>
      </c>
      <c r="L33" s="867">
        <f t="shared" si="0"/>
        <v>7207000</v>
      </c>
      <c r="M33" s="587">
        <v>1250000</v>
      </c>
      <c r="N33" s="587">
        <v>1250000</v>
      </c>
      <c r="O33" s="587">
        <v>1276100</v>
      </c>
      <c r="P33" s="867">
        <f t="shared" si="5"/>
        <v>3776100</v>
      </c>
      <c r="Q33" s="867">
        <f t="shared" si="1"/>
        <v>10983100</v>
      </c>
      <c r="R33" s="587">
        <v>1250000</v>
      </c>
      <c r="S33" s="587">
        <v>1250000</v>
      </c>
      <c r="T33" s="587">
        <v>1250000</v>
      </c>
      <c r="U33" s="867">
        <f>R33+S33+T33</f>
        <v>3750000</v>
      </c>
      <c r="V33" s="867">
        <f>G33+K33+U33+P33</f>
        <v>14733100</v>
      </c>
      <c r="W33" s="571"/>
      <c r="X33" s="568">
        <f>[11]ФП!F78</f>
        <v>0.45680165853184462</v>
      </c>
      <c r="Y33" s="571">
        <f>X33/12</f>
        <v>3.8066804877653716E-2</v>
      </c>
      <c r="Z33" s="842"/>
      <c r="AA33" s="879"/>
    </row>
    <row r="34" spans="1:30" s="110" customFormat="1" ht="12.6" customHeight="1" x14ac:dyDescent="0.25">
      <c r="A34" s="880" t="s">
        <v>592</v>
      </c>
      <c r="B34" s="598">
        <f t="shared" ref="B34:K34" si="14">SUM(B25:B33)</f>
        <v>7443.4073833333332</v>
      </c>
      <c r="C34" s="598">
        <f t="shared" si="14"/>
        <v>22373.246112254386</v>
      </c>
      <c r="D34" s="218">
        <f>SUM(D25:D33)</f>
        <v>1790898.2465139655</v>
      </c>
      <c r="E34" s="218">
        <f t="shared" si="14"/>
        <v>1792466.1355279004</v>
      </c>
      <c r="F34" s="218">
        <f t="shared" si="14"/>
        <v>1793642.4849937246</v>
      </c>
      <c r="G34" s="218">
        <f t="shared" si="14"/>
        <v>5377006.8670355901</v>
      </c>
      <c r="H34" s="218">
        <f t="shared" si="14"/>
        <v>1799262.8027647296</v>
      </c>
      <c r="I34" s="218">
        <f t="shared" si="14"/>
        <v>1924898.3571823086</v>
      </c>
      <c r="J34" s="218">
        <f t="shared" si="14"/>
        <v>1904634.4808141063</v>
      </c>
      <c r="K34" s="218">
        <f t="shared" si="14"/>
        <v>5628795.6407611445</v>
      </c>
      <c r="L34" s="840">
        <f t="shared" si="0"/>
        <v>11005802.507796735</v>
      </c>
      <c r="M34" s="218">
        <f>SUM(M25:M33)</f>
        <v>1905524.6598449824</v>
      </c>
      <c r="N34" s="218">
        <f>SUM(N25:N33)</f>
        <v>1906591.716239966</v>
      </c>
      <c r="O34" s="218">
        <f>SUM(O25:O33)</f>
        <v>1929745.6474125248</v>
      </c>
      <c r="P34" s="218">
        <f>SUM(P25:P33)</f>
        <v>5741862.0234974734</v>
      </c>
      <c r="Q34" s="840">
        <f t="shared" si="1"/>
        <v>16747664.531294208</v>
      </c>
      <c r="R34" s="218">
        <f>SUM(R25:R33)</f>
        <v>1876223.9665091713</v>
      </c>
      <c r="S34" s="218">
        <f>SUM(S25:S33)</f>
        <v>1876203.2908714479</v>
      </c>
      <c r="T34" s="218">
        <f>SUM(T25:T33)</f>
        <v>1873154.3235795584</v>
      </c>
      <c r="U34" s="218">
        <f>SUM(U25:U33)</f>
        <v>5625581.5809601778</v>
      </c>
      <c r="V34" s="218">
        <f>SUM(V25:V33)</f>
        <v>22373246.112254385</v>
      </c>
      <c r="W34" s="568"/>
      <c r="X34" s="568"/>
      <c r="Y34" s="568"/>
      <c r="Z34" s="568"/>
    </row>
    <row r="35" spans="1:30" s="828" customFormat="1" ht="12.6" customHeight="1" x14ac:dyDescent="0.2">
      <c r="A35" s="881">
        <f>C34*1.2</f>
        <v>26847.895334705263</v>
      </c>
      <c r="B35" s="598"/>
      <c r="C35" s="626">
        <f>C36+C37</f>
        <v>5887.0358388999994</v>
      </c>
      <c r="D35" s="626">
        <f>D36+D37</f>
        <v>195910.06999999998</v>
      </c>
      <c r="E35" s="626">
        <f t="shared" ref="E35:M35" si="15">E36+E37</f>
        <v>289396.20999999996</v>
      </c>
      <c r="F35" s="626">
        <f t="shared" si="15"/>
        <v>194785.06999999998</v>
      </c>
      <c r="G35" s="626">
        <f t="shared" si="15"/>
        <v>680091.35</v>
      </c>
      <c r="H35" s="626">
        <f t="shared" si="15"/>
        <v>497012.92760399997</v>
      </c>
      <c r="I35" s="218">
        <f t="shared" si="15"/>
        <v>457583.98634399998</v>
      </c>
      <c r="J35" s="218">
        <f t="shared" si="15"/>
        <v>363243.52168799995</v>
      </c>
      <c r="K35" s="626">
        <f t="shared" si="15"/>
        <v>1317840.435636</v>
      </c>
      <c r="L35" s="626">
        <f t="shared" si="15"/>
        <v>1997931.7856359999</v>
      </c>
      <c r="M35" s="218">
        <f t="shared" si="15"/>
        <v>840930.46562399995</v>
      </c>
      <c r="N35" s="218">
        <f>N36+N37</f>
        <v>1510200.908056</v>
      </c>
      <c r="O35" s="218">
        <f t="shared" ref="O35:V35" si="16">O36+O37</f>
        <v>662857.35109599994</v>
      </c>
      <c r="P35" s="626">
        <f t="shared" si="16"/>
        <v>3013988.7247759998</v>
      </c>
      <c r="Q35" s="626">
        <f t="shared" si="16"/>
        <v>5011920.5104120001</v>
      </c>
      <c r="R35" s="218">
        <f t="shared" si="16"/>
        <v>390973.608488</v>
      </c>
      <c r="S35" s="218">
        <f t="shared" si="16"/>
        <v>289380.64999999997</v>
      </c>
      <c r="T35" s="218">
        <f t="shared" si="16"/>
        <v>194761.06999999998</v>
      </c>
      <c r="U35" s="626">
        <f t="shared" si="16"/>
        <v>875115.32848799997</v>
      </c>
      <c r="V35" s="626">
        <f t="shared" si="16"/>
        <v>5887035.8388999999</v>
      </c>
      <c r="W35" s="882"/>
      <c r="Y35" s="587">
        <f>1520000-248000</f>
        <v>1272000</v>
      </c>
      <c r="Z35" s="882"/>
    </row>
    <row r="36" spans="1:30" s="729" customFormat="1" ht="25.5" customHeight="1" x14ac:dyDescent="0.25">
      <c r="A36" s="722" t="s">
        <v>593</v>
      </c>
      <c r="B36" s="598">
        <f>('[12]2023'!$EV$63)/1000-B37</f>
        <v>2357.0384000000008</v>
      </c>
      <c r="C36" s="872">
        <f>V36/1000</f>
        <v>2256.18084</v>
      </c>
      <c r="D36" s="846">
        <f>[11]Аморт!$I45/12</f>
        <v>188015.06999999998</v>
      </c>
      <c r="E36" s="846">
        <f>[11]Аморт!$I45/12</f>
        <v>188015.06999999998</v>
      </c>
      <c r="F36" s="846">
        <f>[11]Аморт!$I45/12</f>
        <v>188015.06999999998</v>
      </c>
      <c r="G36" s="838">
        <f>D36+E36+F36</f>
        <v>564045.21</v>
      </c>
      <c r="H36" s="846">
        <f>[11]Аморт!$I45/12</f>
        <v>188015.06999999998</v>
      </c>
      <c r="I36" s="587">
        <f>[11]Аморт!$I45/12</f>
        <v>188015.06999999998</v>
      </c>
      <c r="J36" s="587">
        <f>[11]Аморт!$I45/12</f>
        <v>188015.06999999998</v>
      </c>
      <c r="K36" s="838">
        <f>H36+I36+J36</f>
        <v>564045.21</v>
      </c>
      <c r="L36" s="840">
        <f t="shared" si="0"/>
        <v>1128090.42</v>
      </c>
      <c r="M36" s="587">
        <f>[11]Аморт!$I45/12</f>
        <v>188015.06999999998</v>
      </c>
      <c r="N36" s="587">
        <f>[11]Аморт!$I45/12</f>
        <v>188015.06999999998</v>
      </c>
      <c r="O36" s="587">
        <f>[11]Аморт!$I45/12</f>
        <v>188015.06999999998</v>
      </c>
      <c r="P36" s="838">
        <f>M36+N36+O36</f>
        <v>564045.21</v>
      </c>
      <c r="Q36" s="840">
        <f t="shared" si="1"/>
        <v>1692135.63</v>
      </c>
      <c r="R36" s="587">
        <f>[11]Аморт!$I45/12</f>
        <v>188015.06999999998</v>
      </c>
      <c r="S36" s="587">
        <f>[11]Аморт!$I45/12</f>
        <v>188015.06999999998</v>
      </c>
      <c r="T36" s="587">
        <f>[11]Аморт!$I45/12</f>
        <v>188015.06999999998</v>
      </c>
      <c r="U36" s="838">
        <f>R36+S36+T36</f>
        <v>564045.21</v>
      </c>
      <c r="V36" s="838">
        <f>G36+K36+U36+P36</f>
        <v>2256180.84</v>
      </c>
      <c r="W36" s="841"/>
      <c r="X36" s="841">
        <f>V36+X37</f>
        <v>5887035.8390999995</v>
      </c>
      <c r="Y36" s="841"/>
      <c r="Z36" s="842"/>
      <c r="AA36" s="874"/>
    </row>
    <row r="37" spans="1:30" s="729" customFormat="1" ht="81.75" customHeight="1" x14ac:dyDescent="0.25">
      <c r="A37" s="722" t="s">
        <v>594</v>
      </c>
      <c r="B37" s="598">
        <f>('[12]2023'!$EV$52)/1000</f>
        <v>240.75729000000001</v>
      </c>
      <c r="C37" s="836">
        <f>V37/1000</f>
        <v>3630.8549988999998</v>
      </c>
      <c r="D37" s="846">
        <f>[11]ливн!O121</f>
        <v>7895</v>
      </c>
      <c r="E37" s="846">
        <f>[11]ливн!P121</f>
        <v>101381.14</v>
      </c>
      <c r="F37" s="846">
        <f>[11]ливн!Q121</f>
        <v>6770</v>
      </c>
      <c r="G37" s="838">
        <f>D37+E37+F37</f>
        <v>116046.14</v>
      </c>
      <c r="H37" s="846">
        <f>[11]ливн!S121</f>
        <v>308997.85760400002</v>
      </c>
      <c r="I37" s="846">
        <f>[11]ливн!T121</f>
        <v>269568.91634399997</v>
      </c>
      <c r="J37" s="846">
        <f>[11]ливн!U121</f>
        <v>175228.451688</v>
      </c>
      <c r="K37" s="838">
        <f>H37+I37+J37</f>
        <v>753795.22563600005</v>
      </c>
      <c r="L37" s="840">
        <f>G37+K37</f>
        <v>869841.36563600006</v>
      </c>
      <c r="M37" s="846">
        <f>[11]ливн!X121</f>
        <v>652915.395624</v>
      </c>
      <c r="N37" s="846">
        <f>[11]ливн!Y121</f>
        <v>1322185.8380559999</v>
      </c>
      <c r="O37" s="846">
        <f>[11]ливн!Z121</f>
        <v>474842.28109599999</v>
      </c>
      <c r="P37" s="838">
        <f>M37+N37+O37</f>
        <v>2449943.5147759998</v>
      </c>
      <c r="Q37" s="840">
        <f>L37+P37</f>
        <v>3319784.8804119998</v>
      </c>
      <c r="R37" s="846">
        <f>[11]ливн!AC121</f>
        <v>202958.53848799999</v>
      </c>
      <c r="S37" s="846">
        <f>[11]ливн!AD121</f>
        <v>101365.57999999997</v>
      </c>
      <c r="T37" s="846">
        <f>[11]ливн!AE121</f>
        <v>6746</v>
      </c>
      <c r="U37" s="838">
        <f>R37+S37+T37</f>
        <v>311070.11848799995</v>
      </c>
      <c r="V37" s="838">
        <f>G37+K37+U37+P37</f>
        <v>3630854.9989</v>
      </c>
      <c r="W37" s="841"/>
      <c r="X37" s="841">
        <f>[11]ливн!G121</f>
        <v>3630854.9991000001</v>
      </c>
      <c r="Y37" s="841"/>
      <c r="Z37" s="842"/>
      <c r="AA37" s="874"/>
    </row>
    <row r="38" spans="1:30" s="4" customFormat="1" ht="12.6" customHeight="1" x14ac:dyDescent="0.2">
      <c r="A38" s="880" t="s">
        <v>595</v>
      </c>
      <c r="B38" s="598">
        <f>B5+B14+B34+B36+B37</f>
        <v>45062.316923333332</v>
      </c>
      <c r="C38" s="593">
        <f t="shared" ref="C38:V38" si="17">C5+C14+C34+C36+C37</f>
        <v>81603.046791144385</v>
      </c>
      <c r="D38" s="593">
        <f t="shared" si="17"/>
        <v>5501654.2677139658</v>
      </c>
      <c r="E38" s="593">
        <f t="shared" si="17"/>
        <v>5705312.6335579008</v>
      </c>
      <c r="F38" s="593">
        <f t="shared" si="17"/>
        <v>6084378.3501437251</v>
      </c>
      <c r="G38" s="593">
        <f t="shared" si="17"/>
        <v>17291345.251415592</v>
      </c>
      <c r="H38" s="593">
        <f t="shared" si="17"/>
        <v>6119686.4850687301</v>
      </c>
      <c r="I38" s="218">
        <f t="shared" si="17"/>
        <v>6901117.1131563094</v>
      </c>
      <c r="J38" s="218">
        <f t="shared" si="17"/>
        <v>6964162.8417721065</v>
      </c>
      <c r="K38" s="593">
        <f t="shared" si="17"/>
        <v>19984966.439997148</v>
      </c>
      <c r="L38" s="593">
        <f t="shared" si="17"/>
        <v>37276311.691412739</v>
      </c>
      <c r="M38" s="218">
        <f t="shared" si="17"/>
        <v>7760170.3936589826</v>
      </c>
      <c r="N38" s="218">
        <f t="shared" si="17"/>
        <v>8531212.4462459665</v>
      </c>
      <c r="O38" s="218">
        <f t="shared" si="17"/>
        <v>7861313.0679585254</v>
      </c>
      <c r="P38" s="593">
        <f t="shared" si="17"/>
        <v>24152695.907863475</v>
      </c>
      <c r="Q38" s="593">
        <f t="shared" si="17"/>
        <v>61429007.599276207</v>
      </c>
      <c r="R38" s="218">
        <f t="shared" si="17"/>
        <v>7221386.2963471701</v>
      </c>
      <c r="S38" s="218">
        <f t="shared" si="17"/>
        <v>6731343.4008714482</v>
      </c>
      <c r="T38" s="218">
        <f t="shared" si="17"/>
        <v>6221309.4946495583</v>
      </c>
      <c r="U38" s="593">
        <f t="shared" si="17"/>
        <v>20174039.191868175</v>
      </c>
      <c r="V38" s="593">
        <f t="shared" si="17"/>
        <v>81603046.791144386</v>
      </c>
      <c r="W38" s="883"/>
      <c r="X38" s="883"/>
      <c r="Y38" s="883"/>
      <c r="Z38" s="568"/>
    </row>
    <row r="39" spans="1:30" s="674" customFormat="1" ht="12.6" customHeight="1" x14ac:dyDescent="0.2">
      <c r="A39" s="884"/>
      <c r="B39" s="885">
        <f>'[14]2022'!$EW$64/1000</f>
        <v>41487.03277000002</v>
      </c>
      <c r="C39" s="886"/>
      <c r="D39" s="128"/>
      <c r="E39" s="128"/>
      <c r="F39" s="128"/>
      <c r="G39" s="128"/>
      <c r="H39" s="128"/>
      <c r="I39" s="128"/>
      <c r="J39" s="128"/>
      <c r="K39" s="128"/>
      <c r="L39" s="128"/>
      <c r="M39" s="128"/>
      <c r="N39" s="128"/>
      <c r="O39" s="128"/>
      <c r="P39" s="128"/>
      <c r="Q39" s="128"/>
      <c r="R39" s="128"/>
      <c r="S39" s="128"/>
      <c r="T39" s="128"/>
      <c r="U39" s="128"/>
      <c r="V39" s="128"/>
      <c r="W39" s="128"/>
      <c r="X39" s="128"/>
      <c r="Y39" s="128"/>
    </row>
    <row r="40" spans="1:30" ht="33.75" x14ac:dyDescent="0.2">
      <c r="A40" s="887" t="s">
        <v>596</v>
      </c>
      <c r="B40" s="888" t="s">
        <v>597</v>
      </c>
      <c r="C40" s="889" t="s">
        <v>598</v>
      </c>
      <c r="D40" s="890"/>
      <c r="E40" s="891"/>
      <c r="F40" s="892"/>
      <c r="G40" s="889" t="s">
        <v>599</v>
      </c>
      <c r="H40" s="893"/>
      <c r="I40" s="894"/>
      <c r="J40" s="894"/>
      <c r="K40" s="889" t="s">
        <v>600</v>
      </c>
      <c r="L40" s="895"/>
      <c r="M40" s="896"/>
      <c r="N40" s="897">
        <f>SUM(N41:N43)</f>
        <v>0</v>
      </c>
      <c r="O40" s="897">
        <f>SUM(O41:O43)</f>
        <v>0</v>
      </c>
      <c r="P40" s="898" t="s">
        <v>601</v>
      </c>
      <c r="Q40" s="895"/>
      <c r="R40" s="899" t="s">
        <v>602</v>
      </c>
      <c r="T40" s="900" t="s">
        <v>603</v>
      </c>
      <c r="U40" s="889" t="s">
        <v>604</v>
      </c>
      <c r="V40" s="898" t="s">
        <v>605</v>
      </c>
      <c r="W40" s="735"/>
      <c r="X40" s="735"/>
      <c r="Y40" s="735"/>
      <c r="AA40" s="678"/>
      <c r="AD40" s="901"/>
    </row>
    <row r="41" spans="1:30" x14ac:dyDescent="0.2">
      <c r="A41" s="638" t="s">
        <v>606</v>
      </c>
      <c r="B41" s="902">
        <f>'[15]Стр порівн ЦВВ'!$E$49</f>
        <v>25.55</v>
      </c>
      <c r="C41" s="903">
        <f>'[15]Стр порівн ЦВВ'!$K$49</f>
        <v>28.58</v>
      </c>
      <c r="D41" s="674">
        <f>(B41+C41)*1.2</f>
        <v>64.955999999999989</v>
      </c>
      <c r="E41" s="678"/>
      <c r="F41" s="904"/>
      <c r="G41" s="903"/>
      <c r="H41" s="905"/>
      <c r="I41" s="681"/>
      <c r="J41" s="681"/>
      <c r="K41" s="903"/>
      <c r="L41" s="906"/>
      <c r="M41" s="907">
        <v>0</v>
      </c>
      <c r="N41" s="666">
        <f>[11]м3!D$43*T41</f>
        <v>0</v>
      </c>
      <c r="O41" s="666">
        <f>N41</f>
        <v>0</v>
      </c>
      <c r="P41" s="908">
        <f>181.37/1.2</f>
        <v>151.14166666666668</v>
      </c>
      <c r="Q41" s="906"/>
      <c r="R41" s="817">
        <f>O41*P41*12</f>
        <v>0</v>
      </c>
      <c r="T41" s="909">
        <v>0.95109170305676904</v>
      </c>
      <c r="U41" s="902">
        <f>1262.7/1.2</f>
        <v>1052.25</v>
      </c>
      <c r="V41" s="908">
        <f>(116.51+115.92)/1.2</f>
        <v>193.69166666666669</v>
      </c>
      <c r="W41" s="110"/>
      <c r="X41" s="110"/>
      <c r="Y41" s="110"/>
    </row>
    <row r="42" spans="1:30" x14ac:dyDescent="0.2">
      <c r="A42" s="638"/>
      <c r="B42" s="902"/>
      <c r="C42" s="903">
        <f>C41</f>
        <v>28.58</v>
      </c>
      <c r="D42" s="678"/>
      <c r="E42" s="678"/>
      <c r="F42" s="910"/>
      <c r="G42" s="903">
        <f>285.32/1.2</f>
        <v>237.76666666666668</v>
      </c>
      <c r="H42" s="678"/>
      <c r="I42" s="681"/>
      <c r="J42" s="681"/>
      <c r="K42" s="903">
        <f>285.32/1.2</f>
        <v>237.76666666666668</v>
      </c>
      <c r="L42" s="906"/>
      <c r="M42" s="907">
        <v>0</v>
      </c>
      <c r="N42" s="666">
        <f>[11]м3!D$43*T42</f>
        <v>0</v>
      </c>
      <c r="O42" s="666">
        <f>N42</f>
        <v>0</v>
      </c>
      <c r="P42" s="908">
        <f>224.55/1.2</f>
        <v>187.12500000000003</v>
      </c>
      <c r="Q42" s="906"/>
      <c r="R42" s="817">
        <f>O42*P42*12</f>
        <v>0</v>
      </c>
      <c r="T42" s="909">
        <v>6.9868995633187774E-3</v>
      </c>
      <c r="U42" s="903">
        <f>1563.33/1.2</f>
        <v>1302.7750000000001</v>
      </c>
      <c r="V42" s="908">
        <f>(144.24+143.52)/1.2</f>
        <v>239.8</v>
      </c>
      <c r="W42" s="110"/>
      <c r="X42" s="110"/>
      <c r="Y42" s="110"/>
      <c r="AD42" s="901"/>
    </row>
    <row r="43" spans="1:30" ht="18.75" customHeight="1" x14ac:dyDescent="0.2">
      <c r="A43" s="911" t="s">
        <v>607</v>
      </c>
      <c r="B43" s="902">
        <f>'[15]АП розб'!$L$55</f>
        <v>22.52</v>
      </c>
      <c r="C43" s="902">
        <f>'[15]АП розб'!$N$55</f>
        <v>17.48</v>
      </c>
      <c r="D43" s="674">
        <f>(B43+C43)*1.2</f>
        <v>48</v>
      </c>
      <c r="E43" s="814">
        <f>'[15]АП розб'!$L$57+'[15]АП розб'!$N$57</f>
        <v>48</v>
      </c>
      <c r="F43" s="912"/>
      <c r="G43" s="913">
        <f>329.22/1.2</f>
        <v>274.35000000000002</v>
      </c>
      <c r="H43" s="678"/>
      <c r="I43" s="681"/>
      <c r="J43" s="681"/>
      <c r="K43" s="913">
        <f>329.22/1.2</f>
        <v>274.35000000000002</v>
      </c>
      <c r="L43" s="914"/>
      <c r="M43" s="907">
        <v>0</v>
      </c>
      <c r="N43" s="666">
        <f>[11]м3!D$43*T43</f>
        <v>0</v>
      </c>
      <c r="O43" s="666">
        <f>N43</f>
        <v>0</v>
      </c>
      <c r="P43" s="915">
        <f>259.09/1.2</f>
        <v>215.90833333333333</v>
      </c>
      <c r="Q43" s="914"/>
      <c r="R43" s="817">
        <f>O43*P43*12</f>
        <v>0</v>
      </c>
      <c r="T43" s="909">
        <v>4.1921397379912663E-2</v>
      </c>
      <c r="U43" s="913">
        <f>1803.84/1.2</f>
        <v>1503.2</v>
      </c>
      <c r="V43" s="915">
        <f>(166.44+165.6)/1.2</f>
        <v>276.7</v>
      </c>
      <c r="W43" s="110"/>
      <c r="X43" s="110"/>
      <c r="Y43" s="916"/>
    </row>
    <row r="44" spans="1:30" x14ac:dyDescent="0.2">
      <c r="A44" s="911" t="s">
        <v>608</v>
      </c>
      <c r="B44" s="902">
        <f>'[15]АП розб'!$Q$55</f>
        <v>36.99</v>
      </c>
      <c r="C44" s="902">
        <f>'[15]АП розб'!$S$55</f>
        <v>21.16</v>
      </c>
      <c r="D44" s="674">
        <f>(B44+C44)*1.2</f>
        <v>69.78</v>
      </c>
      <c r="E44" s="917">
        <f>'[15]АП розб'!$Q$57+'[15]АП розб'!$S$57</f>
        <v>69.78</v>
      </c>
      <c r="F44" s="918"/>
      <c r="G44" s="910"/>
      <c r="H44" s="919"/>
      <c r="I44" s="920"/>
      <c r="J44" s="920"/>
      <c r="K44" s="910"/>
      <c r="L44" s="921"/>
      <c r="M44" s="922"/>
      <c r="N44" s="922"/>
      <c r="O44" s="923"/>
      <c r="P44" s="904"/>
      <c r="Q44" s="921"/>
      <c r="R44" s="923"/>
      <c r="S44" s="638"/>
      <c r="T44" s="638"/>
      <c r="U44" s="904"/>
      <c r="V44" s="904"/>
      <c r="W44" s="110"/>
      <c r="X44" s="110"/>
      <c r="Y44" s="110"/>
    </row>
    <row r="45" spans="1:30" x14ac:dyDescent="0.2">
      <c r="A45" s="924"/>
      <c r="B45" s="902"/>
      <c r="C45" s="925"/>
      <c r="D45" s="674"/>
      <c r="E45" s="926"/>
      <c r="F45" s="927"/>
      <c r="G45" s="910"/>
      <c r="H45" s="919"/>
      <c r="I45" s="920"/>
      <c r="J45" s="920"/>
      <c r="K45" s="910"/>
      <c r="L45" s="921"/>
      <c r="M45" s="922"/>
      <c r="N45" s="922">
        <v>0</v>
      </c>
      <c r="O45" s="923"/>
      <c r="P45" s="904"/>
      <c r="Q45" s="921"/>
      <c r="R45" s="923">
        <f>SUM(R41:R43)</f>
        <v>0</v>
      </c>
      <c r="S45" s="638"/>
      <c r="T45" s="928">
        <f>SUM(T41:T43)</f>
        <v>1.0000000000000004</v>
      </c>
      <c r="U45" s="904"/>
      <c r="V45" s="904"/>
      <c r="W45" s="110"/>
      <c r="X45" s="110"/>
      <c r="Y45" s="110"/>
    </row>
    <row r="46" spans="1:30" x14ac:dyDescent="0.2">
      <c r="A46" s="929"/>
      <c r="B46" s="902"/>
      <c r="C46" s="925"/>
      <c r="D46" s="674"/>
      <c r="E46" s="930"/>
      <c r="F46" s="918"/>
      <c r="G46" s="910"/>
      <c r="H46" s="919"/>
      <c r="I46" s="920"/>
      <c r="J46" s="920"/>
      <c r="K46" s="910"/>
      <c r="L46" s="921"/>
      <c r="M46" s="922"/>
      <c r="N46" s="922"/>
      <c r="O46" s="923"/>
      <c r="P46" s="904"/>
      <c r="Q46" s="921"/>
      <c r="R46" s="923"/>
      <c r="S46" s="638"/>
      <c r="T46" s="638"/>
      <c r="U46" s="904"/>
      <c r="V46" s="904"/>
      <c r="W46" s="110"/>
      <c r="X46" s="110"/>
      <c r="Y46" s="110"/>
    </row>
    <row r="47" spans="1:30" s="678" customFormat="1" ht="34.15" customHeight="1" x14ac:dyDescent="0.2">
      <c r="F47" s="931"/>
      <c r="G47" s="931"/>
      <c r="H47" s="931"/>
      <c r="I47" s="695"/>
      <c r="J47" s="695"/>
      <c r="L47" s="674"/>
      <c r="M47" s="907"/>
      <c r="N47" s="907"/>
      <c r="O47" s="932"/>
      <c r="P47" s="931"/>
      <c r="Q47" s="674"/>
      <c r="R47" s="932"/>
      <c r="S47" s="668"/>
      <c r="T47" s="668"/>
      <c r="U47" s="110"/>
      <c r="V47" s="110"/>
      <c r="W47" s="110"/>
      <c r="X47" s="110"/>
      <c r="Y47" s="110"/>
      <c r="Z47" s="681"/>
    </row>
    <row r="48" spans="1:30" s="678" customFormat="1" x14ac:dyDescent="0.2">
      <c r="F48" s="931"/>
      <c r="G48" s="931"/>
      <c r="H48" s="931"/>
      <c r="I48" s="695"/>
      <c r="J48" s="695"/>
      <c r="L48" s="674"/>
      <c r="M48" s="907"/>
      <c r="N48" s="932"/>
      <c r="O48" s="932"/>
      <c r="P48" s="931"/>
      <c r="Q48" s="674"/>
      <c r="R48" s="932"/>
      <c r="S48" s="668"/>
      <c r="T48" s="668"/>
      <c r="U48" s="110"/>
      <c r="V48" s="110"/>
      <c r="W48" s="110"/>
      <c r="X48" s="110"/>
      <c r="Y48" s="110"/>
      <c r="Z48" s="681"/>
    </row>
    <row r="49" spans="1:27" s="678" customFormat="1" x14ac:dyDescent="0.2">
      <c r="B49" s="148"/>
      <c r="C49" s="4"/>
      <c r="D49" s="933"/>
      <c r="E49" s="931"/>
      <c r="F49" s="931"/>
      <c r="G49" s="931"/>
      <c r="H49" s="931"/>
      <c r="I49" s="695">
        <f>1060*5%*67.92+1060*50%*97.03+1060*45%*71.16</f>
        <v>88968.98000000001</v>
      </c>
      <c r="J49" s="695"/>
      <c r="K49" s="659"/>
      <c r="L49" s="657"/>
      <c r="M49" s="934"/>
      <c r="N49" s="934"/>
      <c r="O49" s="934"/>
      <c r="P49" s="659"/>
      <c r="Q49" s="657"/>
      <c r="R49" s="934"/>
      <c r="S49" s="934">
        <f>(S20+S27+S28+S31+S26+S32)*1.2</f>
        <v>83164.957045737596</v>
      </c>
      <c r="T49" s="934">
        <f>(T20+T27+T28+T31+T26+T32)*1.2</f>
        <v>79506.196295469927</v>
      </c>
      <c r="U49" s="659">
        <f>(U20+U27+U28+U31+U26+U32)*1.2</f>
        <v>245860.92115221312</v>
      </c>
      <c r="V49" s="659">
        <f>(V20+V27+V28+V31+V26+V32)*1.2</f>
        <v>1148827.4307052621</v>
      </c>
      <c r="W49" s="659"/>
      <c r="X49" s="659"/>
      <c r="Y49" s="659"/>
      <c r="Z49" s="681"/>
    </row>
    <row r="50" spans="1:27" s="631" customFormat="1" ht="15" x14ac:dyDescent="0.25">
      <c r="A50" s="802" t="s">
        <v>494</v>
      </c>
      <c r="B50" s="935"/>
      <c r="C50" s="804"/>
      <c r="D50" s="804"/>
      <c r="E50" s="936"/>
      <c r="F50" s="804"/>
      <c r="H50" s="803"/>
      <c r="J50" s="806"/>
      <c r="M50" s="806"/>
      <c r="N50" s="806">
        <v>47.75</v>
      </c>
      <c r="O50" s="806"/>
      <c r="P50" s="795" t="s">
        <v>569</v>
      </c>
      <c r="R50" s="806"/>
      <c r="S50" s="806"/>
      <c r="T50" s="806"/>
      <c r="U50" s="806"/>
      <c r="V50" s="806"/>
      <c r="W50" s="806"/>
      <c r="X50" s="806"/>
      <c r="Y50" s="806"/>
      <c r="AA50" s="937"/>
    </row>
    <row r="51" spans="1:27" s="678" customFormat="1" x14ac:dyDescent="0.2">
      <c r="B51" s="148"/>
      <c r="C51" s="659">
        <f>(C16+C7)*1.2</f>
        <v>55029.071090867998</v>
      </c>
      <c r="D51" s="815">
        <f>C51*0.8%*82%</f>
        <v>360.99070635609405</v>
      </c>
      <c r="E51" s="676"/>
      <c r="F51" s="676"/>
      <c r="G51" s="676"/>
      <c r="H51" s="148"/>
      <c r="I51" s="695"/>
      <c r="J51" s="695"/>
      <c r="K51" s="4"/>
      <c r="L51" s="205"/>
      <c r="M51" s="668"/>
      <c r="N51" s="668"/>
      <c r="O51" s="668"/>
      <c r="P51" s="4"/>
      <c r="Q51" s="205"/>
      <c r="R51" s="668"/>
      <c r="S51" s="938">
        <f>G14+K14</f>
        <v>11150140.781879999</v>
      </c>
      <c r="T51" s="668"/>
      <c r="U51" s="110"/>
      <c r="V51" s="110"/>
      <c r="W51" s="110"/>
      <c r="X51" s="110"/>
      <c r="Y51" s="110"/>
      <c r="Z51" s="681"/>
    </row>
    <row r="52" spans="1:27" s="23" customFormat="1" ht="15" x14ac:dyDescent="0.25">
      <c r="A52" s="809" t="s">
        <v>609</v>
      </c>
      <c r="B52" s="935"/>
      <c r="C52"/>
      <c r="D52"/>
      <c r="E52" s="939"/>
      <c r="F52"/>
      <c r="G52" s="4"/>
      <c r="H52" s="871"/>
      <c r="I52" s="148"/>
      <c r="J52" s="233"/>
      <c r="K52" s="4"/>
      <c r="L52" s="205"/>
      <c r="M52" s="233"/>
      <c r="N52" s="233"/>
      <c r="O52" s="233"/>
      <c r="P52" s="668" t="s">
        <v>148</v>
      </c>
      <c r="Q52" s="205"/>
      <c r="R52" s="233"/>
      <c r="S52" s="233"/>
      <c r="T52" s="233"/>
      <c r="U52" s="228"/>
      <c r="V52" s="228"/>
      <c r="W52" s="228"/>
      <c r="X52" s="228"/>
      <c r="Y52" s="228"/>
      <c r="Z52" s="148"/>
      <c r="AA52" s="114"/>
    </row>
    <row r="54" spans="1:27" x14ac:dyDescent="0.2">
      <c r="B54" s="934">
        <f>B39-B38</f>
        <v>-3575.2841533333121</v>
      </c>
    </row>
    <row r="55" spans="1:27" x14ac:dyDescent="0.2">
      <c r="C55" s="940"/>
    </row>
  </sheetData>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8"/>
  <sheetViews>
    <sheetView view="pageBreakPreview" zoomScale="91" zoomScaleNormal="100" zoomScaleSheetLayoutView="91" workbookViewId="0">
      <selection activeCell="X14" sqref="X14"/>
    </sheetView>
  </sheetViews>
  <sheetFormatPr defaultColWidth="9.140625" defaultRowHeight="12.75" x14ac:dyDescent="0.2"/>
  <cols>
    <col min="1" max="1" width="30.85546875" style="22" customWidth="1"/>
    <col min="2" max="2" width="4" style="814" hidden="1" customWidth="1"/>
    <col min="3" max="3" width="9.42578125" style="148" customWidth="1"/>
    <col min="4" max="4" width="8.7109375" style="676" customWidth="1"/>
    <col min="5" max="5" width="10.5703125" style="686" hidden="1" customWidth="1"/>
    <col min="6" max="6" width="7.85546875" style="686" hidden="1" customWidth="1"/>
    <col min="7" max="7" width="7.7109375" style="686" customWidth="1"/>
    <col min="8" max="8" width="8.85546875" style="686" customWidth="1"/>
    <col min="9" max="9" width="9" style="686" customWidth="1"/>
    <col min="10" max="10" width="7.5703125" style="686" customWidth="1"/>
    <col min="11" max="11" width="9" style="686" customWidth="1"/>
    <col min="12" max="13" width="8.5703125" style="686" customWidth="1"/>
    <col min="14" max="14" width="9.42578125" style="686" customWidth="1"/>
    <col min="15" max="15" width="10.28515625" style="22" customWidth="1"/>
    <col min="16" max="16" width="1.28515625" style="676" customWidth="1"/>
    <col min="17" max="17" width="1.7109375" style="22" customWidth="1"/>
    <col min="18" max="18" width="10.5703125" style="668" hidden="1" customWidth="1"/>
    <col min="19" max="19" width="10.28515625" style="22" hidden="1" customWidth="1"/>
    <col min="20" max="20" width="10.140625" style="22" hidden="1" customWidth="1"/>
    <col min="21" max="21" width="11.5703125" style="22" hidden="1" customWidth="1"/>
    <col min="22" max="22" width="9.7109375" style="22" hidden="1" customWidth="1"/>
    <col min="23" max="16384" width="9.140625" style="22"/>
  </cols>
  <sheetData>
    <row r="1" spans="1:21" s="686" customFormat="1" ht="41.25" customHeight="1" x14ac:dyDescent="0.3">
      <c r="A1" s="684" t="s">
        <v>499</v>
      </c>
      <c r="B1" s="685"/>
      <c r="D1" s="676"/>
      <c r="O1" s="686" t="s">
        <v>15</v>
      </c>
      <c r="P1" s="676"/>
      <c r="R1" s="668"/>
    </row>
    <row r="2" spans="1:21" s="694" customFormat="1" ht="42" customHeight="1" x14ac:dyDescent="0.2">
      <c r="A2" s="687"/>
      <c r="B2" s="688"/>
      <c r="C2" s="689" t="s">
        <v>247</v>
      </c>
      <c r="D2" s="689" t="s">
        <v>254</v>
      </c>
      <c r="E2" s="689" t="s">
        <v>500</v>
      </c>
      <c r="F2" s="690"/>
      <c r="G2" s="690"/>
      <c r="H2" s="690"/>
      <c r="I2" s="691" t="s">
        <v>501</v>
      </c>
      <c r="J2" s="692" t="s">
        <v>502</v>
      </c>
      <c r="K2" s="691" t="s">
        <v>503</v>
      </c>
      <c r="L2" s="689" t="s">
        <v>504</v>
      </c>
      <c r="M2" s="689" t="s">
        <v>505</v>
      </c>
      <c r="N2" s="689" t="s">
        <v>506</v>
      </c>
      <c r="O2" s="692" t="s">
        <v>268</v>
      </c>
      <c r="P2" s="693"/>
      <c r="R2" s="695"/>
      <c r="S2" s="692"/>
    </row>
    <row r="3" spans="1:21" s="525" customFormat="1" ht="21" customHeight="1" x14ac:dyDescent="0.25">
      <c r="A3" s="103" t="s">
        <v>507</v>
      </c>
      <c r="B3" s="688" t="s">
        <v>109</v>
      </c>
      <c r="C3" s="696">
        <f>SUM(C4:C6)</f>
        <v>18112.377973076764</v>
      </c>
      <c r="D3" s="697">
        <f>SUM(D4:D6)</f>
        <v>3200.0154947471478</v>
      </c>
      <c r="E3" s="696"/>
      <c r="F3" s="698"/>
      <c r="G3" s="698"/>
      <c r="H3" s="698"/>
      <c r="I3" s="699"/>
      <c r="J3" s="696"/>
      <c r="K3" s="699"/>
      <c r="L3" s="696"/>
      <c r="M3" s="696"/>
      <c r="N3" s="696"/>
      <c r="O3" s="696">
        <f>SUM(O4:O6)</f>
        <v>21312.393467823913</v>
      </c>
      <c r="P3" s="16"/>
      <c r="R3" s="700">
        <f>O12+O13</f>
        <v>59016.600731572864</v>
      </c>
      <c r="S3" s="696"/>
    </row>
    <row r="4" spans="1:21" s="707" customFormat="1" ht="11.25" x14ac:dyDescent="0.2">
      <c r="A4" s="701" t="s">
        <v>508</v>
      </c>
      <c r="B4" s="688"/>
      <c r="C4" s="702">
        <f>[11]ВНС!I208</f>
        <v>13184.51764652</v>
      </c>
      <c r="D4" s="703"/>
      <c r="E4" s="702"/>
      <c r="F4" s="704"/>
      <c r="G4" s="704"/>
      <c r="H4" s="704"/>
      <c r="I4" s="705"/>
      <c r="J4" s="702"/>
      <c r="K4" s="705"/>
      <c r="L4" s="702"/>
      <c r="M4" s="702"/>
      <c r="N4" s="702"/>
      <c r="O4" s="702">
        <f>SUM(C4:E4)</f>
        <v>13184.51764652</v>
      </c>
      <c r="P4" s="706"/>
      <c r="R4" s="708"/>
      <c r="S4" s="702"/>
    </row>
    <row r="5" spans="1:21" s="709" customFormat="1" ht="11.25" x14ac:dyDescent="0.2">
      <c r="A5" s="701" t="s">
        <v>509</v>
      </c>
      <c r="B5" s="688"/>
      <c r="C5" s="702">
        <f>[11]ВНС!I207</f>
        <v>2748.8209358556473</v>
      </c>
      <c r="D5" s="703">
        <f>[11]КНС!I177</f>
        <v>3200.0154947471478</v>
      </c>
      <c r="E5" s="702"/>
      <c r="F5" s="704"/>
      <c r="G5" s="704"/>
      <c r="H5" s="704"/>
      <c r="I5" s="705"/>
      <c r="J5" s="702"/>
      <c r="K5" s="705"/>
      <c r="L5" s="702"/>
      <c r="M5" s="702"/>
      <c r="N5" s="702"/>
      <c r="O5" s="702">
        <f>SUM(C5:E5)</f>
        <v>5948.8364306027952</v>
      </c>
      <c r="P5" s="706"/>
      <c r="R5" s="708"/>
      <c r="S5" s="702"/>
    </row>
    <row r="6" spans="1:21" s="709" customFormat="1" ht="11.25" x14ac:dyDescent="0.2">
      <c r="A6" s="701" t="s">
        <v>510</v>
      </c>
      <c r="B6" s="688"/>
      <c r="C6" s="702">
        <f>[11]ВНС!I209</f>
        <v>2179.0393907011166</v>
      </c>
      <c r="D6" s="703"/>
      <c r="E6" s="702"/>
      <c r="F6" s="704"/>
      <c r="G6" s="704"/>
      <c r="H6" s="704"/>
      <c r="I6" s="705"/>
      <c r="J6" s="702"/>
      <c r="K6" s="705"/>
      <c r="L6" s="702"/>
      <c r="M6" s="702"/>
      <c r="N6" s="702"/>
      <c r="O6" s="702">
        <f>SUM(C6:E6)</f>
        <v>2179.0393907011166</v>
      </c>
      <c r="P6" s="706"/>
      <c r="R6" s="708"/>
      <c r="S6" s="702"/>
    </row>
    <row r="7" spans="1:21" s="525" customFormat="1" ht="16.149999999999999" customHeight="1" x14ac:dyDescent="0.25">
      <c r="A7" s="103" t="s">
        <v>511</v>
      </c>
      <c r="B7" s="688" t="s">
        <v>111</v>
      </c>
      <c r="C7" s="696">
        <f>[11]ВНС!I211</f>
        <v>2397.5101707744971</v>
      </c>
      <c r="D7" s="697">
        <f>[11]КНС!I180</f>
        <v>3187.3704615489946</v>
      </c>
      <c r="E7" s="696"/>
      <c r="F7" s="698"/>
      <c r="G7" s="698"/>
      <c r="H7" s="698"/>
      <c r="I7" s="699"/>
      <c r="J7" s="696"/>
      <c r="K7" s="699"/>
      <c r="L7" s="696"/>
      <c r="M7" s="696"/>
      <c r="N7" s="696"/>
      <c r="O7" s="696">
        <f>SUM(C7:N7)</f>
        <v>5584.8806323234912</v>
      </c>
      <c r="P7" s="16"/>
      <c r="R7" s="700">
        <f>O7+O16</f>
        <v>27873.796419537059</v>
      </c>
      <c r="S7" s="696">
        <f>[11]фінпл!D10+[11]фінпл!D16+[11]фінпл!D72+[11]фінпл!D77+[11]фінпл!D123+[11]фінпл!D176+[11]фінпл!D234+[11]фінпл!D295+[11]фінпл!D327</f>
        <v>27873.796419537059</v>
      </c>
      <c r="T7" s="710">
        <f>[3]ФОТ!$BC$771/1000</f>
        <v>0</v>
      </c>
      <c r="U7" s="711">
        <f>S7-T7</f>
        <v>27873.796419537059</v>
      </c>
    </row>
    <row r="8" spans="1:21" s="525" customFormat="1" ht="16.149999999999999" customHeight="1" x14ac:dyDescent="0.25">
      <c r="A8" s="103" t="s">
        <v>512</v>
      </c>
      <c r="B8" s="688" t="s">
        <v>118</v>
      </c>
      <c r="C8" s="697">
        <f>C7*22%</f>
        <v>527.45223757038934</v>
      </c>
      <c r="D8" s="697">
        <f>D7*22%</f>
        <v>701.22150154077883</v>
      </c>
      <c r="E8" s="696"/>
      <c r="F8" s="698"/>
      <c r="G8" s="698"/>
      <c r="H8" s="698"/>
      <c r="I8" s="699"/>
      <c r="J8" s="696"/>
      <c r="K8" s="699"/>
      <c r="L8" s="696"/>
      <c r="M8" s="696"/>
      <c r="N8" s="696"/>
      <c r="O8" s="696">
        <f>SUM(C8:E8)</f>
        <v>1228.6737391111683</v>
      </c>
      <c r="P8" s="16"/>
      <c r="R8" s="25"/>
      <c r="S8" s="696"/>
    </row>
    <row r="9" spans="1:21" s="525" customFormat="1" ht="16.149999999999999" customHeight="1" x14ac:dyDescent="0.25">
      <c r="A9" s="103" t="s">
        <v>513</v>
      </c>
      <c r="B9" s="688" t="s">
        <v>120</v>
      </c>
      <c r="C9" s="696">
        <f>[11]ВНС!I214</f>
        <v>523.61796000000027</v>
      </c>
      <c r="D9" s="697">
        <f>[11]КНС!I183</f>
        <v>1473.7012800000007</v>
      </c>
      <c r="E9" s="696"/>
      <c r="F9" s="698"/>
      <c r="G9" s="698"/>
      <c r="H9" s="698"/>
      <c r="I9" s="699"/>
      <c r="J9" s="696"/>
      <c r="K9" s="699"/>
      <c r="L9" s="696"/>
      <c r="M9" s="696"/>
      <c r="N9" s="696"/>
      <c r="O9" s="696">
        <f>SUM(C9:E9)</f>
        <v>1997.3192400000009</v>
      </c>
      <c r="P9" s="16"/>
      <c r="R9" s="25"/>
      <c r="S9" s="696"/>
    </row>
    <row r="10" spans="1:21" s="525" customFormat="1" ht="16.149999999999999" customHeight="1" x14ac:dyDescent="0.25">
      <c r="A10" s="103" t="s">
        <v>514</v>
      </c>
      <c r="B10" s="688" t="s">
        <v>122</v>
      </c>
      <c r="C10" s="696"/>
      <c r="D10" s="697">
        <f>[11]КНС!I178</f>
        <v>8105.3071799999998</v>
      </c>
      <c r="E10" s="696"/>
      <c r="F10" s="698"/>
      <c r="G10" s="698"/>
      <c r="H10" s="698"/>
      <c r="I10" s="699"/>
      <c r="J10" s="696"/>
      <c r="K10" s="699"/>
      <c r="L10" s="696" t="s">
        <v>515</v>
      </c>
      <c r="M10" s="696"/>
      <c r="N10" s="696"/>
      <c r="O10" s="696">
        <f>SUM(C10:E10)</f>
        <v>8105.3071799999998</v>
      </c>
      <c r="P10" s="16"/>
      <c r="R10" s="25"/>
      <c r="S10" s="696"/>
    </row>
    <row r="11" spans="1:21" s="525" customFormat="1" ht="25.5" customHeight="1" x14ac:dyDescent="0.25">
      <c r="A11" s="103" t="s">
        <v>516</v>
      </c>
      <c r="B11" s="688" t="s">
        <v>122</v>
      </c>
      <c r="C11" s="696">
        <f>[11]ВНС!I215</f>
        <v>273.07358983644997</v>
      </c>
      <c r="D11" s="697"/>
      <c r="E11" s="696"/>
      <c r="F11" s="698"/>
      <c r="G11" s="698"/>
      <c r="H11" s="698"/>
      <c r="I11" s="699"/>
      <c r="J11" s="696"/>
      <c r="K11" s="699"/>
      <c r="L11" s="696" t="s">
        <v>515</v>
      </c>
      <c r="M11" s="696"/>
      <c r="N11" s="696"/>
      <c r="O11" s="696">
        <f>SUM(C11:E11)</f>
        <v>273.07358983644997</v>
      </c>
      <c r="P11" s="16"/>
      <c r="R11" s="25"/>
      <c r="S11" s="696"/>
    </row>
    <row r="12" spans="1:21" s="525" customFormat="1" ht="24" customHeight="1" x14ac:dyDescent="0.25">
      <c r="A12" s="712" t="s">
        <v>83</v>
      </c>
      <c r="B12" s="713"/>
      <c r="C12" s="714">
        <f>SUM(C7:C11)+C3</f>
        <v>21834.031931258101</v>
      </c>
      <c r="D12" s="714">
        <f>SUM(D7:D11)+D3</f>
        <v>16667.615917836923</v>
      </c>
      <c r="E12" s="714"/>
      <c r="F12" s="698" t="s">
        <v>478</v>
      </c>
      <c r="G12" s="698" t="s">
        <v>517</v>
      </c>
      <c r="H12" s="698" t="s">
        <v>518</v>
      </c>
      <c r="I12" s="715"/>
      <c r="J12" s="714"/>
      <c r="K12" s="715"/>
      <c r="L12" s="714"/>
      <c r="M12" s="714"/>
      <c r="N12" s="714"/>
      <c r="O12" s="714">
        <f>SUM(O7:O11)+O3</f>
        <v>38501.647849095025</v>
      </c>
      <c r="P12" s="716"/>
      <c r="Q12" s="711"/>
      <c r="R12" s="700"/>
      <c r="S12" s="714"/>
      <c r="T12" s="717">
        <f>C14+D14+G14-H14</f>
        <v>0</v>
      </c>
    </row>
    <row r="13" spans="1:21" s="721" customFormat="1" ht="20.45" customHeight="1" x14ac:dyDescent="0.25">
      <c r="A13" s="712" t="s">
        <v>100</v>
      </c>
      <c r="B13" s="713" t="s">
        <v>122</v>
      </c>
      <c r="C13" s="714">
        <f>C14</f>
        <v>2973.8763378017725</v>
      </c>
      <c r="D13" s="714">
        <f>D14</f>
        <v>2183.9345726815113</v>
      </c>
      <c r="E13" s="714">
        <f>E14</f>
        <v>12350.776585013708</v>
      </c>
      <c r="F13" s="698">
        <f>F14</f>
        <v>27.930558333333295</v>
      </c>
      <c r="G13" s="698">
        <f>E13-F13</f>
        <v>12322.846026680374</v>
      </c>
      <c r="H13" s="698">
        <f>I13-F13</f>
        <v>17480.656937163658</v>
      </c>
      <c r="I13" s="715">
        <f>C13+D13+E13</f>
        <v>17508.587495496991</v>
      </c>
      <c r="J13" s="714">
        <f>J14</f>
        <v>3006.3653869808454</v>
      </c>
      <c r="K13" s="714">
        <f>F13+J13</f>
        <v>3034.2959453141789</v>
      </c>
      <c r="L13" s="714"/>
      <c r="M13" s="714"/>
      <c r="N13" s="714"/>
      <c r="O13" s="714">
        <f>O14</f>
        <v>20514.952882477835</v>
      </c>
      <c r="P13" s="718">
        <v>2450.3291818799194</v>
      </c>
      <c r="Q13" s="719"/>
      <c r="R13" s="720">
        <f>O12+O13+L68+M68+N68</f>
        <v>79346.408923361116</v>
      </c>
      <c r="S13" s="714"/>
      <c r="U13" s="719">
        <f>O7+O16</f>
        <v>27873.796419537059</v>
      </c>
    </row>
    <row r="14" spans="1:21" s="729" customFormat="1" ht="15.75" x14ac:dyDescent="0.25">
      <c r="A14" s="722" t="s">
        <v>232</v>
      </c>
      <c r="B14" s="723"/>
      <c r="C14" s="724">
        <f>SUM(C16:C22)+C30+C31+C37+C41+C42+SUM(C53:C61)</f>
        <v>2973.8763378017725</v>
      </c>
      <c r="D14" s="724">
        <f>SUM(D16:D22)+D30+D31+D37+D41+D42+SUM(D53:D61)</f>
        <v>2183.9345726815113</v>
      </c>
      <c r="E14" s="725">
        <f>SUM(E16:E22)+E30+E31+E37+E41+E42+SUM(E53:E61)-E19</f>
        <v>12350.776585013708</v>
      </c>
      <c r="F14" s="726">
        <f>SUM(F16:F22)+F30+F31+F37+F42+SUM(F54:F61)-F19</f>
        <v>27.930558333333295</v>
      </c>
      <c r="G14" s="726">
        <f>SUM(G16:G22)+G30+G31+G37+G42+SUM(G54:G61)-G19+G41</f>
        <v>12322.846026680376</v>
      </c>
      <c r="H14" s="726">
        <f>SUM(H16:H22)+H30+H31+H37+H42+SUM(H54:H61)-H19+H41</f>
        <v>17480.656937163658</v>
      </c>
      <c r="I14" s="727">
        <f>C14+D14+E14</f>
        <v>17508.587495496991</v>
      </c>
      <c r="J14" s="728">
        <f>J64</f>
        <v>3006.3653869808454</v>
      </c>
      <c r="K14" s="727">
        <f>F14+J14</f>
        <v>3034.2959453141789</v>
      </c>
      <c r="L14" s="728"/>
      <c r="M14" s="728"/>
      <c r="N14" s="728"/>
      <c r="O14" s="728">
        <f>SUM(I14:N14)-K14</f>
        <v>20514.952882477835</v>
      </c>
      <c r="P14" s="677"/>
      <c r="R14" s="700"/>
      <c r="S14" s="728"/>
    </row>
    <row r="15" spans="1:21" s="735" customFormat="1" ht="15.75" hidden="1" x14ac:dyDescent="0.25">
      <c r="A15" s="730" t="s">
        <v>270</v>
      </c>
      <c r="B15" s="731"/>
      <c r="C15" s="732"/>
      <c r="D15" s="733"/>
      <c r="E15" s="732"/>
      <c r="F15" s="734"/>
      <c r="G15" s="698">
        <f>E15-F15</f>
        <v>0</v>
      </c>
      <c r="H15" s="698">
        <f>I15-F15</f>
        <v>0</v>
      </c>
      <c r="I15" s="727">
        <f>C15+D15+E15</f>
        <v>0</v>
      </c>
      <c r="J15" s="732"/>
      <c r="K15" s="727">
        <f t="shared" ref="K15:K67" si="0">F15+J15</f>
        <v>0</v>
      </c>
      <c r="L15" s="732"/>
      <c r="M15" s="732"/>
      <c r="N15" s="732"/>
      <c r="O15" s="728">
        <f t="shared" ref="O15:O67" si="1">SUM(I15:N15)-K15</f>
        <v>0</v>
      </c>
      <c r="P15" s="678"/>
      <c r="R15" s="700"/>
      <c r="S15" s="728"/>
    </row>
    <row r="16" spans="1:21" s="739" customFormat="1" ht="15.75" x14ac:dyDescent="0.25">
      <c r="A16" s="736" t="s">
        <v>519</v>
      </c>
      <c r="B16" s="736"/>
      <c r="C16" s="724">
        <f>[11]ВНС!I219</f>
        <v>988.33348716273667</v>
      </c>
      <c r="D16" s="724">
        <f>[11]КНС!I187</f>
        <v>754.47187283726294</v>
      </c>
      <c r="E16" s="724">
        <f>[11]АВР!H246</f>
        <v>7129.2491430716591</v>
      </c>
      <c r="F16" s="726">
        <f>[11]АВР!K246</f>
        <v>0</v>
      </c>
      <c r="G16" s="737">
        <f>E16-F16</f>
        <v>7129.2491430716591</v>
      </c>
      <c r="H16" s="738">
        <f>I16-F16</f>
        <v>8872.0545030716585</v>
      </c>
      <c r="I16" s="727">
        <f>C16+D16+E16</f>
        <v>8872.0545030716585</v>
      </c>
      <c r="J16" s="724">
        <f>[11]пов!AB6</f>
        <v>1141.3953241419076</v>
      </c>
      <c r="K16" s="727">
        <f>F16+J16</f>
        <v>1141.3953241419076</v>
      </c>
      <c r="L16" s="724">
        <f>[11]Адм!I211</f>
        <v>8039.002559999999</v>
      </c>
      <c r="M16" s="724">
        <f>[11]Збут!J184</f>
        <v>3422.7583999999997</v>
      </c>
      <c r="N16" s="724">
        <f>[11]ливн!G14/1000</f>
        <v>813.70500000000004</v>
      </c>
      <c r="O16" s="728">
        <f>SUM(I16:N16)-K16</f>
        <v>22288.915787213566</v>
      </c>
      <c r="P16" s="677"/>
      <c r="R16" s="1915">
        <f>H16-[11]загальновиробничі!M6</f>
        <v>0</v>
      </c>
      <c r="S16" s="728">
        <f>C16+D16+H16</f>
        <v>10614.859863071659</v>
      </c>
      <c r="T16" s="1916">
        <f>[3]ФОТ!$BC$719</f>
        <v>6830118.1247135671</v>
      </c>
    </row>
    <row r="17" spans="1:21" s="729" customFormat="1" ht="15.75" x14ac:dyDescent="0.25">
      <c r="A17" s="736" t="s">
        <v>520</v>
      </c>
      <c r="B17" s="736"/>
      <c r="C17" s="724">
        <f>C16*22%</f>
        <v>217.43336717580206</v>
      </c>
      <c r="D17" s="724">
        <f t="shared" ref="D17:M17" si="2">D16*22%</f>
        <v>165.98381202419785</v>
      </c>
      <c r="E17" s="724">
        <f t="shared" si="2"/>
        <v>1568.4348114757649</v>
      </c>
      <c r="F17" s="740">
        <f t="shared" si="2"/>
        <v>0</v>
      </c>
      <c r="G17" s="738">
        <f t="shared" si="2"/>
        <v>1568.4348114757649</v>
      </c>
      <c r="H17" s="738">
        <f>H16*22%</f>
        <v>1951.8519906757649</v>
      </c>
      <c r="I17" s="727">
        <f t="shared" si="2"/>
        <v>1951.8519906757649</v>
      </c>
      <c r="J17" s="724">
        <f>J16*22%</f>
        <v>251.10697131121967</v>
      </c>
      <c r="K17" s="727">
        <f t="shared" si="0"/>
        <v>251.10697131121967</v>
      </c>
      <c r="L17" s="724">
        <f t="shared" si="2"/>
        <v>1768.5805631999997</v>
      </c>
      <c r="M17" s="724">
        <f t="shared" si="2"/>
        <v>753.00684799999999</v>
      </c>
      <c r="N17" s="724">
        <f>[11]ливн!G17/1000</f>
        <v>179.01499999999999</v>
      </c>
      <c r="O17" s="728">
        <f t="shared" si="1"/>
        <v>4903.5613731869853</v>
      </c>
      <c r="P17" s="677"/>
      <c r="R17" s="700"/>
      <c r="S17" s="728"/>
    </row>
    <row r="18" spans="1:21" s="741" customFormat="1" ht="15.75" x14ac:dyDescent="0.25">
      <c r="A18" s="736" t="s">
        <v>521</v>
      </c>
      <c r="B18" s="736"/>
      <c r="C18" s="724">
        <f>[11]ВНС!I243</f>
        <v>20.613399999999999</v>
      </c>
      <c r="D18" s="724">
        <f>[11]КНС!I192</f>
        <v>15.5556</v>
      </c>
      <c r="E18" s="724">
        <f>[11]АВР!H275</f>
        <v>732.76179912437919</v>
      </c>
      <c r="F18" s="726">
        <f>[11]АВР!K275</f>
        <v>27.930558333333295</v>
      </c>
      <c r="G18" s="737">
        <f t="shared" ref="G18:G67" si="3">E18-F18</f>
        <v>704.83124079104596</v>
      </c>
      <c r="H18" s="738">
        <f t="shared" ref="H18:H67" si="4">I18-F18</f>
        <v>741.00024079104583</v>
      </c>
      <c r="I18" s="727">
        <f t="shared" ref="I18:I66" si="5">C18+D18+E18</f>
        <v>768.93079912437918</v>
      </c>
      <c r="J18" s="724"/>
      <c r="K18" s="727">
        <f t="shared" si="0"/>
        <v>27.930558333333295</v>
      </c>
      <c r="L18" s="724"/>
      <c r="M18" s="724"/>
      <c r="N18" s="724"/>
      <c r="O18" s="728">
        <f t="shared" si="1"/>
        <v>768.93079912437929</v>
      </c>
      <c r="P18" s="677"/>
      <c r="R18" s="700"/>
      <c r="S18" s="728"/>
      <c r="U18" s="742">
        <f>L62-L16-L17-L20</f>
        <v>1136.1906709239511</v>
      </c>
    </row>
    <row r="19" spans="1:21" s="748" customFormat="1" ht="15.75" x14ac:dyDescent="0.25">
      <c r="A19" s="129" t="s">
        <v>522</v>
      </c>
      <c r="B19" s="743"/>
      <c r="C19" s="744"/>
      <c r="D19" s="744"/>
      <c r="E19" s="744">
        <f>([11]АВР!I180+[11]АВР!I197)</f>
        <v>563.11986912437919</v>
      </c>
      <c r="F19" s="745">
        <f>[11]АВР!N197</f>
        <v>278.44323333333341</v>
      </c>
      <c r="G19" s="737">
        <f t="shared" si="3"/>
        <v>284.67663579104578</v>
      </c>
      <c r="H19" s="746">
        <f t="shared" si="4"/>
        <v>284.67663579104578</v>
      </c>
      <c r="I19" s="727">
        <f t="shared" si="5"/>
        <v>563.11986912437919</v>
      </c>
      <c r="J19" s="744"/>
      <c r="K19" s="727">
        <f t="shared" si="0"/>
        <v>278.44323333333341</v>
      </c>
      <c r="L19" s="744"/>
      <c r="M19" s="744"/>
      <c r="N19" s="744"/>
      <c r="O19" s="728">
        <f t="shared" si="1"/>
        <v>563.11986912437919</v>
      </c>
      <c r="P19" s="747"/>
      <c r="R19" s="700"/>
      <c r="S19" s="728"/>
      <c r="U19" s="749">
        <f>M63-M16-M17-M20</f>
        <v>999.27619056429228</v>
      </c>
    </row>
    <row r="20" spans="1:21" s="741" customFormat="1" ht="15.75" x14ac:dyDescent="0.25">
      <c r="A20" s="736" t="s">
        <v>523</v>
      </c>
      <c r="B20" s="736"/>
      <c r="C20" s="724"/>
      <c r="D20" s="724"/>
      <c r="E20" s="724">
        <f>[11]АВР!H258</f>
        <v>356.43876</v>
      </c>
      <c r="F20" s="726"/>
      <c r="G20" s="737">
        <f t="shared" si="3"/>
        <v>356.43876</v>
      </c>
      <c r="H20" s="738">
        <f t="shared" si="4"/>
        <v>356.43876</v>
      </c>
      <c r="I20" s="727">
        <f t="shared" si="5"/>
        <v>356.43876</v>
      </c>
      <c r="J20" s="724">
        <f>[11]пов!AB8</f>
        <v>0</v>
      </c>
      <c r="K20" s="727">
        <f t="shared" si="0"/>
        <v>0</v>
      </c>
      <c r="L20" s="724">
        <f>[11]Адм!I213</f>
        <v>535.66692000000012</v>
      </c>
      <c r="M20" s="724">
        <f>[11]Збут!J187</f>
        <v>44.471039999999988</v>
      </c>
      <c r="N20" s="724">
        <f>[11]пов!AA8</f>
        <v>0</v>
      </c>
      <c r="O20" s="728">
        <f t="shared" si="1"/>
        <v>936.57672000000014</v>
      </c>
      <c r="P20" s="677"/>
      <c r="R20" s="700"/>
      <c r="S20" s="728"/>
    </row>
    <row r="21" spans="1:21" s="729" customFormat="1" ht="27" customHeight="1" x14ac:dyDescent="0.25">
      <c r="A21" s="722" t="s">
        <v>524</v>
      </c>
      <c r="B21" s="736"/>
      <c r="C21" s="724">
        <f>[11]ВНС!I223</f>
        <v>167.23680666666667</v>
      </c>
      <c r="D21" s="724">
        <f>[11]КНС!I193</f>
        <v>111.58272666666667</v>
      </c>
      <c r="E21" s="724">
        <f>[11]АВР!H260</f>
        <v>1847.1047999999998</v>
      </c>
      <c r="F21" s="726"/>
      <c r="G21" s="737">
        <f t="shared" si="3"/>
        <v>1847.1047999999998</v>
      </c>
      <c r="H21" s="738">
        <f t="shared" si="4"/>
        <v>2125.9243333333334</v>
      </c>
      <c r="I21" s="727">
        <f>C21+D21+E21</f>
        <v>2125.9243333333334</v>
      </c>
      <c r="J21" s="750">
        <f>[11]пов!AB9</f>
        <v>1393.9287372213751</v>
      </c>
      <c r="K21" s="727">
        <f t="shared" si="0"/>
        <v>1393.9287372213751</v>
      </c>
      <c r="L21" s="750">
        <f>[11]Адм!I225</f>
        <v>56.572017933333335</v>
      </c>
      <c r="M21" s="750">
        <f>[11]Збут!J195</f>
        <v>59.904022500000004</v>
      </c>
      <c r="N21" s="750">
        <f>([11]ливн!G19+[11]ливн!G63+[11]засувки!T20+[11]засувки!V20)/1000</f>
        <v>252.56199950000004</v>
      </c>
      <c r="O21" s="728">
        <f>SUM(I21:N21)-K21</f>
        <v>3888.8911104880408</v>
      </c>
      <c r="P21" s="677"/>
      <c r="R21" s="700"/>
      <c r="S21" s="728"/>
    </row>
    <row r="22" spans="1:21" s="729" customFormat="1" ht="15.75" x14ac:dyDescent="0.25">
      <c r="A22" s="722" t="s">
        <v>525</v>
      </c>
      <c r="B22" s="736"/>
      <c r="C22" s="724">
        <f>SUM(C23:C29)</f>
        <v>27.542521972306666</v>
      </c>
      <c r="D22" s="724">
        <f>SUM(D23:D29)</f>
        <v>269.37563114443998</v>
      </c>
      <c r="E22" s="724">
        <f>SUM(E23:E29)</f>
        <v>164.78757662536273</v>
      </c>
      <c r="F22" s="726">
        <f>SUM(F23:F29)</f>
        <v>0</v>
      </c>
      <c r="G22" s="737">
        <f t="shared" si="3"/>
        <v>164.78757662536273</v>
      </c>
      <c r="H22" s="738">
        <f t="shared" si="4"/>
        <v>461.70572974210938</v>
      </c>
      <c r="I22" s="727">
        <f t="shared" si="5"/>
        <v>461.70572974210938</v>
      </c>
      <c r="J22" s="724">
        <f>SUM(J23:J29)</f>
        <v>32.062628052000001</v>
      </c>
      <c r="K22" s="727">
        <f t="shared" si="0"/>
        <v>32.062628052000001</v>
      </c>
      <c r="L22" s="724">
        <f>SUM(L23:L29)</f>
        <v>211.49757875949612</v>
      </c>
      <c r="M22" s="724">
        <f>SUM(M23:M29)</f>
        <v>122.90537501075106</v>
      </c>
      <c r="N22" s="724">
        <f>SUM(N23:N29)</f>
        <v>0</v>
      </c>
      <c r="O22" s="728">
        <f t="shared" si="1"/>
        <v>828.17131156435653</v>
      </c>
      <c r="P22" s="751"/>
      <c r="Q22" s="752"/>
      <c r="R22" s="700"/>
      <c r="S22" s="728"/>
    </row>
    <row r="23" spans="1:21" s="686" customFormat="1" ht="15.75" x14ac:dyDescent="0.25">
      <c r="A23" s="753" t="s">
        <v>526</v>
      </c>
      <c r="B23" s="754"/>
      <c r="C23" s="755">
        <f>[11]ВНС!I227</f>
        <v>7.58815530564</v>
      </c>
      <c r="D23" s="755">
        <f>[11]КНС!I197</f>
        <v>264.44543114443997</v>
      </c>
      <c r="E23" s="755">
        <f>[11]АВР!H262</f>
        <v>42.143652688683005</v>
      </c>
      <c r="F23" s="745"/>
      <c r="G23" s="737">
        <f t="shared" si="3"/>
        <v>42.143652688683005</v>
      </c>
      <c r="H23" s="756">
        <f t="shared" si="4"/>
        <v>314.17723913876296</v>
      </c>
      <c r="I23" s="727">
        <f t="shared" si="5"/>
        <v>314.17723913876296</v>
      </c>
      <c r="J23" s="755">
        <f>[11]пов!AB16</f>
        <v>32.062628052000001</v>
      </c>
      <c r="K23" s="727">
        <f t="shared" si="0"/>
        <v>32.062628052000001</v>
      </c>
      <c r="L23" s="755">
        <f>[11]Адм!I216</f>
        <v>49.167594803463501</v>
      </c>
      <c r="M23" s="755">
        <f>[11]Збут!J202</f>
        <v>49.167594803463501</v>
      </c>
      <c r="N23" s="755"/>
      <c r="O23" s="728">
        <f t="shared" si="1"/>
        <v>444.57505679768991</v>
      </c>
      <c r="P23" s="676"/>
      <c r="R23" s="700"/>
      <c r="S23" s="728"/>
    </row>
    <row r="24" spans="1:21" s="686" customFormat="1" ht="15.75" x14ac:dyDescent="0.25">
      <c r="A24" s="753" t="s">
        <v>527</v>
      </c>
      <c r="B24" s="757"/>
      <c r="C24" s="758"/>
      <c r="D24" s="758"/>
      <c r="E24" s="758">
        <f>[11]АВР!H263</f>
        <v>102.99762143667974</v>
      </c>
      <c r="F24" s="734"/>
      <c r="G24" s="737">
        <f t="shared" si="3"/>
        <v>102.99762143667974</v>
      </c>
      <c r="H24" s="759">
        <f>I24-F24</f>
        <v>102.99762143667974</v>
      </c>
      <c r="I24" s="727">
        <f t="shared" si="5"/>
        <v>102.99762143667974</v>
      </c>
      <c r="J24" s="755">
        <f>[11]пов!AB17</f>
        <v>0</v>
      </c>
      <c r="K24" s="727">
        <f t="shared" si="0"/>
        <v>0</v>
      </c>
      <c r="L24" s="755">
        <f>[11]Адм!I217</f>
        <v>136.23734895603263</v>
      </c>
      <c r="M24" s="755">
        <f>[11]Збут!J203</f>
        <v>61.926067707287558</v>
      </c>
      <c r="N24" s="758"/>
      <c r="O24" s="728">
        <f t="shared" si="1"/>
        <v>301.16103809999993</v>
      </c>
      <c r="P24" s="676"/>
      <c r="R24" s="700"/>
      <c r="S24" s="728"/>
    </row>
    <row r="25" spans="1:21" s="686" customFormat="1" ht="15.75" hidden="1" x14ac:dyDescent="0.25">
      <c r="A25" s="753" t="s">
        <v>528</v>
      </c>
      <c r="B25" s="757"/>
      <c r="C25" s="758"/>
      <c r="D25" s="758"/>
      <c r="E25" s="758">
        <f>[11]АВР!H264</f>
        <v>0</v>
      </c>
      <c r="F25" s="734"/>
      <c r="G25" s="737">
        <f t="shared" si="3"/>
        <v>0</v>
      </c>
      <c r="H25" s="759">
        <f>I25-F25</f>
        <v>0</v>
      </c>
      <c r="I25" s="727">
        <f t="shared" si="5"/>
        <v>0</v>
      </c>
      <c r="J25" s="755">
        <v>0</v>
      </c>
      <c r="K25" s="727">
        <f t="shared" si="0"/>
        <v>0</v>
      </c>
      <c r="L25" s="755">
        <f>[11]Адм!I218</f>
        <v>0</v>
      </c>
      <c r="M25" s="755">
        <f>[11]Збут!J204</f>
        <v>0</v>
      </c>
      <c r="N25" s="758"/>
      <c r="O25" s="728">
        <f t="shared" si="1"/>
        <v>0</v>
      </c>
      <c r="P25" s="676"/>
      <c r="R25" s="700"/>
      <c r="S25" s="728"/>
    </row>
    <row r="26" spans="1:21" s="762" customFormat="1" ht="15.75" x14ac:dyDescent="0.25">
      <c r="A26" s="760" t="s">
        <v>529</v>
      </c>
      <c r="B26" s="754"/>
      <c r="C26" s="755"/>
      <c r="D26" s="755"/>
      <c r="E26" s="758">
        <f>[11]АВР!H265</f>
        <v>18.729359999999996</v>
      </c>
      <c r="F26" s="745"/>
      <c r="G26" s="737">
        <f t="shared" si="3"/>
        <v>18.729359999999996</v>
      </c>
      <c r="H26" s="756">
        <f>I26-F26</f>
        <v>18.729359999999996</v>
      </c>
      <c r="I26" s="727">
        <f t="shared" si="5"/>
        <v>18.729359999999996</v>
      </c>
      <c r="J26" s="755">
        <f>[11]пов!AB19</f>
        <v>0</v>
      </c>
      <c r="K26" s="727">
        <f t="shared" si="0"/>
        <v>0</v>
      </c>
      <c r="L26" s="755">
        <f>[11]Адм!I219</f>
        <v>24.773759999999999</v>
      </c>
      <c r="M26" s="755">
        <f>[11]Збут!J205</f>
        <v>11.260800000000001</v>
      </c>
      <c r="N26" s="755"/>
      <c r="O26" s="728">
        <f t="shared" si="1"/>
        <v>54.763919999999999</v>
      </c>
      <c r="P26" s="761"/>
      <c r="R26" s="700"/>
      <c r="S26" s="728"/>
    </row>
    <row r="27" spans="1:21" s="762" customFormat="1" ht="15.75" hidden="1" x14ac:dyDescent="0.25">
      <c r="A27" s="760" t="s">
        <v>530</v>
      </c>
      <c r="B27" s="754"/>
      <c r="C27" s="755"/>
      <c r="D27" s="755"/>
      <c r="E27" s="758"/>
      <c r="F27" s="745"/>
      <c r="G27" s="737">
        <f t="shared" si="3"/>
        <v>0</v>
      </c>
      <c r="H27" s="756">
        <f>I27-F27</f>
        <v>0</v>
      </c>
      <c r="I27" s="727">
        <f t="shared" si="5"/>
        <v>0</v>
      </c>
      <c r="J27" s="755">
        <f>[11]пов!AB20</f>
        <v>0</v>
      </c>
      <c r="K27" s="727">
        <f t="shared" si="0"/>
        <v>0</v>
      </c>
      <c r="L27" s="755">
        <f>[11]Адм!I220</f>
        <v>0</v>
      </c>
      <c r="M27" s="755">
        <f>[11]Збут!J206</f>
        <v>0</v>
      </c>
      <c r="N27" s="755"/>
      <c r="O27" s="728">
        <f t="shared" si="1"/>
        <v>0</v>
      </c>
      <c r="P27" s="761"/>
      <c r="R27" s="700"/>
      <c r="S27" s="728"/>
    </row>
    <row r="28" spans="1:21" s="686" customFormat="1" ht="15.75" x14ac:dyDescent="0.25">
      <c r="A28" s="763" t="s">
        <v>531</v>
      </c>
      <c r="B28" s="754"/>
      <c r="C28" s="755">
        <f>[11]ВНС!I228</f>
        <v>4.930200000000001</v>
      </c>
      <c r="D28" s="755">
        <f>[11]КНС!I198</f>
        <v>4.930200000000001</v>
      </c>
      <c r="E28" s="758">
        <f>[11]АВР!H266</f>
        <v>0.91694249999999977</v>
      </c>
      <c r="F28" s="745"/>
      <c r="G28" s="737">
        <f t="shared" si="3"/>
        <v>0.91694249999999977</v>
      </c>
      <c r="H28" s="756">
        <f t="shared" si="4"/>
        <v>10.777342500000001</v>
      </c>
      <c r="I28" s="727">
        <f t="shared" si="5"/>
        <v>10.777342500000001</v>
      </c>
      <c r="J28" s="755"/>
      <c r="K28" s="727">
        <f t="shared" si="0"/>
        <v>0</v>
      </c>
      <c r="L28" s="755">
        <f>[11]Адм!I221</f>
        <v>1.318875</v>
      </c>
      <c r="M28" s="755">
        <f>[11]Збут!J207</f>
        <v>0.55091250000000003</v>
      </c>
      <c r="N28" s="755"/>
      <c r="O28" s="728">
        <f t="shared" si="1"/>
        <v>12.647130000000002</v>
      </c>
      <c r="P28" s="676"/>
      <c r="R28" s="700"/>
      <c r="S28" s="728"/>
    </row>
    <row r="29" spans="1:21" s="686" customFormat="1" ht="15.75" x14ac:dyDescent="0.25">
      <c r="A29" s="763" t="s">
        <v>532</v>
      </c>
      <c r="B29" s="754"/>
      <c r="C29" s="755">
        <f>[11]ВНС!I229</f>
        <v>15.024166666666668</v>
      </c>
      <c r="D29" s="755">
        <f>[11]КНС!I199</f>
        <v>0</v>
      </c>
      <c r="E29" s="755"/>
      <c r="F29" s="745"/>
      <c r="G29" s="737">
        <f t="shared" si="3"/>
        <v>0</v>
      </c>
      <c r="H29" s="756">
        <f t="shared" si="4"/>
        <v>15.024166666666668</v>
      </c>
      <c r="I29" s="727">
        <f t="shared" si="5"/>
        <v>15.024166666666668</v>
      </c>
      <c r="J29" s="755"/>
      <c r="K29" s="727">
        <f t="shared" si="0"/>
        <v>0</v>
      </c>
      <c r="L29" s="755"/>
      <c r="M29" s="755"/>
      <c r="N29" s="755"/>
      <c r="O29" s="728">
        <f t="shared" si="1"/>
        <v>15.024166666666668</v>
      </c>
      <c r="P29" s="676"/>
      <c r="R29" s="700"/>
      <c r="S29" s="728"/>
    </row>
    <row r="30" spans="1:21" s="729" customFormat="1" ht="15.75" x14ac:dyDescent="0.25">
      <c r="A30" s="736" t="str">
        <f>[11]ВНС!B161</f>
        <v>Послуги по охороні об'єктів</v>
      </c>
      <c r="B30" s="736"/>
      <c r="C30" s="724">
        <f>[11]ВНС!J161</f>
        <v>271.92</v>
      </c>
      <c r="D30" s="724"/>
      <c r="E30" s="724">
        <f>[11]АВР!H267</f>
        <v>92.999999999999986</v>
      </c>
      <c r="F30" s="726"/>
      <c r="G30" s="738">
        <f>E30-F30</f>
        <v>92.999999999999986</v>
      </c>
      <c r="H30" s="738">
        <f>I30-F30</f>
        <v>364.92</v>
      </c>
      <c r="I30" s="727">
        <f>C30+D30+E30</f>
        <v>364.92</v>
      </c>
      <c r="J30" s="724"/>
      <c r="K30" s="727">
        <f>F30+J30</f>
        <v>0</v>
      </c>
      <c r="L30" s="724"/>
      <c r="M30" s="724">
        <f>[11]Збут!K42</f>
        <v>55.91</v>
      </c>
      <c r="N30" s="724"/>
      <c r="O30" s="728">
        <f>SUM(I30:N30)-K30</f>
        <v>420.83000000000004</v>
      </c>
      <c r="P30" s="751"/>
      <c r="Q30" s="752"/>
      <c r="R30" s="700"/>
      <c r="S30" s="728"/>
      <c r="T30" s="764"/>
    </row>
    <row r="31" spans="1:21" s="729" customFormat="1" ht="15.75" x14ac:dyDescent="0.25">
      <c r="A31" s="736" t="s">
        <v>533</v>
      </c>
      <c r="B31" s="736"/>
      <c r="C31" s="724">
        <f>SUM(C32:C36)</f>
        <v>115.04813063379561</v>
      </c>
      <c r="D31" s="724">
        <f>SUM(D32:D36)</f>
        <v>159.90412444894335</v>
      </c>
      <c r="E31" s="724">
        <f>SUM(E32:E36)</f>
        <v>389.91268948987545</v>
      </c>
      <c r="F31" s="726">
        <f>SUM(F32:F36)</f>
        <v>0</v>
      </c>
      <c r="G31" s="738">
        <f t="shared" si="3"/>
        <v>389.91268948987545</v>
      </c>
      <c r="H31" s="738">
        <f t="shared" si="4"/>
        <v>664.86494457261438</v>
      </c>
      <c r="I31" s="727">
        <f t="shared" si="5"/>
        <v>664.86494457261438</v>
      </c>
      <c r="J31" s="724">
        <f>SUM(J32:J36)</f>
        <v>40.121648921010184</v>
      </c>
      <c r="K31" s="727">
        <f t="shared" si="0"/>
        <v>40.121648921010184</v>
      </c>
      <c r="L31" s="724">
        <f>SUM(L32:L36)</f>
        <v>64.124651739130428</v>
      </c>
      <c r="M31" s="724">
        <f>SUM(M32:M36)</f>
        <v>62.156453913043471</v>
      </c>
      <c r="N31" s="724">
        <f>SUM(N32:N36)</f>
        <v>58.574629999999999</v>
      </c>
      <c r="O31" s="728">
        <f t="shared" si="1"/>
        <v>889.84232914579843</v>
      </c>
      <c r="P31" s="751">
        <f>SUM(O32:O36)</f>
        <v>889.84232914579854</v>
      </c>
      <c r="Q31" s="752"/>
      <c r="R31" s="700"/>
      <c r="S31" s="728">
        <f>H31-[11]загальновиробничі!B13</f>
        <v>0</v>
      </c>
      <c r="T31" s="764"/>
    </row>
    <row r="32" spans="1:21" s="686" customFormat="1" ht="15.75" x14ac:dyDescent="0.25">
      <c r="A32" s="765" t="s">
        <v>534</v>
      </c>
      <c r="B32" s="754"/>
      <c r="C32" s="755">
        <f>[11]ВНС!I232</f>
        <v>2.7595425000000002</v>
      </c>
      <c r="D32" s="755">
        <f>[11]КНС!I201</f>
        <v>24.8358825</v>
      </c>
      <c r="E32" s="755">
        <f>[11]АВР!H270</f>
        <v>5.5190849999999996</v>
      </c>
      <c r="F32" s="745">
        <f>[11]АВР!K270</f>
        <v>0</v>
      </c>
      <c r="G32" s="756">
        <f t="shared" si="3"/>
        <v>5.5190849999999996</v>
      </c>
      <c r="H32" s="756">
        <f t="shared" si="4"/>
        <v>33.114509999999996</v>
      </c>
      <c r="I32" s="727">
        <f t="shared" si="5"/>
        <v>33.114509999999996</v>
      </c>
      <c r="J32" s="755"/>
      <c r="K32" s="727">
        <f t="shared" si="0"/>
        <v>0</v>
      </c>
      <c r="L32" s="755"/>
      <c r="M32" s="755"/>
      <c r="N32" s="755"/>
      <c r="O32" s="728">
        <f t="shared" si="1"/>
        <v>33.114509999999996</v>
      </c>
      <c r="P32" s="676"/>
      <c r="R32" s="700"/>
      <c r="S32" s="728"/>
    </row>
    <row r="33" spans="1:19" s="766" customFormat="1" ht="15.75" x14ac:dyDescent="0.25">
      <c r="A33" s="765" t="s">
        <v>535</v>
      </c>
      <c r="B33" s="754"/>
      <c r="C33" s="755">
        <f>[11]ВНС!I233</f>
        <v>18.802797616471214</v>
      </c>
      <c r="D33" s="755">
        <f>[11]КНС!I202</f>
        <v>22.659702383528792</v>
      </c>
      <c r="E33" s="755">
        <f>[11]АВР!H271</f>
        <v>47.188217357310393</v>
      </c>
      <c r="F33" s="745">
        <f>[11]АВР!K271</f>
        <v>0</v>
      </c>
      <c r="G33" s="756">
        <f t="shared" si="3"/>
        <v>47.188217357310393</v>
      </c>
      <c r="H33" s="756">
        <f t="shared" si="4"/>
        <v>88.650717357310398</v>
      </c>
      <c r="I33" s="727">
        <f t="shared" si="5"/>
        <v>88.650717357310398</v>
      </c>
      <c r="J33" s="755">
        <f>[11]пов!I24</f>
        <v>5.4042305593562681</v>
      </c>
      <c r="K33" s="727">
        <f t="shared" si="0"/>
        <v>5.4042305593562681</v>
      </c>
      <c r="L33" s="755">
        <f>[11]ОП!BZ104/1000</f>
        <v>1.0125</v>
      </c>
      <c r="M33" s="755">
        <f>[11]Збут!K46</f>
        <v>11.762499999999999</v>
      </c>
      <c r="N33" s="755">
        <f>[11]ливн!G68/1000</f>
        <v>9.32</v>
      </c>
      <c r="O33" s="728">
        <f t="shared" si="1"/>
        <v>116.14994791666668</v>
      </c>
      <c r="P33" s="676"/>
      <c r="R33" s="700"/>
      <c r="S33" s="728"/>
    </row>
    <row r="34" spans="1:19" s="766" customFormat="1" ht="15.75" x14ac:dyDescent="0.25">
      <c r="A34" s="765" t="s">
        <v>536</v>
      </c>
      <c r="B34" s="754"/>
      <c r="C34" s="755">
        <f>[11]ВНС!I234</f>
        <v>14.432479800762822</v>
      </c>
      <c r="D34" s="755">
        <f>[11]КНС!I203</f>
        <v>12.262332960618883</v>
      </c>
      <c r="E34" s="755">
        <f>[11]АВР!H272</f>
        <v>23.553017051772777</v>
      </c>
      <c r="F34" s="745">
        <f>[11]АВР!K272</f>
        <v>0</v>
      </c>
      <c r="G34" s="756">
        <f t="shared" si="3"/>
        <v>23.553017051772777</v>
      </c>
      <c r="H34" s="756">
        <f t="shared" si="4"/>
        <v>50.247829813154482</v>
      </c>
      <c r="I34" s="727">
        <f t="shared" si="5"/>
        <v>50.247829813154482</v>
      </c>
      <c r="J34" s="755">
        <f>[11]пов!I23</f>
        <v>25.179054560130893</v>
      </c>
      <c r="K34" s="727">
        <f t="shared" si="0"/>
        <v>25.179054560130893</v>
      </c>
      <c r="L34" s="755">
        <f>[11]ОП!BZ90/1000</f>
        <v>17.792500000000004</v>
      </c>
      <c r="M34" s="755">
        <f>[11]Збут!K48</f>
        <v>24.169999999999991</v>
      </c>
      <c r="N34" s="755">
        <f>[11]ливн!G73/1000</f>
        <v>37.106000000000002</v>
      </c>
      <c r="O34" s="728">
        <f t="shared" si="1"/>
        <v>154.49538437328539</v>
      </c>
      <c r="P34" s="676"/>
      <c r="R34" s="700"/>
      <c r="S34" s="728"/>
    </row>
    <row r="35" spans="1:19" s="766" customFormat="1" ht="15.75" x14ac:dyDescent="0.25">
      <c r="A35" s="765" t="s">
        <v>537</v>
      </c>
      <c r="B35" s="754"/>
      <c r="C35" s="755">
        <f>[11]ВНС!I235</f>
        <v>61.29184838820975</v>
      </c>
      <c r="D35" s="755">
        <f>[11]КНС!I204</f>
        <v>79.819231978995063</v>
      </c>
      <c r="E35" s="755">
        <f>[11]АВР!H273</f>
        <v>284.31189940057334</v>
      </c>
      <c r="F35" s="745">
        <f>[11]АВР!K273</f>
        <v>0</v>
      </c>
      <c r="G35" s="756">
        <f t="shared" si="3"/>
        <v>284.31189940057334</v>
      </c>
      <c r="H35" s="756">
        <f t="shared" si="4"/>
        <v>425.42297976777814</v>
      </c>
      <c r="I35" s="727">
        <f t="shared" si="5"/>
        <v>425.42297976777814</v>
      </c>
      <c r="J35" s="755">
        <f>[11]пов!I25</f>
        <v>4.281474782323996</v>
      </c>
      <c r="K35" s="727">
        <f t="shared" si="0"/>
        <v>4.281474782323996</v>
      </c>
      <c r="L35" s="755">
        <f>[11]ОП!BZ112/1000</f>
        <v>18.299651739130432</v>
      </c>
      <c r="M35" s="755">
        <f>[11]Збут!K47</f>
        <v>13.483953913043477</v>
      </c>
      <c r="N35" s="755">
        <f>[11]ливн!G93/1000</f>
        <v>5.7786299999999997</v>
      </c>
      <c r="O35" s="728">
        <f t="shared" si="1"/>
        <v>467.26669020227604</v>
      </c>
      <c r="P35" s="676"/>
      <c r="R35" s="700"/>
      <c r="S35" s="728"/>
    </row>
    <row r="36" spans="1:19" s="766" customFormat="1" ht="15.75" x14ac:dyDescent="0.25">
      <c r="A36" s="765" t="s">
        <v>538</v>
      </c>
      <c r="B36" s="754"/>
      <c r="C36" s="755">
        <f>[11]ВНС!I236</f>
        <v>17.761462328351822</v>
      </c>
      <c r="D36" s="755">
        <f>[11]КНС!I205</f>
        <v>20.326974625800595</v>
      </c>
      <c r="E36" s="755">
        <f>[11]АВР!H274</f>
        <v>29.340470680218921</v>
      </c>
      <c r="F36" s="745">
        <f>[11]АВР!K274</f>
        <v>0</v>
      </c>
      <c r="G36" s="756">
        <f t="shared" si="3"/>
        <v>29.340470680218921</v>
      </c>
      <c r="H36" s="756">
        <f t="shared" si="4"/>
        <v>67.428907634371342</v>
      </c>
      <c r="I36" s="727">
        <f t="shared" si="5"/>
        <v>67.428907634371342</v>
      </c>
      <c r="J36" s="755">
        <f>[11]пов!I26+[11]пов!I27</f>
        <v>5.2568890191990265</v>
      </c>
      <c r="K36" s="727">
        <f t="shared" si="0"/>
        <v>5.2568890191990265</v>
      </c>
      <c r="L36" s="755">
        <f>([11]ОП!BZ123+[11]ОП!BZ127)/1000</f>
        <v>27.02</v>
      </c>
      <c r="M36" s="755">
        <f>[11]Збут!K50</f>
        <v>12.74</v>
      </c>
      <c r="N36" s="755">
        <f>[11]ливн!G105/1000</f>
        <v>6.37</v>
      </c>
      <c r="O36" s="728">
        <f t="shared" si="1"/>
        <v>118.81579665357036</v>
      </c>
      <c r="P36" s="676"/>
      <c r="R36" s="700"/>
      <c r="S36" s="728"/>
    </row>
    <row r="37" spans="1:19" s="729" customFormat="1" ht="15.75" x14ac:dyDescent="0.25">
      <c r="A37" s="736" t="s">
        <v>539</v>
      </c>
      <c r="B37" s="736"/>
      <c r="C37" s="724">
        <f>[11]ВНС!I224-C41</f>
        <v>0.41689999999999827</v>
      </c>
      <c r="D37" s="724">
        <f>[11]КНС!I101</f>
        <v>0.83379999999999999</v>
      </c>
      <c r="E37" s="724">
        <f>[11]АВР!H283</f>
        <v>3.1929927999999999</v>
      </c>
      <c r="F37" s="726"/>
      <c r="G37" s="738">
        <f>E37-F37</f>
        <v>3.1929927999999999</v>
      </c>
      <c r="H37" s="738">
        <f>I37-F37</f>
        <v>4.4436927999999982</v>
      </c>
      <c r="I37" s="727">
        <f>C37+D37+E37</f>
        <v>4.4436927999999982</v>
      </c>
      <c r="J37" s="724">
        <f>[11]пов!AB21</f>
        <v>1.4117440000000001</v>
      </c>
      <c r="K37" s="727">
        <f>F37+J37</f>
        <v>1.4117440000000001</v>
      </c>
      <c r="L37" s="724">
        <f>[11]Адм!I224</f>
        <v>89.149120400000001</v>
      </c>
      <c r="M37" s="724">
        <f>[11]Збут!K32</f>
        <v>91.350888800000007</v>
      </c>
      <c r="N37" s="724">
        <f>[11]пов!AA21</f>
        <v>0</v>
      </c>
      <c r="O37" s="728">
        <f>SUM(I37:N37)-K37</f>
        <v>186.355446</v>
      </c>
      <c r="P37" s="677"/>
      <c r="R37" s="700"/>
      <c r="S37" s="728"/>
    </row>
    <row r="38" spans="1:19" s="729" customFormat="1" ht="15.75" x14ac:dyDescent="0.25">
      <c r="A38" s="722" t="s">
        <v>540</v>
      </c>
      <c r="B38" s="736"/>
      <c r="C38" s="724"/>
      <c r="D38" s="724"/>
      <c r="E38" s="724"/>
      <c r="F38" s="726"/>
      <c r="G38" s="738">
        <f t="shared" si="3"/>
        <v>0</v>
      </c>
      <c r="H38" s="738">
        <f t="shared" si="4"/>
        <v>0</v>
      </c>
      <c r="I38" s="727">
        <f t="shared" si="5"/>
        <v>0</v>
      </c>
      <c r="J38" s="724">
        <f>[11]пов!AB22</f>
        <v>1.5</v>
      </c>
      <c r="K38" s="727">
        <f t="shared" si="0"/>
        <v>1.5</v>
      </c>
      <c r="L38" s="724">
        <f>[11]Адм!I14+[11]Адм!I15</f>
        <v>65.759999999999991</v>
      </c>
      <c r="M38" s="724">
        <f>[11]Збут!K13</f>
        <v>58.8</v>
      </c>
      <c r="N38" s="724">
        <f>[11]пов!AA22</f>
        <v>0</v>
      </c>
      <c r="O38" s="728">
        <f t="shared" si="1"/>
        <v>126.05999999999999</v>
      </c>
      <c r="P38" s="677"/>
      <c r="R38" s="700"/>
      <c r="S38" s="728"/>
    </row>
    <row r="39" spans="1:19" s="729" customFormat="1" ht="15.75" x14ac:dyDescent="0.25">
      <c r="A39" s="722" t="s">
        <v>541</v>
      </c>
      <c r="B39" s="736"/>
      <c r="C39" s="724"/>
      <c r="D39" s="724"/>
      <c r="E39" s="724"/>
      <c r="F39" s="726"/>
      <c r="G39" s="738">
        <f t="shared" si="3"/>
        <v>0</v>
      </c>
      <c r="H39" s="738">
        <f t="shared" si="4"/>
        <v>0</v>
      </c>
      <c r="I39" s="727">
        <f t="shared" si="5"/>
        <v>0</v>
      </c>
      <c r="J39" s="724"/>
      <c r="K39" s="727">
        <f t="shared" si="0"/>
        <v>0</v>
      </c>
      <c r="L39" s="724">
        <f>[11]Адм!I227</f>
        <v>24</v>
      </c>
      <c r="M39" s="724">
        <f>[11]Збут!J192</f>
        <v>25.5</v>
      </c>
      <c r="N39" s="724"/>
      <c r="O39" s="728">
        <f t="shared" si="1"/>
        <v>49.5</v>
      </c>
      <c r="P39" s="677"/>
      <c r="R39" s="700"/>
      <c r="S39" s="728"/>
    </row>
    <row r="40" spans="1:19" s="729" customFormat="1" ht="24.75" x14ac:dyDescent="0.25">
      <c r="A40" s="722" t="s">
        <v>542</v>
      </c>
      <c r="B40" s="736"/>
      <c r="C40" s="724"/>
      <c r="D40" s="724"/>
      <c r="E40" s="724"/>
      <c r="F40" s="726"/>
      <c r="G40" s="738">
        <f t="shared" si="3"/>
        <v>0</v>
      </c>
      <c r="H40" s="738">
        <f t="shared" si="4"/>
        <v>0</v>
      </c>
      <c r="I40" s="727">
        <f t="shared" si="5"/>
        <v>0</v>
      </c>
      <c r="J40" s="724"/>
      <c r="K40" s="727">
        <f t="shared" si="0"/>
        <v>0</v>
      </c>
      <c r="L40" s="724"/>
      <c r="M40" s="724">
        <f>[11]Збут!K11</f>
        <v>96</v>
      </c>
      <c r="N40" s="724"/>
      <c r="O40" s="728">
        <f t="shared" si="1"/>
        <v>96</v>
      </c>
      <c r="P40" s="677"/>
      <c r="R40" s="700"/>
      <c r="S40" s="728"/>
    </row>
    <row r="41" spans="1:19" s="729" customFormat="1" ht="15.75" x14ac:dyDescent="0.25">
      <c r="A41" s="722" t="s">
        <v>543</v>
      </c>
      <c r="B41" s="736"/>
      <c r="C41" s="725">
        <f>[11]ВНС!J143</f>
        <v>124.69168900000001</v>
      </c>
      <c r="D41" s="724">
        <f>[11]КНС!I194</f>
        <v>418.50554000000005</v>
      </c>
      <c r="E41" s="724">
        <f>[11]АВР!I212</f>
        <v>38.840600666666674</v>
      </c>
      <c r="F41" s="726"/>
      <c r="G41" s="738">
        <f t="shared" si="3"/>
        <v>38.840600666666674</v>
      </c>
      <c r="H41" s="738">
        <f>I41-F41</f>
        <v>582.03782966666677</v>
      </c>
      <c r="I41" s="727">
        <f t="shared" si="5"/>
        <v>582.03782966666677</v>
      </c>
      <c r="J41" s="724"/>
      <c r="K41" s="727">
        <f t="shared" si="0"/>
        <v>0</v>
      </c>
      <c r="L41" s="724"/>
      <c r="M41" s="724"/>
      <c r="N41" s="724"/>
      <c r="O41" s="728">
        <f t="shared" si="1"/>
        <v>582.03782966666677</v>
      </c>
      <c r="P41" s="677"/>
      <c r="R41" s="700"/>
      <c r="S41" s="728"/>
    </row>
    <row r="42" spans="1:19" s="729" customFormat="1" ht="24.75" x14ac:dyDescent="0.25">
      <c r="A42" s="722" t="s">
        <v>544</v>
      </c>
      <c r="B42" s="736"/>
      <c r="C42" s="724">
        <f>SUM(C43:C50)</f>
        <v>222.36359509333332</v>
      </c>
      <c r="D42" s="724">
        <f>SUM(D43:D50)</f>
        <v>77.243411760000001</v>
      </c>
      <c r="E42" s="724">
        <f>SUM(E43:E50)</f>
        <v>27.053411759999996</v>
      </c>
      <c r="F42" s="726"/>
      <c r="G42" s="738">
        <f t="shared" si="3"/>
        <v>27.053411759999996</v>
      </c>
      <c r="H42" s="738">
        <f t="shared" si="4"/>
        <v>326.66041861333332</v>
      </c>
      <c r="I42" s="727">
        <f t="shared" si="5"/>
        <v>326.66041861333332</v>
      </c>
      <c r="J42" s="724">
        <f>SUM(J43:J50)</f>
        <v>15.088333333333335</v>
      </c>
      <c r="K42" s="727">
        <f t="shared" si="0"/>
        <v>15.088333333333335</v>
      </c>
      <c r="L42" s="724">
        <f>SUM(L43:L50)</f>
        <v>521.24179375999995</v>
      </c>
      <c r="M42" s="724">
        <f>SUM(M43:M50)</f>
        <v>186.28899976</v>
      </c>
      <c r="N42" s="724">
        <f>SUM(N43:N50)</f>
        <v>818.46036960000004</v>
      </c>
      <c r="O42" s="728">
        <f t="shared" si="1"/>
        <v>1867.7399150666668</v>
      </c>
      <c r="P42" s="751">
        <f>SUM(O43:O46)</f>
        <v>389.04621213333337</v>
      </c>
      <c r="Q42" s="752"/>
      <c r="R42" s="700"/>
      <c r="S42" s="728"/>
    </row>
    <row r="43" spans="1:19" s="686" customFormat="1" ht="15.75" x14ac:dyDescent="0.25">
      <c r="A43" s="765" t="s">
        <v>545</v>
      </c>
      <c r="B43" s="754"/>
      <c r="C43" s="755">
        <f>[11]ВНС!I238</f>
        <v>2.8734117599999998</v>
      </c>
      <c r="D43" s="755">
        <f>[11]КНС!I207</f>
        <v>2.8734117599999998</v>
      </c>
      <c r="E43" s="755">
        <f>[11]АВР!H281</f>
        <v>2.8734117599999998</v>
      </c>
      <c r="F43" s="745"/>
      <c r="G43" s="756">
        <f t="shared" si="3"/>
        <v>2.8734117599999998</v>
      </c>
      <c r="H43" s="756">
        <f t="shared" si="4"/>
        <v>8.6202352799999993</v>
      </c>
      <c r="I43" s="727">
        <f t="shared" si="5"/>
        <v>8.6202352799999993</v>
      </c>
      <c r="J43" s="755">
        <f>[11]пов!AB23</f>
        <v>0.6</v>
      </c>
      <c r="K43" s="727">
        <f t="shared" si="0"/>
        <v>0.6</v>
      </c>
      <c r="L43" s="755">
        <f>[11]Адм!I222</f>
        <v>17.29079376</v>
      </c>
      <c r="M43" s="755">
        <f>[11]Збут!K17</f>
        <v>11.87499976</v>
      </c>
      <c r="N43" s="755"/>
      <c r="O43" s="728">
        <f t="shared" si="1"/>
        <v>38.386028799999998</v>
      </c>
      <c r="P43" s="676"/>
      <c r="R43" s="700"/>
      <c r="S43" s="728"/>
    </row>
    <row r="44" spans="1:19" s="766" customFormat="1" ht="15.75" x14ac:dyDescent="0.25">
      <c r="A44" s="765" t="s">
        <v>546</v>
      </c>
      <c r="B44" s="754"/>
      <c r="C44" s="755">
        <f>[11]ВНС!I239</f>
        <v>218.27568333333332</v>
      </c>
      <c r="D44" s="755">
        <f>[11]КНС!I130</f>
        <v>70.95</v>
      </c>
      <c r="E44" s="755"/>
      <c r="F44" s="745"/>
      <c r="G44" s="756">
        <f t="shared" si="3"/>
        <v>0</v>
      </c>
      <c r="H44" s="756">
        <f t="shared" si="4"/>
        <v>289.22568333333334</v>
      </c>
      <c r="I44" s="727">
        <f t="shared" si="5"/>
        <v>289.22568333333334</v>
      </c>
      <c r="J44" s="755"/>
      <c r="K44" s="727">
        <f t="shared" si="0"/>
        <v>0</v>
      </c>
      <c r="L44" s="755"/>
      <c r="M44" s="755"/>
      <c r="N44" s="755"/>
      <c r="O44" s="728">
        <f t="shared" si="1"/>
        <v>289.22568333333334</v>
      </c>
      <c r="P44" s="676"/>
      <c r="R44" s="700"/>
      <c r="S44" s="728"/>
    </row>
    <row r="45" spans="1:19" s="766" customFormat="1" ht="15.75" x14ac:dyDescent="0.25">
      <c r="A45" s="765" t="s">
        <v>547</v>
      </c>
      <c r="B45" s="754"/>
      <c r="C45" s="755"/>
      <c r="D45" s="755"/>
      <c r="E45" s="755">
        <f>[11]АВР!H280</f>
        <v>0</v>
      </c>
      <c r="F45" s="745"/>
      <c r="G45" s="756">
        <f t="shared" si="3"/>
        <v>0</v>
      </c>
      <c r="H45" s="756">
        <f t="shared" si="4"/>
        <v>0</v>
      </c>
      <c r="I45" s="727">
        <f t="shared" si="5"/>
        <v>0</v>
      </c>
      <c r="J45" s="755"/>
      <c r="K45" s="727">
        <f t="shared" si="0"/>
        <v>0</v>
      </c>
      <c r="L45" s="755"/>
      <c r="M45" s="755"/>
      <c r="N45" s="755"/>
      <c r="O45" s="728">
        <f t="shared" si="1"/>
        <v>0</v>
      </c>
      <c r="P45" s="676"/>
      <c r="R45" s="700"/>
      <c r="S45" s="728"/>
    </row>
    <row r="46" spans="1:19" s="686" customFormat="1" ht="12.75" customHeight="1" x14ac:dyDescent="0.25">
      <c r="A46" s="765" t="s">
        <v>548</v>
      </c>
      <c r="B46" s="754"/>
      <c r="C46" s="755">
        <f>[11]ВНС!J167+[11]ВНС!J166</f>
        <v>1.2144999999999999</v>
      </c>
      <c r="D46" s="755">
        <f>[11]КНС!I129+[11]КНС!I131</f>
        <v>3.42</v>
      </c>
      <c r="E46" s="755">
        <f>[11]АВР!H282</f>
        <v>1.4</v>
      </c>
      <c r="F46" s="745"/>
      <c r="G46" s="756">
        <f t="shared" si="3"/>
        <v>1.4</v>
      </c>
      <c r="H46" s="756">
        <f t="shared" si="4"/>
        <v>6.0344999999999995</v>
      </c>
      <c r="I46" s="727">
        <f t="shared" si="5"/>
        <v>6.0344999999999995</v>
      </c>
      <c r="J46" s="755"/>
      <c r="K46" s="727">
        <f t="shared" si="0"/>
        <v>0</v>
      </c>
      <c r="L46" s="755">
        <f>[11]Адм!I228</f>
        <v>55.4</v>
      </c>
      <c r="M46" s="755"/>
      <c r="N46" s="755"/>
      <c r="O46" s="728">
        <f t="shared" si="1"/>
        <v>61.4345</v>
      </c>
      <c r="P46" s="676"/>
      <c r="R46" s="700"/>
      <c r="S46" s="728"/>
    </row>
    <row r="47" spans="1:19" s="686" customFormat="1" ht="16.899999999999999" customHeight="1" x14ac:dyDescent="0.25">
      <c r="A47" s="767" t="s">
        <v>549</v>
      </c>
      <c r="B47" s="754"/>
      <c r="C47" s="755"/>
      <c r="D47" s="755"/>
      <c r="E47" s="755"/>
      <c r="F47" s="745"/>
      <c r="G47" s="756">
        <f t="shared" si="3"/>
        <v>0</v>
      </c>
      <c r="H47" s="756">
        <f t="shared" si="4"/>
        <v>0</v>
      </c>
      <c r="I47" s="727">
        <f t="shared" si="5"/>
        <v>0</v>
      </c>
      <c r="J47" s="755"/>
      <c r="K47" s="727">
        <f t="shared" si="0"/>
        <v>0</v>
      </c>
      <c r="L47" s="755">
        <f>[11]Адм!I13</f>
        <v>1.875</v>
      </c>
      <c r="M47" s="755">
        <f>+[11]Збут!K10+[11]Збут!K14</f>
        <v>48.024000000000001</v>
      </c>
      <c r="N47" s="755"/>
      <c r="O47" s="728">
        <f t="shared" si="1"/>
        <v>49.899000000000001</v>
      </c>
      <c r="P47" s="676"/>
      <c r="R47" s="700"/>
      <c r="S47" s="728"/>
    </row>
    <row r="48" spans="1:19" s="686" customFormat="1" ht="16.899999999999999" customHeight="1" x14ac:dyDescent="0.25">
      <c r="A48" s="767" t="str">
        <f>[11]Адм!B22</f>
        <v>Послуги аудиторські</v>
      </c>
      <c r="B48" s="754"/>
      <c r="C48" s="755"/>
      <c r="D48" s="755"/>
      <c r="E48" s="755"/>
      <c r="F48" s="745"/>
      <c r="G48" s="756">
        <f t="shared" si="3"/>
        <v>0</v>
      </c>
      <c r="H48" s="756">
        <f>I48-F48</f>
        <v>0</v>
      </c>
      <c r="I48" s="727">
        <f t="shared" si="5"/>
        <v>0</v>
      </c>
      <c r="J48" s="755"/>
      <c r="K48" s="727">
        <f t="shared" si="0"/>
        <v>0</v>
      </c>
      <c r="L48" s="755">
        <f>[11]Адм!I235</f>
        <v>85.674999999999997</v>
      </c>
      <c r="M48" s="755"/>
      <c r="N48" s="755"/>
      <c r="O48" s="728">
        <f t="shared" si="1"/>
        <v>85.674999999999997</v>
      </c>
      <c r="P48" s="676"/>
      <c r="R48" s="700"/>
      <c r="S48" s="728"/>
    </row>
    <row r="49" spans="1:19" s="686" customFormat="1" ht="16.899999999999999" customHeight="1" x14ac:dyDescent="0.25">
      <c r="A49" s="768" t="str">
        <f>[11]фінпл!B343</f>
        <v>Проведення технічної інвент.</v>
      </c>
      <c r="B49" s="754"/>
      <c r="C49" s="755"/>
      <c r="D49" s="755"/>
      <c r="E49" s="755"/>
      <c r="F49" s="745"/>
      <c r="G49" s="756">
        <f t="shared" si="3"/>
        <v>0</v>
      </c>
      <c r="H49" s="756">
        <f>I49-F49</f>
        <v>0</v>
      </c>
      <c r="I49" s="727">
        <f t="shared" si="5"/>
        <v>0</v>
      </c>
      <c r="J49" s="755"/>
      <c r="K49" s="727">
        <f t="shared" si="0"/>
        <v>0</v>
      </c>
      <c r="L49" s="755"/>
      <c r="M49" s="755"/>
      <c r="N49" s="755">
        <f>[11]фінпл!W343/1000</f>
        <v>751.04100000000005</v>
      </c>
      <c r="O49" s="728">
        <f t="shared" ref="O49" si="6">SUM(I49:N49)-K49</f>
        <v>751.04100000000005</v>
      </c>
      <c r="P49" s="676"/>
      <c r="R49" s="700"/>
      <c r="S49" s="728"/>
    </row>
    <row r="50" spans="1:19" s="686" customFormat="1" ht="16.899999999999999" customHeight="1" x14ac:dyDescent="0.25">
      <c r="A50" s="767" t="s">
        <v>550</v>
      </c>
      <c r="B50" s="754"/>
      <c r="C50" s="755"/>
      <c r="D50" s="755">
        <f>[11]КНС!I132</f>
        <v>0</v>
      </c>
      <c r="E50" s="755">
        <f>[11]АВР!H284+[11]АВР!H285</f>
        <v>22.779999999999998</v>
      </c>
      <c r="F50" s="745"/>
      <c r="G50" s="756">
        <f t="shared" si="3"/>
        <v>22.779999999999998</v>
      </c>
      <c r="H50" s="756">
        <f t="shared" si="4"/>
        <v>22.779999999999998</v>
      </c>
      <c r="I50" s="727">
        <f t="shared" si="5"/>
        <v>22.779999999999998</v>
      </c>
      <c r="J50" s="755">
        <f>[11]пов!AB18</f>
        <v>14.488333333333335</v>
      </c>
      <c r="K50" s="727">
        <f t="shared" si="0"/>
        <v>14.488333333333335</v>
      </c>
      <c r="L50" s="755">
        <f>[11]Адм!I232+[11]Адм!I233+[11]Адм!I234</f>
        <v>361.00099999999998</v>
      </c>
      <c r="M50" s="755">
        <f>[11]Збут!K12+[11]Збут!K20+[11]Збут!K21</f>
        <v>126.38999999999999</v>
      </c>
      <c r="N50" s="755">
        <f>([11]ливн!G97+[11]ливн!G100+[11]ливн!G101+[11]ливн!G102)/1000</f>
        <v>67.41936960000001</v>
      </c>
      <c r="O50" s="728">
        <f t="shared" si="1"/>
        <v>592.07870293333326</v>
      </c>
      <c r="P50" s="676"/>
      <c r="R50" s="700"/>
      <c r="S50" s="728"/>
    </row>
    <row r="51" spans="1:19" s="774" customFormat="1" ht="19.5" customHeight="1" x14ac:dyDescent="0.25">
      <c r="A51" s="769" t="s">
        <v>551</v>
      </c>
      <c r="B51" s="770"/>
      <c r="C51" s="771"/>
      <c r="D51" s="771"/>
      <c r="E51" s="771"/>
      <c r="F51" s="726"/>
      <c r="G51" s="772">
        <f t="shared" si="3"/>
        <v>0</v>
      </c>
      <c r="H51" s="772">
        <f t="shared" si="4"/>
        <v>0</v>
      </c>
      <c r="I51" s="727">
        <f t="shared" si="5"/>
        <v>0</v>
      </c>
      <c r="J51" s="771">
        <f>[11]пов!I111+[11]пов!I114</f>
        <v>123.72</v>
      </c>
      <c r="K51" s="727">
        <f t="shared" si="0"/>
        <v>123.72</v>
      </c>
      <c r="L51" s="771"/>
      <c r="M51" s="771"/>
      <c r="N51" s="771"/>
      <c r="O51" s="728">
        <f t="shared" si="1"/>
        <v>123.72</v>
      </c>
      <c r="P51" s="773"/>
      <c r="R51" s="700"/>
      <c r="S51" s="728"/>
    </row>
    <row r="52" spans="1:19" s="686" customFormat="1" ht="19.5" customHeight="1" x14ac:dyDescent="0.25">
      <c r="A52" s="736" t="s">
        <v>552</v>
      </c>
      <c r="B52" s="754"/>
      <c r="C52" s="755"/>
      <c r="D52" s="755"/>
      <c r="E52" s="755"/>
      <c r="F52" s="745"/>
      <c r="G52" s="756">
        <f t="shared" si="3"/>
        <v>0</v>
      </c>
      <c r="H52" s="756">
        <f t="shared" si="4"/>
        <v>0</v>
      </c>
      <c r="I52" s="727">
        <f t="shared" si="5"/>
        <v>0</v>
      </c>
      <c r="J52" s="771">
        <f>([11]пов!H82+[11]пов!H85)/1000</f>
        <v>0</v>
      </c>
      <c r="K52" s="727">
        <f t="shared" si="0"/>
        <v>0</v>
      </c>
      <c r="L52" s="755"/>
      <c r="M52" s="755"/>
      <c r="N52" s="771"/>
      <c r="O52" s="728">
        <f t="shared" si="1"/>
        <v>0</v>
      </c>
      <c r="P52" s="676"/>
      <c r="R52" s="700"/>
      <c r="S52" s="728"/>
    </row>
    <row r="53" spans="1:19" s="686" customFormat="1" ht="16.899999999999999" customHeight="1" x14ac:dyDescent="0.25">
      <c r="A53" s="736" t="s">
        <v>553</v>
      </c>
      <c r="B53" s="736"/>
      <c r="C53" s="755">
        <f>[11]ВНС!J168</f>
        <v>0</v>
      </c>
      <c r="D53" s="755"/>
      <c r="E53" s="755"/>
      <c r="F53" s="745"/>
      <c r="G53" s="756">
        <f t="shared" si="3"/>
        <v>0</v>
      </c>
      <c r="H53" s="756">
        <f t="shared" si="4"/>
        <v>0</v>
      </c>
      <c r="I53" s="727">
        <f t="shared" si="5"/>
        <v>0</v>
      </c>
      <c r="J53" s="724">
        <f>[11]пов!AB25</f>
        <v>2.4300000000000002</v>
      </c>
      <c r="K53" s="727">
        <f t="shared" si="0"/>
        <v>2.4300000000000002</v>
      </c>
      <c r="L53" s="771">
        <f>[11]Адм!I229</f>
        <v>47.757499999999993</v>
      </c>
      <c r="M53" s="724">
        <f>[11]Збут!K22</f>
        <v>0.46416239999999992</v>
      </c>
      <c r="N53" s="755"/>
      <c r="O53" s="728">
        <f t="shared" si="1"/>
        <v>50.651662399999992</v>
      </c>
      <c r="P53" s="676"/>
      <c r="R53" s="700"/>
      <c r="S53" s="728"/>
    </row>
    <row r="54" spans="1:19" s="739" customFormat="1" ht="15.75" x14ac:dyDescent="0.25">
      <c r="A54" s="736" t="s">
        <v>554</v>
      </c>
      <c r="B54" s="736"/>
      <c r="C54" s="724">
        <f>[11]ВНС!J180</f>
        <v>0</v>
      </c>
      <c r="D54" s="724">
        <f>[11]КНС!I134</f>
        <v>0</v>
      </c>
      <c r="E54" s="724"/>
      <c r="F54" s="726"/>
      <c r="G54" s="738">
        <f t="shared" si="3"/>
        <v>0</v>
      </c>
      <c r="H54" s="738">
        <f t="shared" si="4"/>
        <v>0</v>
      </c>
      <c r="I54" s="727">
        <f t="shared" si="5"/>
        <v>0</v>
      </c>
      <c r="J54" s="724">
        <f>[11]пов!AB24</f>
        <v>3.6</v>
      </c>
      <c r="K54" s="727">
        <f t="shared" si="0"/>
        <v>3.6</v>
      </c>
      <c r="L54" s="724">
        <f>[11]Адм!I231+[11]Адм!I230</f>
        <v>1.1879999999999999</v>
      </c>
      <c r="M54" s="724">
        <f>[11]Збут!J194</f>
        <v>0.86099999999999999</v>
      </c>
      <c r="N54" s="724"/>
      <c r="O54" s="728">
        <f t="shared" si="1"/>
        <v>5.6490000000000009</v>
      </c>
      <c r="P54" s="677"/>
      <c r="R54" s="700"/>
      <c r="S54" s="728"/>
    </row>
    <row r="55" spans="1:19" s="739" customFormat="1" ht="15.75" x14ac:dyDescent="0.25">
      <c r="A55" s="736" t="s">
        <v>555</v>
      </c>
      <c r="B55" s="736"/>
      <c r="C55" s="724"/>
      <c r="D55" s="724"/>
      <c r="E55" s="724"/>
      <c r="F55" s="726"/>
      <c r="G55" s="737">
        <f t="shared" si="3"/>
        <v>0</v>
      </c>
      <c r="H55" s="738">
        <f t="shared" si="4"/>
        <v>0</v>
      </c>
      <c r="I55" s="727">
        <f t="shared" si="5"/>
        <v>0</v>
      </c>
      <c r="J55" s="724"/>
      <c r="K55" s="727">
        <f t="shared" si="0"/>
        <v>0</v>
      </c>
      <c r="L55" s="724"/>
      <c r="M55" s="724">
        <f>[11]Збут!J186</f>
        <v>239.13528818049841</v>
      </c>
      <c r="N55" s="724"/>
      <c r="O55" s="728">
        <f t="shared" si="1"/>
        <v>239.13528818049841</v>
      </c>
      <c r="P55" s="677"/>
      <c r="R55" s="700"/>
      <c r="S55" s="728"/>
    </row>
    <row r="56" spans="1:19" s="739" customFormat="1" ht="15.75" x14ac:dyDescent="0.25">
      <c r="A56" s="736" t="s">
        <v>556</v>
      </c>
      <c r="B56" s="736"/>
      <c r="C56" s="724"/>
      <c r="D56" s="724"/>
      <c r="E56" s="724"/>
      <c r="F56" s="726"/>
      <c r="G56" s="737">
        <f t="shared" si="3"/>
        <v>0</v>
      </c>
      <c r="H56" s="738">
        <f t="shared" si="4"/>
        <v>0</v>
      </c>
      <c r="I56" s="727">
        <f t="shared" si="5"/>
        <v>0</v>
      </c>
      <c r="J56" s="724"/>
      <c r="K56" s="727">
        <f t="shared" si="0"/>
        <v>0</v>
      </c>
      <c r="L56" s="724">
        <f>[11]Адм!I214</f>
        <v>54.900008331993</v>
      </c>
      <c r="M56" s="724"/>
      <c r="N56" s="724"/>
      <c r="O56" s="728">
        <f t="shared" si="1"/>
        <v>54.900008331993</v>
      </c>
      <c r="P56" s="677"/>
      <c r="R56" s="700"/>
      <c r="S56" s="728"/>
    </row>
    <row r="57" spans="1:19" s="739" customFormat="1" ht="15.75" x14ac:dyDescent="0.25">
      <c r="A57" s="736" t="s">
        <v>557</v>
      </c>
      <c r="B57" s="736"/>
      <c r="C57" s="724"/>
      <c r="D57" s="724"/>
      <c r="E57" s="724"/>
      <c r="F57" s="726"/>
      <c r="G57" s="737">
        <f t="shared" si="3"/>
        <v>0</v>
      </c>
      <c r="H57" s="738">
        <f>I57-F57</f>
        <v>0</v>
      </c>
      <c r="I57" s="727">
        <f t="shared" si="5"/>
        <v>0</v>
      </c>
      <c r="J57" s="724"/>
      <c r="K57" s="727">
        <f t="shared" si="0"/>
        <v>0</v>
      </c>
      <c r="L57" s="724"/>
      <c r="M57" s="724"/>
      <c r="N57" s="724">
        <f>([11]ливн!G112+[11]ливн!G111+[11]ливн!G113)/1000</f>
        <v>1044.4000000000001</v>
      </c>
      <c r="O57" s="728">
        <f t="shared" si="1"/>
        <v>1044.4000000000001</v>
      </c>
      <c r="P57" s="677"/>
      <c r="R57" s="700"/>
      <c r="S57" s="728"/>
    </row>
    <row r="58" spans="1:19" s="739" customFormat="1" ht="15.75" x14ac:dyDescent="0.25">
      <c r="A58" s="736" t="s">
        <v>558</v>
      </c>
      <c r="B58" s="736"/>
      <c r="C58" s="724"/>
      <c r="D58" s="724"/>
      <c r="E58" s="724"/>
      <c r="F58" s="726"/>
      <c r="G58" s="737">
        <f t="shared" si="3"/>
        <v>0</v>
      </c>
      <c r="H58" s="738">
        <f>I58-F58</f>
        <v>0</v>
      </c>
      <c r="I58" s="727">
        <f t="shared" si="5"/>
        <v>0</v>
      </c>
      <c r="J58" s="724"/>
      <c r="K58" s="727">
        <f t="shared" si="0"/>
        <v>0</v>
      </c>
      <c r="L58" s="724"/>
      <c r="M58" s="724"/>
      <c r="N58" s="724">
        <f>([11]ливн!G108)/1000</f>
        <v>85.709000000000003</v>
      </c>
      <c r="O58" s="728">
        <f t="shared" si="1"/>
        <v>85.709000000000003</v>
      </c>
      <c r="P58" s="677"/>
      <c r="R58" s="700"/>
      <c r="S58" s="728"/>
    </row>
    <row r="59" spans="1:19" s="729" customFormat="1" ht="15.75" x14ac:dyDescent="0.25">
      <c r="A59" s="722" t="s">
        <v>559</v>
      </c>
      <c r="B59" s="736"/>
      <c r="C59" s="724"/>
      <c r="D59" s="724"/>
      <c r="E59" s="724"/>
      <c r="F59" s="726"/>
      <c r="G59" s="737">
        <f t="shared" si="3"/>
        <v>0</v>
      </c>
      <c r="H59" s="738">
        <f>I59-F59</f>
        <v>0</v>
      </c>
      <c r="I59" s="727">
        <f t="shared" si="5"/>
        <v>0</v>
      </c>
      <c r="J59" s="724"/>
      <c r="K59" s="727">
        <f t="shared" si="0"/>
        <v>0</v>
      </c>
      <c r="L59" s="724"/>
      <c r="M59" s="724"/>
      <c r="N59" s="724">
        <f>[11]ливн!G109/1000</f>
        <v>378.42899999999997</v>
      </c>
      <c r="O59" s="728">
        <f>SUM(I59:N59)-K59</f>
        <v>378.42899999999997</v>
      </c>
      <c r="P59" s="677"/>
      <c r="R59" s="700"/>
      <c r="S59" s="728"/>
    </row>
    <row r="60" spans="1:19" s="729" customFormat="1" ht="15.75" x14ac:dyDescent="0.25">
      <c r="A60" s="736" t="s">
        <v>560</v>
      </c>
      <c r="B60" s="736"/>
      <c r="C60" s="724">
        <f>[11]ВНС!J186+[11]ВНС!J187</f>
        <v>16.771598897131359</v>
      </c>
      <c r="D60" s="724"/>
      <c r="E60" s="724"/>
      <c r="F60" s="726"/>
      <c r="G60" s="737">
        <f t="shared" si="3"/>
        <v>0</v>
      </c>
      <c r="H60" s="738">
        <f t="shared" si="4"/>
        <v>16.771598897131359</v>
      </c>
      <c r="I60" s="727">
        <f t="shared" si="5"/>
        <v>16.771598897131359</v>
      </c>
      <c r="J60" s="724"/>
      <c r="K60" s="727">
        <f t="shared" si="0"/>
        <v>0</v>
      </c>
      <c r="L60" s="724"/>
      <c r="M60" s="724"/>
      <c r="N60" s="724"/>
      <c r="O60" s="728">
        <f t="shared" si="1"/>
        <v>16.771598897131359</v>
      </c>
      <c r="P60" s="677"/>
      <c r="R60" s="700"/>
      <c r="S60" s="728"/>
    </row>
    <row r="61" spans="1:19" s="729" customFormat="1" ht="15.75" x14ac:dyDescent="0.25">
      <c r="A61" s="736" t="s">
        <v>561</v>
      </c>
      <c r="B61" s="736"/>
      <c r="C61" s="775">
        <f>[11]ВНС!J184</f>
        <v>801.50484119999999</v>
      </c>
      <c r="D61" s="724">
        <f>[11]КНС!I145</f>
        <v>210.47805380000003</v>
      </c>
      <c r="E61" s="724"/>
      <c r="F61" s="726"/>
      <c r="G61" s="737">
        <f t="shared" si="3"/>
        <v>0</v>
      </c>
      <c r="H61" s="738">
        <f t="shared" si="4"/>
        <v>1011.982895</v>
      </c>
      <c r="I61" s="727">
        <f t="shared" si="5"/>
        <v>1011.982895</v>
      </c>
      <c r="J61" s="724"/>
      <c r="K61" s="727">
        <f t="shared" si="0"/>
        <v>0</v>
      </c>
      <c r="L61" s="724"/>
      <c r="M61" s="724"/>
      <c r="N61" s="724"/>
      <c r="O61" s="728">
        <f t="shared" si="1"/>
        <v>1011.982895</v>
      </c>
      <c r="P61" s="677"/>
      <c r="R61" s="700"/>
      <c r="S61" s="728"/>
    </row>
    <row r="62" spans="1:19" s="525" customFormat="1" ht="16.5" customHeight="1" x14ac:dyDescent="0.25">
      <c r="A62" s="72" t="s">
        <v>562</v>
      </c>
      <c r="B62" s="688" t="s">
        <v>122</v>
      </c>
      <c r="C62" s="696"/>
      <c r="D62" s="696"/>
      <c r="E62" s="696"/>
      <c r="F62" s="698"/>
      <c r="G62" s="737">
        <f t="shared" si="3"/>
        <v>0</v>
      </c>
      <c r="H62" s="776">
        <f t="shared" si="4"/>
        <v>0</v>
      </c>
      <c r="I62" s="727">
        <f t="shared" si="5"/>
        <v>0</v>
      </c>
      <c r="J62" s="696"/>
      <c r="K62" s="727">
        <f t="shared" si="0"/>
        <v>0</v>
      </c>
      <c r="L62" s="696">
        <f>L16+L17+L20+L21+L22+L31+L37+L38+L39+L42+L53+L54+L56</f>
        <v>11479.44071412395</v>
      </c>
      <c r="M62" s="696"/>
      <c r="N62" s="696"/>
      <c r="O62" s="728">
        <f t="shared" si="1"/>
        <v>11479.44071412395</v>
      </c>
      <c r="P62" s="16"/>
      <c r="R62" s="700"/>
      <c r="S62" s="728"/>
    </row>
    <row r="63" spans="1:19" s="525" customFormat="1" ht="16.5" customHeight="1" x14ac:dyDescent="0.25">
      <c r="A63" s="72" t="s">
        <v>563</v>
      </c>
      <c r="B63" s="688" t="s">
        <v>125</v>
      </c>
      <c r="C63" s="696"/>
      <c r="D63" s="696"/>
      <c r="E63" s="696"/>
      <c r="F63" s="698"/>
      <c r="G63" s="737">
        <f t="shared" si="3"/>
        <v>0</v>
      </c>
      <c r="H63" s="776">
        <f t="shared" si="4"/>
        <v>0</v>
      </c>
      <c r="I63" s="727">
        <f t="shared" si="5"/>
        <v>0</v>
      </c>
      <c r="J63" s="696"/>
      <c r="K63" s="727">
        <f t="shared" si="0"/>
        <v>0</v>
      </c>
      <c r="L63" s="696"/>
      <c r="M63" s="696">
        <f>SUM(M16+M17+M20+M21+M22+M30+M31+M37+M38+M39+M40+M41+M42+M53+M54+M55)</f>
        <v>5219.512478564292</v>
      </c>
      <c r="N63" s="696"/>
      <c r="O63" s="728">
        <f t="shared" si="1"/>
        <v>5219.512478564292</v>
      </c>
      <c r="P63" s="16"/>
      <c r="R63" s="700">
        <f>O63-[11]Збут!K52</f>
        <v>0</v>
      </c>
      <c r="S63" s="728"/>
    </row>
    <row r="64" spans="1:19" s="525" customFormat="1" ht="20.25" customHeight="1" x14ac:dyDescent="0.25">
      <c r="A64" s="72" t="s">
        <v>564</v>
      </c>
      <c r="B64" s="688" t="s">
        <v>125</v>
      </c>
      <c r="C64" s="696"/>
      <c r="D64" s="696"/>
      <c r="E64" s="696"/>
      <c r="F64" s="698"/>
      <c r="G64" s="737">
        <f t="shared" si="3"/>
        <v>0</v>
      </c>
      <c r="H64" s="776">
        <f t="shared" si="4"/>
        <v>0</v>
      </c>
      <c r="I64" s="727">
        <f t="shared" si="5"/>
        <v>0</v>
      </c>
      <c r="J64" s="696">
        <f>J16+J17+J20+J21+J22+J30+J31+J37+J38+J42+J51+J52+J53+J54</f>
        <v>3006.3653869808454</v>
      </c>
      <c r="K64" s="727">
        <f>K16+K17+K18+K20+K21+K22+K31+K37+K38+K42+K51+K52+K53+K54</f>
        <v>3034.2959453141784</v>
      </c>
      <c r="L64" s="696"/>
      <c r="M64" s="696"/>
      <c r="N64" s="696"/>
      <c r="O64" s="728">
        <f t="shared" si="1"/>
        <v>3006.365386980845</v>
      </c>
      <c r="P64" s="16"/>
      <c r="R64" s="700"/>
      <c r="S64" s="728"/>
    </row>
    <row r="65" spans="1:30" s="525" customFormat="1" ht="67.5" customHeight="1" x14ac:dyDescent="0.25">
      <c r="A65" s="72" t="s">
        <v>565</v>
      </c>
      <c r="B65" s="688" t="e">
        <v>#REF!</v>
      </c>
      <c r="C65" s="696"/>
      <c r="D65" s="696"/>
      <c r="E65" s="696"/>
      <c r="F65" s="698"/>
      <c r="G65" s="737">
        <f t="shared" si="3"/>
        <v>0</v>
      </c>
      <c r="H65" s="776">
        <f>I65-F65</f>
        <v>0</v>
      </c>
      <c r="I65" s="727">
        <f t="shared" si="5"/>
        <v>0</v>
      </c>
      <c r="J65" s="696"/>
      <c r="K65" s="727">
        <f t="shared" si="0"/>
        <v>0</v>
      </c>
      <c r="L65" s="696"/>
      <c r="M65" s="696"/>
      <c r="N65" s="696">
        <f>N16+N17+N20+N21+N22+N31+N37+N38+N42+N59+N57+N58</f>
        <v>3630.8549991</v>
      </c>
      <c r="O65" s="728">
        <f t="shared" si="1"/>
        <v>3630.8549991</v>
      </c>
      <c r="P65" s="16"/>
      <c r="R65" s="700"/>
      <c r="S65" s="728"/>
    </row>
    <row r="66" spans="1:30" s="762" customFormat="1" ht="19.899999999999999" customHeight="1" x14ac:dyDescent="0.2">
      <c r="A66" s="777" t="s">
        <v>566</v>
      </c>
      <c r="B66" s="755"/>
      <c r="C66" s="755"/>
      <c r="D66" s="755"/>
      <c r="E66" s="755">
        <f>[11]АВР!K287</f>
        <v>27.930558333333295</v>
      </c>
      <c r="F66" s="745">
        <f>[11]АВР!K287</f>
        <v>27.930558333333295</v>
      </c>
      <c r="G66" s="737">
        <f t="shared" si="3"/>
        <v>0</v>
      </c>
      <c r="H66" s="756">
        <f t="shared" si="4"/>
        <v>0</v>
      </c>
      <c r="I66" s="778">
        <f t="shared" si="5"/>
        <v>27.930558333333295</v>
      </c>
      <c r="J66" s="753">
        <f>[11]пов!AE87</f>
        <v>3006.3653869808454</v>
      </c>
      <c r="K66" s="727">
        <f>F66+J66</f>
        <v>3034.2959453141789</v>
      </c>
      <c r="L66" s="753">
        <f>[11]Адм!L239</f>
        <v>0</v>
      </c>
      <c r="M66" s="753">
        <f>[11]Збут!N52+[11]Збут!M52</f>
        <v>1832.2608207804985</v>
      </c>
      <c r="N66" s="753">
        <f>[11]пов!AD87</f>
        <v>0</v>
      </c>
      <c r="O66" s="728"/>
      <c r="P66" s="761"/>
      <c r="R66" s="779"/>
      <c r="S66" s="780"/>
      <c r="V66" s="781">
        <f>I66+J66</f>
        <v>3034.2959453141789</v>
      </c>
    </row>
    <row r="67" spans="1:30" s="707" customFormat="1" ht="14.25" customHeight="1" x14ac:dyDescent="0.25">
      <c r="A67" s="701"/>
      <c r="B67" s="702"/>
      <c r="C67" s="702"/>
      <c r="D67" s="702"/>
      <c r="E67" s="702"/>
      <c r="F67" s="704"/>
      <c r="G67" s="698">
        <f t="shared" si="3"/>
        <v>0</v>
      </c>
      <c r="H67" s="704">
        <f t="shared" si="4"/>
        <v>0</v>
      </c>
      <c r="I67" s="727"/>
      <c r="J67" s="702"/>
      <c r="K67" s="727">
        <f t="shared" si="0"/>
        <v>0</v>
      </c>
      <c r="L67" s="702"/>
      <c r="M67" s="702"/>
      <c r="N67" s="702"/>
      <c r="O67" s="728">
        <f t="shared" si="1"/>
        <v>0</v>
      </c>
      <c r="P67" s="706"/>
      <c r="R67" s="700" t="s">
        <v>91</v>
      </c>
      <c r="S67" s="728"/>
      <c r="T67" s="525" t="s">
        <v>567</v>
      </c>
    </row>
    <row r="68" spans="1:30" s="707" customFormat="1" ht="15.75" x14ac:dyDescent="0.25">
      <c r="A68" s="782" t="s">
        <v>568</v>
      </c>
      <c r="B68" s="783" t="s">
        <v>130</v>
      </c>
      <c r="C68" s="784">
        <f>C64+C63+C62+C13+C11+C10+C9+C8+C7+C3</f>
        <v>24807.908269059873</v>
      </c>
      <c r="D68" s="784">
        <f>D64+D63+D62+D13+D11+D10+D9+D8+D7+D3</f>
        <v>18851.550490518435</v>
      </c>
      <c r="E68" s="784">
        <f>E64+E63+E62+E13+E11+E10+E9+E8+E7+E3</f>
        <v>12350.776585013708</v>
      </c>
      <c r="F68" s="785">
        <f>F64+F63+F62+F13+F10+F9+F8+F7+F3</f>
        <v>27.930558333333295</v>
      </c>
      <c r="G68" s="785">
        <f>G64+G63+G62+G13+G10+G9+G8+G7+G3</f>
        <v>12322.846026680374</v>
      </c>
      <c r="H68" s="785">
        <f>H64+H63+H62+H13+H10+H9+H8+H7+H3</f>
        <v>17480.656937163658</v>
      </c>
      <c r="I68" s="786">
        <f>C68+D68+E68</f>
        <v>56010.235344592016</v>
      </c>
      <c r="J68" s="784">
        <f>J64</f>
        <v>3006.3653869808454</v>
      </c>
      <c r="K68" s="784">
        <f>K64</f>
        <v>3034.2959453141784</v>
      </c>
      <c r="L68" s="784">
        <f>L62</f>
        <v>11479.44071412395</v>
      </c>
      <c r="M68" s="784">
        <f>M63</f>
        <v>5219.512478564292</v>
      </c>
      <c r="N68" s="784">
        <f>N65</f>
        <v>3630.8549991</v>
      </c>
      <c r="O68" s="787">
        <f>SUM(I68:N68)-K68</f>
        <v>79346.408923361116</v>
      </c>
      <c r="P68" s="788"/>
      <c r="Q68" s="789"/>
      <c r="R68" s="790">
        <f>[11]дох!V36/1000</f>
        <v>2256.18084</v>
      </c>
      <c r="S68" s="787">
        <f>[11]ФП!F78+R68</f>
        <v>2256.6376416585317</v>
      </c>
      <c r="T68" s="613">
        <f>S68-R68</f>
        <v>0.45680165853173094</v>
      </c>
      <c r="V68" s="789">
        <f>O68+[11]Аморт!H45/1000</f>
        <v>80141.08252336111</v>
      </c>
    </row>
    <row r="69" spans="1:30" s="793" customFormat="1" x14ac:dyDescent="0.2">
      <c r="A69" s="791"/>
      <c r="B69" s="792"/>
      <c r="C69" s="792">
        <f>[11]ВНС!I250-[11]ВНС!I244</f>
        <v>24807.908269059873</v>
      </c>
      <c r="D69" s="792">
        <f>[11]КНС!I218-[11]КНС!I212</f>
        <v>18851.550490518432</v>
      </c>
      <c r="E69" s="792">
        <f>[11]АВР!H287</f>
        <v>12350.776585013708</v>
      </c>
      <c r="F69" s="792">
        <f>[11]АВР!K287</f>
        <v>27.930558333333295</v>
      </c>
      <c r="G69" s="792">
        <f>[11]АВР!I287+[11]АВР!J287</f>
        <v>12322.846026680374</v>
      </c>
      <c r="H69" s="792">
        <f>[11]ФП!F57</f>
        <v>17480.656937163658</v>
      </c>
      <c r="I69" s="792">
        <f>[11]ВНС!I250+[11]КНС!I218+[11]АВР!K287</f>
        <v>56010.235344592016</v>
      </c>
      <c r="J69" s="792">
        <f>[11]пов!AB87</f>
        <v>3006.3653869808454</v>
      </c>
      <c r="K69" s="792"/>
      <c r="L69" s="792">
        <f>[11]Адм!I239</f>
        <v>11479.44071412395</v>
      </c>
      <c r="M69" s="792">
        <f>[11]Збут!K52</f>
        <v>5219.512478564292</v>
      </c>
      <c r="N69" s="791"/>
      <c r="O69" s="792">
        <f>C69+D69+E69+L62+M63+J64+N65</f>
        <v>79346.408923361116</v>
      </c>
      <c r="R69" s="664">
        <f>[11]ВНС!I250+[11]КНС!I218+[11]АВР!K287+[11]Адм!I239+[11]Збут!J216+[11]пов!AB87+[11]ливн!G121/1000</f>
        <v>79346.408923361116</v>
      </c>
      <c r="S69" s="794">
        <f>R69-O68</f>
        <v>0</v>
      </c>
    </row>
    <row r="70" spans="1:30" s="799" customFormat="1" x14ac:dyDescent="0.2">
      <c r="A70" s="795"/>
      <c r="B70" s="796"/>
      <c r="C70" s="797">
        <f>C68-C69</f>
        <v>0</v>
      </c>
      <c r="D70" s="630">
        <f t="shared" ref="D70:J70" si="7">D68-D69</f>
        <v>0</v>
      </c>
      <c r="E70" s="630">
        <f t="shared" si="7"/>
        <v>0</v>
      </c>
      <c r="F70" s="630">
        <f t="shared" si="7"/>
        <v>0</v>
      </c>
      <c r="G70" s="630">
        <f t="shared" si="7"/>
        <v>0</v>
      </c>
      <c r="H70" s="630">
        <f>H68-H69</f>
        <v>0</v>
      </c>
      <c r="I70" s="630">
        <f t="shared" si="7"/>
        <v>0</v>
      </c>
      <c r="J70" s="798">
        <f t="shared" si="7"/>
        <v>0</v>
      </c>
      <c r="K70" s="630"/>
      <c r="L70" s="630">
        <f>L68-L69</f>
        <v>0</v>
      </c>
      <c r="M70" s="798">
        <f>M68-M69</f>
        <v>0</v>
      </c>
      <c r="N70" s="630">
        <f>[11]ливн!G121/1000-N68</f>
        <v>0</v>
      </c>
      <c r="O70" s="630">
        <f>O68-O69</f>
        <v>0</v>
      </c>
      <c r="R70" s="664">
        <f>[11]ВНС!I192-[11]ВНС!J188+[11]КНС!I155-[11]КНС!I151+[11]АВР!G228+[11]Адм!I40+[11]Збут!K52+[11]пов!I122+[11]ливн!G121/1000</f>
        <v>79361.349756694457</v>
      </c>
      <c r="S70" s="800">
        <f>R70-O68</f>
        <v>14.940833333341288</v>
      </c>
      <c r="T70" s="799">
        <f>S70/2</f>
        <v>7.4704166666706442</v>
      </c>
    </row>
    <row r="71" spans="1:30" s="676" customFormat="1" ht="15.75" x14ac:dyDescent="0.25">
      <c r="A71" s="795"/>
      <c r="B71" s="796"/>
      <c r="C71" s="797">
        <f>C69-C70</f>
        <v>24807.908269059873</v>
      </c>
      <c r="D71" s="797">
        <f>D70-D69</f>
        <v>-18851.550490518432</v>
      </c>
      <c r="E71" s="797">
        <f>E68-[11]АВР!H287</f>
        <v>0</v>
      </c>
      <c r="F71" s="797"/>
      <c r="G71" s="797"/>
      <c r="H71" s="797"/>
      <c r="I71" s="797"/>
      <c r="J71" s="797">
        <f>J68-J69</f>
        <v>0</v>
      </c>
      <c r="K71" s="797"/>
      <c r="L71" s="797">
        <f>L68-L69</f>
        <v>0</v>
      </c>
      <c r="M71" s="797">
        <f>M68-M69</f>
        <v>0</v>
      </c>
      <c r="N71" s="797">
        <f>N68-N70</f>
        <v>3630.8549991</v>
      </c>
      <c r="O71" s="797">
        <f>O12+O13+O62+O63+O65</f>
        <v>79346.408923361116</v>
      </c>
      <c r="R71" s="700">
        <f>O71-O68</f>
        <v>0</v>
      </c>
      <c r="S71" s="660"/>
      <c r="T71" s="801">
        <f>T68-[11]ФП!F78</f>
        <v>-1.1368683772161603E-13</v>
      </c>
    </row>
    <row r="72" spans="1:30" s="631" customFormat="1" ht="15" x14ac:dyDescent="0.25">
      <c r="A72" s="802" t="s">
        <v>494</v>
      </c>
      <c r="B72" s="803"/>
      <c r="C72" s="804"/>
      <c r="D72" s="805"/>
      <c r="E72" s="797"/>
      <c r="F72" s="796"/>
      <c r="G72" s="796"/>
      <c r="H72" s="796"/>
      <c r="I72" s="805"/>
      <c r="K72" s="805"/>
      <c r="L72" s="797"/>
      <c r="M72" s="806" t="s">
        <v>569</v>
      </c>
      <c r="O72" s="797">
        <f>I68+J68+L68+M68+N68</f>
        <v>79346.408923361116</v>
      </c>
      <c r="Q72" s="806"/>
      <c r="R72" s="806"/>
      <c r="T72" s="807"/>
      <c r="V72" s="808">
        <f>[11]ВНС!I192-[11]ВНС!J188</f>
        <v>24807.908269059877</v>
      </c>
      <c r="W72" s="808">
        <f>[11]КНС!I155-[11]КНС!I151</f>
        <v>18866.491323851762</v>
      </c>
      <c r="X72" s="808">
        <f>[11]АВР!G228</f>
        <v>12350.776585013711</v>
      </c>
      <c r="Y72" s="808">
        <f>[11]Адм!I40</f>
        <v>11479.440714123952</v>
      </c>
      <c r="Z72" s="609">
        <f>[11]Збут!K52</f>
        <v>5219.512478564292</v>
      </c>
      <c r="AA72" s="102">
        <f>[11]пов!I122</f>
        <v>3006.3653869808459</v>
      </c>
      <c r="AB72" s="205"/>
      <c r="AC72" s="205"/>
      <c r="AD72" s="205"/>
    </row>
    <row r="73" spans="1:30" s="23" customFormat="1" ht="15" x14ac:dyDescent="0.25">
      <c r="A73" s="809"/>
      <c r="B73" s="810"/>
      <c r="C73" s="811"/>
      <c r="D73" s="805">
        <f>D68-D69</f>
        <v>0</v>
      </c>
      <c r="E73" s="631"/>
      <c r="F73" s="686"/>
      <c r="G73" s="686"/>
      <c r="H73" s="686"/>
      <c r="I73"/>
      <c r="K73"/>
      <c r="M73" s="228"/>
      <c r="O73" s="228"/>
      <c r="Q73" s="228"/>
      <c r="R73" s="812">
        <f>O68+[11]ФП!F62-[11]ФП!F63</f>
        <v>81602.589763361117</v>
      </c>
      <c r="S73" s="228">
        <f>[11]ФП!F70</f>
        <v>81602.589989485845</v>
      </c>
      <c r="T73" s="813"/>
      <c r="U73" s="23">
        <f>[11]ВНС!I192-[11]ВНС!J188+[11]КНС!I155-[11]КНС!I151+[11]АВР!G228+[11]Адм!I40+[11]Збут!K52+[11]пов!I122+[11]ливн!G121/1000</f>
        <v>79361.349756694457</v>
      </c>
      <c r="V73" s="228" t="s">
        <v>570</v>
      </c>
      <c r="W73" s="228"/>
      <c r="X73" s="228"/>
      <c r="Y73" s="228"/>
      <c r="AA73" s="114"/>
    </row>
    <row r="74" spans="1:30" s="148" customFormat="1" ht="15.75" x14ac:dyDescent="0.25">
      <c r="A74" s="233" t="s">
        <v>218</v>
      </c>
      <c r="B74" s="664"/>
      <c r="C74" s="664"/>
      <c r="F74" s="668"/>
      <c r="G74" s="668"/>
      <c r="H74" s="668"/>
      <c r="I74" s="233"/>
      <c r="J74" s="233"/>
      <c r="K74" s="233"/>
      <c r="L74" s="233"/>
      <c r="M74" s="233" t="s">
        <v>148</v>
      </c>
      <c r="N74" s="233"/>
      <c r="P74" s="4"/>
      <c r="R74" s="700"/>
      <c r="U74" s="564">
        <f>C69+D69+E69+J69+L69+M69+N68</f>
        <v>79346.408923361116</v>
      </c>
    </row>
    <row r="75" spans="1:30" x14ac:dyDescent="0.2">
      <c r="D75" s="815">
        <f>C13+D13+G13</f>
        <v>17480.656937163658</v>
      </c>
      <c r="H75" s="816">
        <f>H68-[11]ФП!F57</f>
        <v>0</v>
      </c>
      <c r="N75" s="686">
        <f>[11]ливн!G121/1000-N68</f>
        <v>0</v>
      </c>
    </row>
    <row r="76" spans="1:30" x14ac:dyDescent="0.2">
      <c r="R76" s="817">
        <f>O68+[11]ФП!F62-[11]ФП!F63</f>
        <v>81602.589763361117</v>
      </c>
    </row>
    <row r="77" spans="1:30" x14ac:dyDescent="0.2">
      <c r="R77" s="817">
        <f>[11]ФП!F70</f>
        <v>81602.589989485845</v>
      </c>
    </row>
    <row r="78" spans="1:30" x14ac:dyDescent="0.2">
      <c r="R78" s="818">
        <f>R77-R76</f>
        <v>2.2612472821492702E-4</v>
      </c>
    </row>
  </sheetData>
  <pageMargins left="0.70866141732283472" right="0.70866141732283472" top="0.35433070866141736" bottom="0.15748031496062992"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8"/>
  <sheetViews>
    <sheetView view="pageBreakPreview" topLeftCell="A173" zoomScale="93" zoomScaleNormal="100" zoomScaleSheetLayoutView="93" workbookViewId="0">
      <selection activeCell="T273" sqref="T273"/>
    </sheetView>
  </sheetViews>
  <sheetFormatPr defaultColWidth="9.140625" defaultRowHeight="12.75" x14ac:dyDescent="0.2"/>
  <cols>
    <col min="1" max="1" width="5.7109375" style="942" customWidth="1"/>
    <col min="2" max="2" width="18" style="941" customWidth="1"/>
    <col min="3" max="3" width="4.7109375" style="941" customWidth="1"/>
    <col min="4" max="4" width="8" style="941" customWidth="1"/>
    <col min="5" max="5" width="6.5703125" style="941" customWidth="1"/>
    <col min="6" max="6" width="8" style="941" customWidth="1"/>
    <col min="7" max="7" width="9.5703125" style="941" customWidth="1"/>
    <col min="8" max="8" width="8.140625" style="941" customWidth="1"/>
    <col min="9" max="9" width="13" style="941" customWidth="1"/>
    <col min="10" max="10" width="10" style="941" customWidth="1"/>
    <col min="11" max="11" width="9.7109375" style="941" customWidth="1"/>
    <col min="12" max="12" width="12.140625" style="941" hidden="1" customWidth="1"/>
    <col min="13" max="13" width="9.42578125" style="944" hidden="1" customWidth="1"/>
    <col min="14" max="17" width="10.7109375" style="941" hidden="1" customWidth="1"/>
    <col min="18" max="18" width="0" style="941" hidden="1" customWidth="1"/>
    <col min="19" max="16384" width="9.140625" style="941"/>
  </cols>
  <sheetData>
    <row r="1" spans="1:14" x14ac:dyDescent="0.2">
      <c r="A1" s="941"/>
      <c r="J1" s="825" t="s">
        <v>610</v>
      </c>
      <c r="M1" s="941"/>
    </row>
    <row r="2" spans="1:14" ht="15.75" x14ac:dyDescent="0.25">
      <c r="F2" s="943" t="s">
        <v>611</v>
      </c>
    </row>
    <row r="3" spans="1:14" ht="14.25" x14ac:dyDescent="0.2">
      <c r="B3" s="941" t="s">
        <v>612</v>
      </c>
      <c r="J3" s="945">
        <v>1522.461622</v>
      </c>
      <c r="K3" s="941" t="s">
        <v>613</v>
      </c>
      <c r="L3" s="946"/>
    </row>
    <row r="4" spans="1:14" ht="14.25" x14ac:dyDescent="0.2">
      <c r="B4" s="941" t="s">
        <v>460</v>
      </c>
      <c r="J4" s="945">
        <v>1530.329622</v>
      </c>
      <c r="K4" s="941" t="s">
        <v>613</v>
      </c>
      <c r="L4" s="946"/>
    </row>
    <row r="5" spans="1:14" ht="14.25" x14ac:dyDescent="0.2">
      <c r="B5" s="941" t="s">
        <v>614</v>
      </c>
      <c r="H5" s="947"/>
      <c r="I5" s="947"/>
      <c r="J5" s="945">
        <v>349.20253794616349</v>
      </c>
      <c r="K5" s="941" t="s">
        <v>613</v>
      </c>
      <c r="L5" s="946"/>
      <c r="M5" s="948"/>
    </row>
    <row r="6" spans="1:14" ht="14.25" x14ac:dyDescent="0.2">
      <c r="B6" s="941" t="s">
        <v>615</v>
      </c>
      <c r="H6" s="947"/>
      <c r="I6" s="947"/>
      <c r="J6" s="945">
        <v>1181.1270810000001</v>
      </c>
      <c r="K6" s="941" t="s">
        <v>613</v>
      </c>
      <c r="L6" s="946"/>
      <c r="M6" s="948"/>
    </row>
    <row r="7" spans="1:14" ht="14.25" x14ac:dyDescent="0.2">
      <c r="H7" s="947"/>
      <c r="I7" s="947"/>
      <c r="J7" s="949">
        <v>1181.1270840538364</v>
      </c>
      <c r="K7" s="950"/>
      <c r="L7" s="946"/>
      <c r="M7" s="948"/>
    </row>
    <row r="8" spans="1:14" ht="15.75" x14ac:dyDescent="0.25">
      <c r="F8" s="943" t="s">
        <v>616</v>
      </c>
      <c r="L8" s="946"/>
      <c r="M8" s="948"/>
    </row>
    <row r="9" spans="1:14" ht="15.75" hidden="1" x14ac:dyDescent="0.25">
      <c r="F9" s="943"/>
      <c r="L9" s="946"/>
      <c r="M9" s="948"/>
    </row>
    <row r="10" spans="1:14" s="951" customFormat="1" ht="15.75" x14ac:dyDescent="0.25">
      <c r="B10" s="951" t="s">
        <v>83</v>
      </c>
      <c r="J10" s="952">
        <v>21834.031931258101</v>
      </c>
      <c r="K10" s="951" t="s">
        <v>617</v>
      </c>
      <c r="L10" s="953"/>
      <c r="M10" s="954">
        <v>21834.031931258101</v>
      </c>
    </row>
    <row r="11" spans="1:14" s="956" customFormat="1" ht="12" x14ac:dyDescent="0.2">
      <c r="A11" s="955">
        <v>1</v>
      </c>
      <c r="B11" s="956" t="s">
        <v>618</v>
      </c>
      <c r="J11" s="958">
        <v>13184.51764652</v>
      </c>
      <c r="K11" s="956" t="s">
        <v>617</v>
      </c>
      <c r="M11" s="957"/>
      <c r="N11" s="958"/>
    </row>
    <row r="12" spans="1:14" s="960" customFormat="1" ht="12" x14ac:dyDescent="0.2">
      <c r="A12" s="955"/>
      <c r="B12" s="959">
        <v>1522.461622</v>
      </c>
      <c r="C12" s="959" t="s">
        <v>619</v>
      </c>
      <c r="E12" s="959"/>
      <c r="F12" s="961">
        <v>8.66</v>
      </c>
      <c r="G12" s="959" t="s">
        <v>620</v>
      </c>
      <c r="I12" s="959">
        <v>13184.51764652</v>
      </c>
      <c r="J12" s="959" t="s">
        <v>617</v>
      </c>
      <c r="L12" s="959"/>
      <c r="M12" s="962"/>
      <c r="N12" s="958"/>
    </row>
    <row r="13" spans="1:14" s="960" customFormat="1" ht="12" x14ac:dyDescent="0.2">
      <c r="A13" s="955"/>
      <c r="B13" s="963"/>
      <c r="C13" s="963"/>
      <c r="M13" s="962"/>
      <c r="N13" s="959"/>
    </row>
    <row r="14" spans="1:14" s="964" customFormat="1" ht="12" x14ac:dyDescent="0.2">
      <c r="A14" s="955">
        <v>2</v>
      </c>
      <c r="B14" s="956" t="s">
        <v>509</v>
      </c>
      <c r="C14" s="956"/>
      <c r="G14" s="965" t="s">
        <v>621</v>
      </c>
      <c r="H14" s="964" t="s">
        <v>622</v>
      </c>
      <c r="J14" s="964" t="s">
        <v>623</v>
      </c>
      <c r="L14" s="956"/>
      <c r="M14" s="966"/>
    </row>
    <row r="15" spans="1:14" s="964" customFormat="1" ht="12" hidden="1" x14ac:dyDescent="0.2">
      <c r="A15" s="955"/>
      <c r="B15" s="956"/>
      <c r="C15" s="956"/>
      <c r="F15" s="967"/>
      <c r="G15" s="968"/>
      <c r="H15" s="965"/>
      <c r="L15" s="956"/>
      <c r="M15" s="966"/>
    </row>
    <row r="16" spans="1:14" s="964" customFormat="1" ht="12" x14ac:dyDescent="0.2">
      <c r="A16" s="955"/>
      <c r="B16" s="964" t="s">
        <v>624</v>
      </c>
      <c r="D16" s="969"/>
      <c r="E16" s="969"/>
      <c r="F16" s="970">
        <v>8.9062855699999997</v>
      </c>
      <c r="G16" s="964">
        <v>7.0333055699999996</v>
      </c>
      <c r="H16" s="971">
        <v>1.8729800000000001</v>
      </c>
      <c r="I16" s="965" t="s">
        <v>625</v>
      </c>
      <c r="J16" s="971">
        <v>0.13274836803735646</v>
      </c>
      <c r="K16" s="965" t="s">
        <v>625</v>
      </c>
      <c r="L16" s="968"/>
      <c r="M16" s="966"/>
    </row>
    <row r="17" spans="1:17" s="964" customFormat="1" ht="12" x14ac:dyDescent="0.2">
      <c r="B17" s="964" t="s">
        <v>626</v>
      </c>
      <c r="D17" s="969"/>
      <c r="G17" s="972">
        <v>0.20106293687059448</v>
      </c>
      <c r="H17" s="972">
        <v>0.20106293687059448</v>
      </c>
      <c r="I17" s="965" t="s">
        <v>627</v>
      </c>
      <c r="J17" s="972">
        <v>4.1463616184858262E-2</v>
      </c>
      <c r="K17" s="965" t="s">
        <v>628</v>
      </c>
      <c r="L17" s="965"/>
      <c r="P17" s="972"/>
      <c r="Q17" s="972"/>
    </row>
    <row r="18" spans="1:17" s="964" customFormat="1" ht="12" x14ac:dyDescent="0.2">
      <c r="A18" s="955"/>
      <c r="B18" s="964" t="s">
        <v>629</v>
      </c>
      <c r="G18" s="967">
        <v>307.69254284545667</v>
      </c>
      <c r="H18" s="973">
        <v>307.69254284545667</v>
      </c>
      <c r="I18" s="965" t="s">
        <v>630</v>
      </c>
      <c r="J18" s="967">
        <v>63.452994858511595</v>
      </c>
      <c r="K18" s="965" t="s">
        <v>631</v>
      </c>
      <c r="M18" s="966"/>
    </row>
    <row r="19" spans="1:17" s="964" customFormat="1" ht="12" x14ac:dyDescent="0.2">
      <c r="A19" s="955"/>
      <c r="B19" s="964" t="s">
        <v>632</v>
      </c>
      <c r="G19" s="967">
        <v>2164.0956754424137</v>
      </c>
      <c r="H19" s="967">
        <v>576.3019788986835</v>
      </c>
      <c r="I19" s="965" t="s">
        <v>617</v>
      </c>
      <c r="J19" s="974">
        <v>8.4232815145501849</v>
      </c>
      <c r="K19" s="965" t="s">
        <v>617</v>
      </c>
      <c r="M19" s="966"/>
    </row>
    <row r="20" spans="1:17" s="964" customFormat="1" ht="12" x14ac:dyDescent="0.2">
      <c r="A20" s="955"/>
      <c r="B20" s="955" t="s">
        <v>633</v>
      </c>
      <c r="C20" s="955"/>
      <c r="E20" s="955"/>
      <c r="F20" s="955"/>
      <c r="H20" s="974">
        <v>2740.3976543410972</v>
      </c>
      <c r="I20" s="965" t="s">
        <v>617</v>
      </c>
      <c r="J20" s="1917">
        <v>2748.8209358556473</v>
      </c>
      <c r="K20" s="955" t="s">
        <v>617</v>
      </c>
      <c r="L20" s="955"/>
      <c r="M20" s="975"/>
    </row>
    <row r="21" spans="1:17" s="964" customFormat="1" ht="12" x14ac:dyDescent="0.2">
      <c r="A21" s="955"/>
      <c r="F21" s="955"/>
      <c r="M21" s="976"/>
    </row>
    <row r="22" spans="1:17" s="956" customFormat="1" ht="12" x14ac:dyDescent="0.2">
      <c r="A22" s="955">
        <v>3</v>
      </c>
      <c r="B22" s="956" t="s">
        <v>634</v>
      </c>
      <c r="M22" s="957"/>
    </row>
    <row r="23" spans="1:17" s="964" customFormat="1" ht="12" x14ac:dyDescent="0.2">
      <c r="A23" s="955"/>
      <c r="B23" s="964" t="s">
        <v>635</v>
      </c>
      <c r="F23" s="965"/>
      <c r="G23" s="977"/>
      <c r="H23" s="977"/>
      <c r="M23" s="966"/>
    </row>
    <row r="24" spans="1:17" s="964" customFormat="1" ht="12" x14ac:dyDescent="0.2">
      <c r="A24" s="955"/>
      <c r="B24" s="978" t="s">
        <v>636</v>
      </c>
      <c r="C24" s="956"/>
      <c r="D24" s="979">
        <v>513153.01</v>
      </c>
      <c r="E24" s="980" t="s">
        <v>637</v>
      </c>
      <c r="F24" s="964">
        <v>0.2</v>
      </c>
      <c r="G24" s="981" t="s">
        <v>638</v>
      </c>
      <c r="H24" s="967">
        <v>2694.0533025000004</v>
      </c>
      <c r="I24" s="964" t="s">
        <v>639</v>
      </c>
      <c r="J24" s="967">
        <v>85.536192354375018</v>
      </c>
      <c r="K24" s="964" t="s">
        <v>617</v>
      </c>
      <c r="M24" s="982">
        <v>31.75</v>
      </c>
    </row>
    <row r="25" spans="1:17" s="964" customFormat="1" ht="12" x14ac:dyDescent="0.2">
      <c r="A25" s="955"/>
      <c r="B25" s="978" t="s">
        <v>640</v>
      </c>
      <c r="C25" s="956"/>
      <c r="D25" s="979">
        <v>357577.73699999996</v>
      </c>
      <c r="E25" s="980" t="s">
        <v>637</v>
      </c>
      <c r="F25" s="964">
        <v>0.3</v>
      </c>
      <c r="G25" s="981" t="s">
        <v>638</v>
      </c>
      <c r="H25" s="967">
        <v>2815.9246788750002</v>
      </c>
      <c r="I25" s="964" t="s">
        <v>639</v>
      </c>
      <c r="J25" s="967">
        <v>89.405608554281244</v>
      </c>
      <c r="K25" s="964" t="s">
        <v>617</v>
      </c>
      <c r="M25" s="983"/>
    </row>
    <row r="26" spans="1:17" s="964" customFormat="1" ht="12" x14ac:dyDescent="0.2">
      <c r="A26" s="955"/>
      <c r="B26" s="978" t="s">
        <v>641</v>
      </c>
      <c r="C26" s="956"/>
      <c r="D26" s="979">
        <v>607673.875</v>
      </c>
      <c r="E26" s="980" t="s">
        <v>637</v>
      </c>
      <c r="F26" s="964">
        <v>0.4</v>
      </c>
      <c r="G26" s="981" t="s">
        <v>638</v>
      </c>
      <c r="H26" s="967">
        <v>6380.5756875000006</v>
      </c>
      <c r="I26" s="964" t="s">
        <v>639</v>
      </c>
      <c r="J26" s="967">
        <v>202.58327807812503</v>
      </c>
      <c r="K26" s="964" t="s">
        <v>617</v>
      </c>
      <c r="M26" s="983"/>
    </row>
    <row r="27" spans="1:17" s="964" customFormat="1" ht="12" x14ac:dyDescent="0.2">
      <c r="A27" s="955"/>
      <c r="B27" s="978"/>
      <c r="C27" s="956"/>
      <c r="D27" s="979">
        <v>1478404.622</v>
      </c>
      <c r="E27" s="980"/>
      <c r="F27" s="967"/>
      <c r="G27" s="981"/>
      <c r="H27" s="967">
        <v>11890.553668875002</v>
      </c>
      <c r="J27" s="984">
        <v>377.5250789867813</v>
      </c>
      <c r="K27" s="964" t="s">
        <v>617</v>
      </c>
      <c r="M27" s="983"/>
    </row>
    <row r="28" spans="1:17" s="964" customFormat="1" ht="12" x14ac:dyDescent="0.2">
      <c r="A28" s="955"/>
      <c r="B28" s="978"/>
      <c r="C28" s="956"/>
      <c r="D28" s="979"/>
      <c r="E28" s="980"/>
      <c r="F28" s="967"/>
      <c r="G28" s="981"/>
      <c r="H28" s="967"/>
      <c r="J28" s="985"/>
      <c r="M28" s="983"/>
    </row>
    <row r="29" spans="1:17" s="964" customFormat="1" ht="6" customHeight="1" x14ac:dyDescent="0.2">
      <c r="A29" s="955"/>
      <c r="B29" s="978"/>
      <c r="C29" s="956"/>
      <c r="D29" s="979"/>
      <c r="E29" s="980"/>
      <c r="F29" s="967"/>
      <c r="G29" s="981"/>
      <c r="H29" s="967"/>
      <c r="J29" s="985"/>
      <c r="M29" s="966"/>
    </row>
    <row r="30" spans="1:17" s="964" customFormat="1" ht="12" x14ac:dyDescent="0.2">
      <c r="A30" s="955"/>
      <c r="B30" s="986" t="s">
        <v>642</v>
      </c>
      <c r="C30" s="956"/>
      <c r="D30" s="152">
        <v>32646</v>
      </c>
      <c r="E30" s="980" t="s">
        <v>643</v>
      </c>
      <c r="F30" s="967">
        <v>41.662500000000001</v>
      </c>
      <c r="G30" s="981" t="s">
        <v>644</v>
      </c>
      <c r="H30" s="967"/>
      <c r="J30" s="987">
        <v>1360.113975</v>
      </c>
      <c r="K30" s="964" t="s">
        <v>617</v>
      </c>
      <c r="M30" s="988">
        <v>41.662500000000001</v>
      </c>
    </row>
    <row r="31" spans="1:17" s="964" customFormat="1" ht="12" x14ac:dyDescent="0.2">
      <c r="A31" s="955"/>
      <c r="B31" s="986"/>
      <c r="C31" s="956"/>
      <c r="D31" s="979"/>
      <c r="E31" s="980"/>
      <c r="F31" s="967"/>
      <c r="G31" s="981"/>
      <c r="H31" s="967"/>
      <c r="J31" s="987"/>
      <c r="M31" s="982"/>
    </row>
    <row r="32" spans="1:17" s="964" customFormat="1" ht="12" x14ac:dyDescent="0.2">
      <c r="A32" s="955"/>
      <c r="B32" s="986" t="s">
        <v>645</v>
      </c>
      <c r="C32" s="956"/>
      <c r="D32" s="979"/>
      <c r="E32" s="980"/>
      <c r="F32" s="967"/>
      <c r="G32" s="981"/>
      <c r="H32" s="967"/>
      <c r="J32" s="985"/>
      <c r="M32" s="983"/>
    </row>
    <row r="33" spans="1:16" s="964" customFormat="1" ht="12" x14ac:dyDescent="0.2">
      <c r="A33" s="955"/>
      <c r="B33" s="978" t="s">
        <v>636</v>
      </c>
      <c r="C33" s="956"/>
      <c r="D33" s="979">
        <v>513153.01</v>
      </c>
      <c r="E33" s="980" t="s">
        <v>637</v>
      </c>
      <c r="F33" s="964">
        <v>0.2</v>
      </c>
      <c r="G33" s="981" t="s">
        <v>646</v>
      </c>
      <c r="H33" s="967">
        <v>834.26716349693277</v>
      </c>
      <c r="I33" s="964" t="s">
        <v>647</v>
      </c>
      <c r="J33" s="967">
        <v>100.00846621319505</v>
      </c>
      <c r="K33" s="964" t="s">
        <v>617</v>
      </c>
      <c r="M33" s="982">
        <v>119.87582705999999</v>
      </c>
    </row>
    <row r="34" spans="1:16" s="964" customFormat="1" ht="12" x14ac:dyDescent="0.2">
      <c r="A34" s="955"/>
      <c r="B34" s="978" t="s">
        <v>640</v>
      </c>
      <c r="C34" s="956"/>
      <c r="D34" s="979">
        <v>357577.73699999996</v>
      </c>
      <c r="E34" s="980" t="s">
        <v>637</v>
      </c>
      <c r="F34" s="964">
        <v>0.3</v>
      </c>
      <c r="G34" s="981" t="s">
        <v>646</v>
      </c>
      <c r="H34" s="967">
        <v>872.00705802147252</v>
      </c>
      <c r="I34" s="964" t="s">
        <v>647</v>
      </c>
      <c r="J34" s="967">
        <v>104.53256728248142</v>
      </c>
      <c r="K34" s="964" t="s">
        <v>617</v>
      </c>
      <c r="M34" s="966"/>
    </row>
    <row r="35" spans="1:16" s="964" customFormat="1" ht="12" x14ac:dyDescent="0.2">
      <c r="A35" s="955"/>
      <c r="B35" s="978" t="s">
        <v>641</v>
      </c>
      <c r="C35" s="956"/>
      <c r="D35" s="979">
        <v>607673.875</v>
      </c>
      <c r="E35" s="980" t="s">
        <v>637</v>
      </c>
      <c r="F35" s="964">
        <v>0.4</v>
      </c>
      <c r="G35" s="981" t="s">
        <v>646</v>
      </c>
      <c r="H35" s="967">
        <v>1975.8721088957059</v>
      </c>
      <c r="I35" s="964" t="s">
        <v>647</v>
      </c>
      <c r="J35" s="967">
        <v>236.85930321865911</v>
      </c>
      <c r="K35" s="964" t="s">
        <v>617</v>
      </c>
      <c r="M35" s="966"/>
    </row>
    <row r="36" spans="1:16" s="964" customFormat="1" ht="12" x14ac:dyDescent="0.2">
      <c r="A36" s="955"/>
      <c r="B36" s="956"/>
      <c r="C36" s="956"/>
      <c r="D36" s="979">
        <v>1478404.622</v>
      </c>
      <c r="E36" s="979"/>
      <c r="F36" s="967"/>
      <c r="H36" s="967">
        <v>3682.1463304141112</v>
      </c>
      <c r="J36" s="984">
        <v>441.40033671433559</v>
      </c>
      <c r="K36" s="964" t="s">
        <v>617</v>
      </c>
      <c r="M36" s="966"/>
    </row>
    <row r="37" spans="1:16" s="964" customFormat="1" ht="13.5" x14ac:dyDescent="0.25">
      <c r="A37" s="955"/>
      <c r="B37" s="955" t="s">
        <v>633</v>
      </c>
      <c r="C37" s="955"/>
      <c r="D37" s="955"/>
      <c r="E37" s="955"/>
      <c r="F37" s="955"/>
      <c r="I37" s="989"/>
      <c r="J37" s="1918">
        <v>2179.0393907011166</v>
      </c>
      <c r="K37" s="955" t="s">
        <v>617</v>
      </c>
      <c r="M37" s="966"/>
    </row>
    <row r="38" spans="1:16" s="964" customFormat="1" ht="12" x14ac:dyDescent="0.2">
      <c r="A38" s="955"/>
      <c r="F38" s="955"/>
      <c r="L38" s="990"/>
      <c r="M38" s="976"/>
    </row>
    <row r="39" spans="1:16" s="964" customFormat="1" ht="12" x14ac:dyDescent="0.2">
      <c r="A39" s="955">
        <v>4</v>
      </c>
      <c r="B39" s="956" t="s">
        <v>511</v>
      </c>
      <c r="C39" s="956"/>
      <c r="J39" s="994">
        <v>2397.5101707744971</v>
      </c>
      <c r="K39" s="955" t="s">
        <v>617</v>
      </c>
      <c r="L39" s="956"/>
      <c r="M39" s="991">
        <v>27873.796419537059</v>
      </c>
      <c r="N39" s="967">
        <v>27873.796419537059</v>
      </c>
      <c r="O39" s="979">
        <v>14456.93513539515</v>
      </c>
    </row>
    <row r="40" spans="1:16" s="964" customFormat="1" ht="12" x14ac:dyDescent="0.2">
      <c r="A40" s="955"/>
      <c r="B40" s="992"/>
      <c r="C40" s="992"/>
      <c r="D40" s="993"/>
      <c r="F40" s="993"/>
      <c r="G40" s="994"/>
      <c r="H40" s="993"/>
      <c r="I40" s="993"/>
      <c r="J40" s="994"/>
      <c r="K40" s="994"/>
      <c r="L40" s="993"/>
      <c r="M40" s="995"/>
      <c r="N40" s="996">
        <v>27873.796322037058</v>
      </c>
      <c r="O40" s="979">
        <v>14456.935135395152</v>
      </c>
    </row>
    <row r="41" spans="1:16" s="956" customFormat="1" ht="12" x14ac:dyDescent="0.2">
      <c r="A41" s="955">
        <v>5</v>
      </c>
      <c r="B41" s="956" t="s">
        <v>648</v>
      </c>
      <c r="J41" s="958">
        <v>527.45223757038934</v>
      </c>
      <c r="K41" s="955" t="s">
        <v>617</v>
      </c>
      <c r="M41" s="957"/>
      <c r="N41" s="996">
        <v>-9.7500000265426934E-5</v>
      </c>
      <c r="O41" s="996">
        <v>0</v>
      </c>
      <c r="P41" s="958">
        <v>-9.7500000265426934E-5</v>
      </c>
    </row>
    <row r="42" spans="1:16" s="964" customFormat="1" ht="12" x14ac:dyDescent="0.2">
      <c r="A42" s="955"/>
      <c r="M42" s="966"/>
      <c r="O42" s="964">
        <v>0</v>
      </c>
    </row>
    <row r="43" spans="1:16" s="964" customFormat="1" ht="12" x14ac:dyDescent="0.2">
      <c r="A43" s="955">
        <v>6</v>
      </c>
      <c r="B43" s="956" t="s">
        <v>649</v>
      </c>
      <c r="C43" s="956"/>
      <c r="L43" s="956"/>
      <c r="M43" s="966"/>
    </row>
    <row r="44" spans="1:16" s="964" customFormat="1" ht="12" x14ac:dyDescent="0.2">
      <c r="A44" s="955"/>
      <c r="B44" s="964" t="s">
        <v>650</v>
      </c>
      <c r="D44" s="997"/>
      <c r="E44" s="997"/>
      <c r="F44" s="977"/>
      <c r="G44" s="977"/>
      <c r="H44" s="977"/>
      <c r="I44" s="977"/>
      <c r="J44" s="958">
        <v>523.61796000000027</v>
      </c>
      <c r="K44" s="955" t="s">
        <v>617</v>
      </c>
      <c r="M44" s="966"/>
      <c r="N44" s="967">
        <v>-9.7500000265426934E-5</v>
      </c>
    </row>
    <row r="45" spans="1:16" s="964" customFormat="1" ht="12" hidden="1" x14ac:dyDescent="0.2">
      <c r="A45" s="955"/>
      <c r="D45" s="997"/>
      <c r="E45" s="997"/>
      <c r="F45" s="977"/>
      <c r="G45" s="977"/>
      <c r="H45" s="977"/>
      <c r="I45" s="977"/>
      <c r="J45" s="958"/>
      <c r="K45" s="955"/>
      <c r="M45" s="966"/>
    </row>
    <row r="46" spans="1:16" s="964" customFormat="1" ht="15.75" customHeight="1" x14ac:dyDescent="0.2">
      <c r="A46" s="955">
        <v>7</v>
      </c>
      <c r="B46" s="956" t="s">
        <v>651</v>
      </c>
      <c r="J46" s="1000">
        <v>273.07358983644997</v>
      </c>
      <c r="K46" s="998" t="s">
        <v>617</v>
      </c>
      <c r="L46" s="956"/>
      <c r="M46" s="966"/>
    </row>
    <row r="47" spans="1:16" s="964" customFormat="1" ht="15.75" hidden="1" customHeight="1" x14ac:dyDescent="0.2">
      <c r="A47" s="955"/>
      <c r="B47" s="999"/>
      <c r="J47" s="1000"/>
      <c r="K47" s="998"/>
      <c r="L47" s="1001"/>
      <c r="M47" s="966"/>
    </row>
    <row r="48" spans="1:16" s="1002" customFormat="1" ht="13.5" x14ac:dyDescent="0.25">
      <c r="B48" s="1002" t="s">
        <v>652</v>
      </c>
      <c r="D48" s="1003"/>
      <c r="E48" s="1003"/>
      <c r="F48" s="1004"/>
      <c r="G48" s="1004"/>
      <c r="H48" s="1004"/>
      <c r="I48" s="1004"/>
      <c r="J48" s="1005">
        <v>21834.031931258101</v>
      </c>
      <c r="K48" s="998" t="s">
        <v>617</v>
      </c>
      <c r="L48" s="955"/>
    </row>
    <row r="49" spans="1:21" s="964" customFormat="1" ht="11.25" customHeight="1" x14ac:dyDescent="0.2">
      <c r="A49" s="955"/>
      <c r="B49" s="999"/>
      <c r="J49" s="1000"/>
      <c r="K49" s="998"/>
      <c r="M49" s="966"/>
    </row>
    <row r="50" spans="1:21" s="964" customFormat="1" ht="12" x14ac:dyDescent="0.2">
      <c r="A50" s="955">
        <v>8</v>
      </c>
      <c r="B50" s="956" t="s">
        <v>232</v>
      </c>
      <c r="M50" s="966"/>
    </row>
    <row r="51" spans="1:21" s="964" customFormat="1" ht="12" x14ac:dyDescent="0.2">
      <c r="A51" s="1006" t="s">
        <v>653</v>
      </c>
      <c r="B51" s="999" t="s">
        <v>654</v>
      </c>
      <c r="I51" s="967"/>
      <c r="J51" s="1007">
        <v>1205.7668543385387</v>
      </c>
      <c r="K51" s="955" t="s">
        <v>617</v>
      </c>
      <c r="M51" s="966"/>
    </row>
    <row r="52" spans="1:21" s="964" customFormat="1" ht="15.75" customHeight="1" x14ac:dyDescent="0.2">
      <c r="A52" s="1006" t="s">
        <v>655</v>
      </c>
      <c r="B52" s="1008" t="s">
        <v>656</v>
      </c>
      <c r="C52" s="1009"/>
      <c r="D52" s="1009"/>
      <c r="E52" s="1009"/>
      <c r="F52" s="1009"/>
      <c r="G52" s="1009"/>
      <c r="H52" s="1010"/>
      <c r="I52" s="1011"/>
      <c r="J52" s="1919">
        <v>988.33348716273667</v>
      </c>
      <c r="K52" s="955" t="s">
        <v>617</v>
      </c>
      <c r="L52" s="967">
        <v>1742.8053599999996</v>
      </c>
      <c r="M52" s="991">
        <v>1742.8053599999998</v>
      </c>
      <c r="N52" s="967">
        <v>8872.0545030716585</v>
      </c>
      <c r="O52" s="979">
        <v>2054.3526107744974</v>
      </c>
      <c r="P52" s="967">
        <v>11304.953091783389</v>
      </c>
    </row>
    <row r="53" spans="1:21" s="964" customFormat="1" ht="12" x14ac:dyDescent="0.2">
      <c r="A53" s="1006" t="s">
        <v>657</v>
      </c>
      <c r="B53" s="1012" t="s">
        <v>658</v>
      </c>
      <c r="C53" s="1013"/>
      <c r="D53" s="1013"/>
      <c r="E53" s="1014"/>
      <c r="F53" s="1014"/>
      <c r="H53" s="1015"/>
      <c r="I53" s="1016"/>
      <c r="J53" s="997">
        <v>217.43336717580206</v>
      </c>
      <c r="K53" s="955" t="s">
        <v>617</v>
      </c>
      <c r="M53" s="991">
        <v>0</v>
      </c>
      <c r="N53" s="1017">
        <v>8872.0545030716567</v>
      </c>
      <c r="O53" s="967">
        <v>8872.0545030716585</v>
      </c>
    </row>
    <row r="54" spans="1:21" s="964" customFormat="1" ht="12" hidden="1" x14ac:dyDescent="0.2">
      <c r="A54" s="955"/>
      <c r="F54" s="989"/>
      <c r="G54" s="989"/>
      <c r="H54" s="1018"/>
      <c r="I54" s="966"/>
      <c r="M54" s="966"/>
      <c r="N54" s="967">
        <v>0</v>
      </c>
      <c r="O54" s="967">
        <v>-6817.7018922971611</v>
      </c>
    </row>
    <row r="55" spans="1:21" s="964" customFormat="1" ht="14.25" hidden="1" customHeight="1" x14ac:dyDescent="0.2">
      <c r="A55" s="955"/>
      <c r="B55" s="1019"/>
      <c r="F55" s="958"/>
      <c r="K55" s="976">
        <v>24.050527783781249</v>
      </c>
      <c r="M55" s="966"/>
    </row>
    <row r="56" spans="1:21" s="964" customFormat="1" ht="12" x14ac:dyDescent="0.2">
      <c r="A56" s="1020" t="s">
        <v>659</v>
      </c>
      <c r="B56" s="956" t="s">
        <v>660</v>
      </c>
      <c r="C56" s="956"/>
      <c r="J56" s="958">
        <v>167.23680666666667</v>
      </c>
      <c r="K56" s="964" t="s">
        <v>661</v>
      </c>
      <c r="M56" s="966"/>
    </row>
    <row r="57" spans="1:21" s="964" customFormat="1" ht="12" hidden="1" x14ac:dyDescent="0.2">
      <c r="A57" s="1020"/>
      <c r="B57" s="956"/>
      <c r="C57" s="956"/>
      <c r="J57" s="958"/>
      <c r="M57" s="966"/>
    </row>
    <row r="58" spans="1:21" s="964" customFormat="1" ht="12" hidden="1" x14ac:dyDescent="0.2">
      <c r="A58" s="1020"/>
      <c r="B58" s="956"/>
      <c r="C58" s="956"/>
      <c r="J58" s="958"/>
      <c r="M58" s="966"/>
    </row>
    <row r="59" spans="1:21" s="964" customFormat="1" ht="12" hidden="1" x14ac:dyDescent="0.2">
      <c r="A59" s="1020"/>
      <c r="B59" s="956"/>
      <c r="C59" s="956"/>
      <c r="J59" s="958"/>
      <c r="M59" s="966"/>
    </row>
    <row r="60" spans="1:21" s="964" customFormat="1" ht="12" hidden="1" x14ac:dyDescent="0.2">
      <c r="A60" s="1020"/>
      <c r="B60" s="956"/>
      <c r="C60" s="956"/>
      <c r="J60" s="958"/>
      <c r="M60" s="966"/>
    </row>
    <row r="61" spans="1:21" s="964" customFormat="1" ht="12" hidden="1" x14ac:dyDescent="0.2">
      <c r="A61" s="1020"/>
      <c r="B61" s="956"/>
      <c r="C61" s="956"/>
      <c r="J61" s="958"/>
      <c r="M61" s="966"/>
    </row>
    <row r="62" spans="1:21" s="964" customFormat="1" ht="12" hidden="1" x14ac:dyDescent="0.2">
      <c r="A62" s="1020"/>
      <c r="B62" s="956"/>
      <c r="C62" s="956"/>
      <c r="J62" s="958"/>
      <c r="M62" s="966"/>
    </row>
    <row r="63" spans="1:21" s="964" customFormat="1" ht="12" x14ac:dyDescent="0.2">
      <c r="A63" s="1020"/>
      <c r="B63" s="956"/>
      <c r="C63" s="956"/>
      <c r="J63" s="958"/>
      <c r="M63" s="966"/>
    </row>
    <row r="64" spans="1:21" s="668" customFormat="1" ht="36.75" customHeight="1" x14ac:dyDescent="0.2">
      <c r="A64" s="1021"/>
      <c r="B64" s="1022" t="s">
        <v>662</v>
      </c>
      <c r="C64" s="1023" t="s">
        <v>663</v>
      </c>
      <c r="D64" s="1024" t="s">
        <v>664</v>
      </c>
      <c r="E64" s="1025" t="s">
        <v>665</v>
      </c>
      <c r="F64" s="1025" t="s">
        <v>666</v>
      </c>
      <c r="G64" s="818"/>
      <c r="H64" s="818"/>
      <c r="L64" s="676"/>
      <c r="T64" s="817"/>
      <c r="U64" s="817"/>
    </row>
    <row r="65" spans="1:21" s="668" customFormat="1" ht="12" x14ac:dyDescent="0.2">
      <c r="A65" s="1021"/>
      <c r="B65" s="831" t="s">
        <v>1344</v>
      </c>
      <c r="C65" s="831" t="s">
        <v>1345</v>
      </c>
      <c r="D65" s="831">
        <v>4</v>
      </c>
      <c r="E65" s="831">
        <v>2659</v>
      </c>
      <c r="F65" s="1026">
        <v>10636</v>
      </c>
      <c r="G65" s="818"/>
      <c r="H65" s="796">
        <v>62.358333333333334</v>
      </c>
      <c r="L65" s="676"/>
      <c r="T65" s="817"/>
      <c r="U65" s="817"/>
    </row>
    <row r="66" spans="1:21" s="668" customFormat="1" ht="12" x14ac:dyDescent="0.2">
      <c r="A66" s="1021"/>
      <c r="B66" s="831" t="s">
        <v>1346</v>
      </c>
      <c r="C66" s="831" t="s">
        <v>1079</v>
      </c>
      <c r="D66" s="831">
        <v>25</v>
      </c>
      <c r="E66" s="831">
        <v>77</v>
      </c>
      <c r="F66" s="1026">
        <v>1925</v>
      </c>
      <c r="G66" s="818"/>
      <c r="H66" s="796">
        <v>66.958333333333329</v>
      </c>
      <c r="L66" s="676"/>
      <c r="T66" s="817"/>
      <c r="U66" s="817"/>
    </row>
    <row r="67" spans="1:21" s="668" customFormat="1" ht="12" x14ac:dyDescent="0.2">
      <c r="A67" s="1021"/>
      <c r="B67" s="831" t="s">
        <v>1347</v>
      </c>
      <c r="C67" s="831" t="s">
        <v>1079</v>
      </c>
      <c r="D67" s="831">
        <v>100</v>
      </c>
      <c r="E67" s="831">
        <v>70.900000000000006</v>
      </c>
      <c r="F67" s="1026">
        <v>7090.0000000000009</v>
      </c>
      <c r="G67" s="818"/>
      <c r="H67" s="796">
        <v>222.875</v>
      </c>
      <c r="L67" s="676"/>
      <c r="T67" s="817"/>
      <c r="U67" s="817"/>
    </row>
    <row r="68" spans="1:21" s="668" customFormat="1" ht="12" x14ac:dyDescent="0.2">
      <c r="A68" s="1021"/>
      <c r="B68" s="831" t="s">
        <v>1348</v>
      </c>
      <c r="C68" s="831" t="s">
        <v>1079</v>
      </c>
      <c r="D68" s="831">
        <v>1</v>
      </c>
      <c r="E68" s="831">
        <v>2620</v>
      </c>
      <c r="F68" s="1026">
        <v>2620</v>
      </c>
      <c r="G68" s="818"/>
      <c r="H68" s="796">
        <v>32.083333333333336</v>
      </c>
      <c r="L68" s="676"/>
      <c r="T68" s="817"/>
      <c r="U68" s="817"/>
    </row>
    <row r="69" spans="1:21" s="668" customFormat="1" ht="12" x14ac:dyDescent="0.2">
      <c r="A69" s="1021"/>
      <c r="B69" s="831" t="s">
        <v>1349</v>
      </c>
      <c r="C69" s="831" t="s">
        <v>1079</v>
      </c>
      <c r="D69" s="831">
        <v>3</v>
      </c>
      <c r="E69" s="831">
        <v>68.7</v>
      </c>
      <c r="F69" s="1026">
        <v>206.10000000000002</v>
      </c>
      <c r="G69" s="818"/>
      <c r="H69" s="796">
        <v>37.916666666666671</v>
      </c>
      <c r="L69" s="676"/>
      <c r="T69" s="817"/>
      <c r="U69" s="817"/>
    </row>
    <row r="70" spans="1:21" s="668" customFormat="1" ht="12" x14ac:dyDescent="0.2">
      <c r="A70" s="1021"/>
      <c r="B70" s="831" t="s">
        <v>1350</v>
      </c>
      <c r="C70" s="831" t="s">
        <v>1079</v>
      </c>
      <c r="D70" s="831">
        <v>3</v>
      </c>
      <c r="E70" s="831">
        <v>97.1</v>
      </c>
      <c r="F70" s="1026">
        <v>291.29999999999995</v>
      </c>
      <c r="G70" s="818"/>
      <c r="H70" s="796">
        <v>45.833333333333336</v>
      </c>
      <c r="L70" s="676"/>
      <c r="T70" s="817"/>
      <c r="U70" s="817"/>
    </row>
    <row r="71" spans="1:21" s="668" customFormat="1" ht="12" x14ac:dyDescent="0.2">
      <c r="A71" s="1021"/>
      <c r="B71" s="831" t="s">
        <v>1351</v>
      </c>
      <c r="C71" s="831" t="s">
        <v>1079</v>
      </c>
      <c r="D71" s="831">
        <v>5</v>
      </c>
      <c r="E71" s="831">
        <v>92.4</v>
      </c>
      <c r="F71" s="1026">
        <v>462</v>
      </c>
      <c r="G71" s="818"/>
      <c r="H71" s="796">
        <v>37.916666666666671</v>
      </c>
      <c r="L71" s="676"/>
      <c r="T71" s="817"/>
      <c r="U71" s="817"/>
    </row>
    <row r="72" spans="1:21" s="668" customFormat="1" ht="12" x14ac:dyDescent="0.2">
      <c r="A72" s="1021"/>
      <c r="B72" s="831" t="s">
        <v>1352</v>
      </c>
      <c r="C72" s="831" t="s">
        <v>1079</v>
      </c>
      <c r="D72" s="831">
        <v>0</v>
      </c>
      <c r="E72" s="831">
        <v>92.4</v>
      </c>
      <c r="F72" s="1026">
        <v>0</v>
      </c>
      <c r="G72" s="818"/>
      <c r="H72" s="796">
        <v>7500</v>
      </c>
      <c r="L72" s="676"/>
      <c r="T72" s="817"/>
      <c r="U72" s="817"/>
    </row>
    <row r="73" spans="1:21" s="668" customFormat="1" ht="12" x14ac:dyDescent="0.2">
      <c r="A73" s="1021"/>
      <c r="B73" s="831" t="s">
        <v>1353</v>
      </c>
      <c r="C73" s="831" t="s">
        <v>1079</v>
      </c>
      <c r="D73" s="831">
        <v>20</v>
      </c>
      <c r="E73" s="831">
        <v>85</v>
      </c>
      <c r="F73" s="1026">
        <v>1700</v>
      </c>
      <c r="G73" s="818"/>
      <c r="H73" s="796">
        <v>1125</v>
      </c>
      <c r="L73" s="676"/>
      <c r="T73" s="817"/>
      <c r="U73" s="817"/>
    </row>
    <row r="74" spans="1:21" s="668" customFormat="1" ht="12" x14ac:dyDescent="0.2">
      <c r="A74" s="1021"/>
      <c r="B74" s="831" t="s">
        <v>1354</v>
      </c>
      <c r="C74" s="831" t="s">
        <v>1079</v>
      </c>
      <c r="D74" s="831">
        <v>20</v>
      </c>
      <c r="E74" s="831">
        <v>120</v>
      </c>
      <c r="F74" s="1026">
        <v>2400</v>
      </c>
      <c r="G74" s="818"/>
      <c r="H74" s="796">
        <v>2218</v>
      </c>
      <c r="L74" s="676"/>
      <c r="T74" s="817"/>
      <c r="U74" s="817"/>
    </row>
    <row r="75" spans="1:21" s="668" customFormat="1" ht="12" x14ac:dyDescent="0.2">
      <c r="A75" s="1021"/>
      <c r="B75" s="831" t="s">
        <v>1355</v>
      </c>
      <c r="C75" s="831" t="s">
        <v>1079</v>
      </c>
      <c r="D75" s="831">
        <v>20</v>
      </c>
      <c r="E75" s="831">
        <v>100</v>
      </c>
      <c r="F75" s="1026">
        <v>2000</v>
      </c>
      <c r="G75" s="818"/>
      <c r="H75" s="796">
        <v>25.5</v>
      </c>
      <c r="L75" s="676"/>
      <c r="T75" s="817"/>
      <c r="U75" s="817"/>
    </row>
    <row r="76" spans="1:21" s="668" customFormat="1" ht="12" x14ac:dyDescent="0.2">
      <c r="A76" s="1021"/>
      <c r="B76" s="831" t="s">
        <v>1356</v>
      </c>
      <c r="C76" s="831" t="s">
        <v>1079</v>
      </c>
      <c r="D76" s="831">
        <v>20</v>
      </c>
      <c r="E76" s="831">
        <v>125</v>
      </c>
      <c r="F76" s="1026">
        <v>2500</v>
      </c>
      <c r="G76" s="818"/>
      <c r="H76" s="796">
        <v>48.708333333333336</v>
      </c>
      <c r="L76" s="676"/>
      <c r="T76" s="817"/>
      <c r="U76" s="817"/>
    </row>
    <row r="77" spans="1:21" s="668" customFormat="1" ht="12" x14ac:dyDescent="0.2">
      <c r="A77" s="1021"/>
      <c r="B77" s="831" t="s">
        <v>1353</v>
      </c>
      <c r="C77" s="831" t="s">
        <v>1079</v>
      </c>
      <c r="D77" s="831">
        <v>20</v>
      </c>
      <c r="E77" s="831">
        <v>85</v>
      </c>
      <c r="F77" s="1026">
        <v>1700</v>
      </c>
      <c r="G77" s="818"/>
      <c r="H77" s="796">
        <v>71.208333333333343</v>
      </c>
      <c r="L77" s="676"/>
      <c r="T77" s="817"/>
      <c r="U77" s="817"/>
    </row>
    <row r="78" spans="1:21" s="668" customFormat="1" ht="12" x14ac:dyDescent="0.2">
      <c r="A78" s="1021"/>
      <c r="B78" s="831" t="s">
        <v>1354</v>
      </c>
      <c r="C78" s="831" t="s">
        <v>1079</v>
      </c>
      <c r="D78" s="831">
        <v>20</v>
      </c>
      <c r="E78" s="831">
        <v>120</v>
      </c>
      <c r="F78" s="1026">
        <v>2400</v>
      </c>
      <c r="G78" s="818"/>
      <c r="H78" s="796">
        <v>65.208333333333343</v>
      </c>
      <c r="L78" s="676"/>
      <c r="T78" s="817"/>
      <c r="U78" s="817"/>
    </row>
    <row r="79" spans="1:21" s="668" customFormat="1" ht="12" x14ac:dyDescent="0.2">
      <c r="A79" s="1021"/>
      <c r="B79" s="831" t="s">
        <v>1357</v>
      </c>
      <c r="C79" s="831" t="s">
        <v>1079</v>
      </c>
      <c r="D79" s="831">
        <v>20</v>
      </c>
      <c r="E79" s="831">
        <v>48.3</v>
      </c>
      <c r="F79" s="1026">
        <v>966</v>
      </c>
      <c r="G79" s="818"/>
      <c r="H79" s="796">
        <v>92.225000000000009</v>
      </c>
      <c r="L79" s="676"/>
      <c r="T79" s="817"/>
      <c r="U79" s="817"/>
    </row>
    <row r="80" spans="1:21" s="668" customFormat="1" ht="12" x14ac:dyDescent="0.2">
      <c r="A80" s="1021"/>
      <c r="B80" s="831" t="s">
        <v>1358</v>
      </c>
      <c r="C80" s="831" t="s">
        <v>1079</v>
      </c>
      <c r="D80" s="831">
        <v>7</v>
      </c>
      <c r="E80" s="831">
        <v>39.9</v>
      </c>
      <c r="F80" s="1026">
        <v>279.3</v>
      </c>
      <c r="G80" s="818"/>
      <c r="H80" s="796">
        <v>87.75</v>
      </c>
      <c r="L80" s="676"/>
      <c r="T80" s="817"/>
      <c r="U80" s="817"/>
    </row>
    <row r="81" spans="1:21" s="668" customFormat="1" ht="12" x14ac:dyDescent="0.2">
      <c r="A81" s="1021"/>
      <c r="B81" s="831" t="s">
        <v>1359</v>
      </c>
      <c r="C81" s="831" t="s">
        <v>1079</v>
      </c>
      <c r="D81" s="831">
        <v>1</v>
      </c>
      <c r="E81" s="831">
        <v>4300</v>
      </c>
      <c r="F81" s="1026">
        <v>4300</v>
      </c>
      <c r="G81" s="818"/>
      <c r="H81" s="796">
        <v>46.458333333333336</v>
      </c>
      <c r="L81" s="676"/>
      <c r="T81" s="817"/>
      <c r="U81" s="817"/>
    </row>
    <row r="82" spans="1:21" s="668" customFormat="1" ht="12" x14ac:dyDescent="0.2">
      <c r="A82" s="1021"/>
      <c r="B82" s="831" t="s">
        <v>1360</v>
      </c>
      <c r="C82" s="831" t="s">
        <v>1079</v>
      </c>
      <c r="D82" s="831">
        <v>4</v>
      </c>
      <c r="E82" s="831">
        <v>1540.8</v>
      </c>
      <c r="F82" s="1026">
        <v>6163.2</v>
      </c>
      <c r="G82" s="818"/>
      <c r="H82" s="796">
        <v>55</v>
      </c>
      <c r="L82" s="676"/>
      <c r="T82" s="817"/>
      <c r="U82" s="817"/>
    </row>
    <row r="83" spans="1:21" s="668" customFormat="1" ht="12" x14ac:dyDescent="0.2">
      <c r="A83" s="1021"/>
      <c r="B83" s="831" t="s">
        <v>1359</v>
      </c>
      <c r="C83" s="831" t="s">
        <v>1079</v>
      </c>
      <c r="D83" s="831">
        <v>2</v>
      </c>
      <c r="E83" s="831">
        <v>4300</v>
      </c>
      <c r="F83" s="1026">
        <v>8600</v>
      </c>
      <c r="G83" s="818"/>
      <c r="H83" s="796">
        <v>69</v>
      </c>
      <c r="L83" s="676"/>
      <c r="T83" s="817"/>
      <c r="U83" s="817"/>
    </row>
    <row r="84" spans="1:21" s="668" customFormat="1" ht="12" x14ac:dyDescent="0.2">
      <c r="A84" s="1021"/>
      <c r="B84" s="831" t="s">
        <v>1361</v>
      </c>
      <c r="C84" s="831" t="s">
        <v>1079</v>
      </c>
      <c r="D84" s="831">
        <v>1</v>
      </c>
      <c r="E84" s="831">
        <v>18000</v>
      </c>
      <c r="F84" s="1026">
        <v>18000</v>
      </c>
      <c r="G84" s="818"/>
      <c r="H84" s="796">
        <v>141.66666666666669</v>
      </c>
      <c r="L84" s="676"/>
      <c r="T84" s="817"/>
      <c r="U84" s="817"/>
    </row>
    <row r="85" spans="1:21" s="668" customFormat="1" ht="12" x14ac:dyDescent="0.2">
      <c r="A85" s="1021"/>
      <c r="B85" s="831" t="s">
        <v>1362</v>
      </c>
      <c r="C85" s="831" t="s">
        <v>1079</v>
      </c>
      <c r="D85" s="831">
        <v>1</v>
      </c>
      <c r="E85" s="831">
        <v>1780</v>
      </c>
      <c r="F85" s="1026">
        <v>1780</v>
      </c>
      <c r="G85" s="818"/>
      <c r="H85" s="796">
        <v>208.33333333333334</v>
      </c>
      <c r="L85" s="676"/>
      <c r="T85" s="817"/>
      <c r="U85" s="817"/>
    </row>
    <row r="86" spans="1:21" s="668" customFormat="1" ht="12" x14ac:dyDescent="0.2">
      <c r="A86" s="1021"/>
      <c r="B86" s="831" t="s">
        <v>1363</v>
      </c>
      <c r="C86" s="831" t="s">
        <v>1079</v>
      </c>
      <c r="D86" s="831">
        <v>1</v>
      </c>
      <c r="E86" s="831">
        <v>3480</v>
      </c>
      <c r="F86" s="1026">
        <v>3480</v>
      </c>
      <c r="G86" s="818"/>
      <c r="H86" s="796">
        <v>380</v>
      </c>
      <c r="L86" s="676"/>
      <c r="T86" s="817"/>
      <c r="U86" s="817"/>
    </row>
    <row r="87" spans="1:21" s="668" customFormat="1" ht="12" x14ac:dyDescent="0.2">
      <c r="A87" s="1021"/>
      <c r="B87" s="831" t="s">
        <v>1364</v>
      </c>
      <c r="C87" s="831" t="s">
        <v>1365</v>
      </c>
      <c r="D87" s="831">
        <v>15</v>
      </c>
      <c r="E87" s="831">
        <v>175</v>
      </c>
      <c r="F87" s="1026">
        <v>2625</v>
      </c>
      <c r="G87" s="818"/>
      <c r="H87" s="796">
        <v>56</v>
      </c>
      <c r="L87" s="676"/>
      <c r="T87" s="817"/>
      <c r="U87" s="817"/>
    </row>
    <row r="88" spans="1:21" s="668" customFormat="1" ht="12" x14ac:dyDescent="0.2">
      <c r="A88" s="1021"/>
      <c r="B88" s="831" t="s">
        <v>1366</v>
      </c>
      <c r="C88" s="831" t="s">
        <v>1079</v>
      </c>
      <c r="D88" s="831">
        <v>10</v>
      </c>
      <c r="E88" s="831">
        <v>42.1</v>
      </c>
      <c r="F88" s="1026">
        <v>421</v>
      </c>
      <c r="G88" s="818"/>
      <c r="H88" s="796">
        <v>100.25</v>
      </c>
      <c r="L88" s="676"/>
      <c r="T88" s="817"/>
      <c r="U88" s="817"/>
    </row>
    <row r="89" spans="1:21" s="668" customFormat="1" ht="12" x14ac:dyDescent="0.2">
      <c r="A89" s="1021"/>
      <c r="B89" s="831" t="s">
        <v>1367</v>
      </c>
      <c r="C89" s="831" t="s">
        <v>1079</v>
      </c>
      <c r="D89" s="831">
        <v>20</v>
      </c>
      <c r="E89" s="831">
        <v>150.5</v>
      </c>
      <c r="F89" s="1026">
        <v>3010</v>
      </c>
      <c r="G89" s="818"/>
      <c r="H89" s="796">
        <v>112.33333333333334</v>
      </c>
      <c r="L89" s="676"/>
      <c r="T89" s="817"/>
      <c r="U89" s="817"/>
    </row>
    <row r="90" spans="1:21" s="668" customFormat="1" ht="12" x14ac:dyDescent="0.2">
      <c r="A90" s="1021"/>
      <c r="B90" s="831" t="s">
        <v>1368</v>
      </c>
      <c r="C90" s="831" t="s">
        <v>1079</v>
      </c>
      <c r="D90" s="831">
        <v>5</v>
      </c>
      <c r="E90" s="831">
        <v>193</v>
      </c>
      <c r="F90" s="1026">
        <v>965</v>
      </c>
      <c r="G90" s="818"/>
      <c r="H90" s="796">
        <v>112</v>
      </c>
      <c r="L90" s="676"/>
      <c r="T90" s="817"/>
      <c r="U90" s="817"/>
    </row>
    <row r="91" spans="1:21" s="668" customFormat="1" ht="12" x14ac:dyDescent="0.2">
      <c r="A91" s="1021"/>
      <c r="B91" s="831" t="s">
        <v>1369</v>
      </c>
      <c r="C91" s="831" t="s">
        <v>951</v>
      </c>
      <c r="D91" s="831">
        <v>0.2</v>
      </c>
      <c r="E91" s="831">
        <v>2100.6999999999998</v>
      </c>
      <c r="F91" s="1026">
        <v>420.14</v>
      </c>
      <c r="G91" s="818"/>
      <c r="H91" s="796">
        <v>70.166666666666671</v>
      </c>
      <c r="L91" s="676"/>
      <c r="T91" s="817"/>
      <c r="U91" s="817"/>
    </row>
    <row r="92" spans="1:21" s="668" customFormat="1" ht="12" x14ac:dyDescent="0.2">
      <c r="A92" s="1021"/>
      <c r="B92" s="831" t="s">
        <v>1370</v>
      </c>
      <c r="C92" s="831" t="s">
        <v>1217</v>
      </c>
      <c r="D92" s="831">
        <v>50</v>
      </c>
      <c r="E92" s="831">
        <v>13</v>
      </c>
      <c r="F92" s="1026">
        <v>650</v>
      </c>
      <c r="G92" s="818"/>
      <c r="H92" s="796">
        <v>67.291666666666671</v>
      </c>
      <c r="L92" s="676"/>
      <c r="T92" s="817"/>
      <c r="U92" s="817"/>
    </row>
    <row r="93" spans="1:21" s="668" customFormat="1" ht="12" x14ac:dyDescent="0.2">
      <c r="A93" s="1021"/>
      <c r="B93" s="831" t="s">
        <v>1371</v>
      </c>
      <c r="C93" s="831" t="s">
        <v>1217</v>
      </c>
      <c r="D93" s="831">
        <v>50</v>
      </c>
      <c r="E93" s="831">
        <v>38</v>
      </c>
      <c r="F93" s="1026">
        <v>1900</v>
      </c>
      <c r="G93" s="818"/>
      <c r="H93" s="796">
        <v>150</v>
      </c>
      <c r="L93" s="676"/>
      <c r="T93" s="817"/>
      <c r="U93" s="817"/>
    </row>
    <row r="94" spans="1:21" s="668" customFormat="1" ht="12" x14ac:dyDescent="0.2">
      <c r="A94" s="1021"/>
      <c r="B94" s="831" t="s">
        <v>1372</v>
      </c>
      <c r="C94" s="831" t="s">
        <v>1217</v>
      </c>
      <c r="D94" s="831">
        <v>50</v>
      </c>
      <c r="E94" s="831">
        <v>82</v>
      </c>
      <c r="F94" s="1026">
        <v>4100</v>
      </c>
      <c r="G94" s="818"/>
      <c r="H94" s="796">
        <v>708.33333333333337</v>
      </c>
      <c r="L94" s="676"/>
      <c r="T94" s="817"/>
      <c r="U94" s="817"/>
    </row>
    <row r="95" spans="1:21" s="668" customFormat="1" ht="12" x14ac:dyDescent="0.2">
      <c r="A95" s="1021"/>
      <c r="B95" s="831" t="s">
        <v>1373</v>
      </c>
      <c r="C95" s="831" t="s">
        <v>1374</v>
      </c>
      <c r="D95" s="831">
        <v>1</v>
      </c>
      <c r="E95" s="831">
        <v>48.9</v>
      </c>
      <c r="F95" s="1026">
        <v>48.9</v>
      </c>
      <c r="G95" s="818"/>
      <c r="H95" s="796">
        <v>40</v>
      </c>
      <c r="L95" s="676"/>
      <c r="T95" s="817"/>
      <c r="U95" s="817"/>
    </row>
    <row r="96" spans="1:21" s="668" customFormat="1" ht="12" x14ac:dyDescent="0.2">
      <c r="A96" s="1021"/>
      <c r="B96" s="831" t="s">
        <v>1375</v>
      </c>
      <c r="C96" s="831" t="s">
        <v>1374</v>
      </c>
      <c r="D96" s="831">
        <v>1</v>
      </c>
      <c r="E96" s="831">
        <v>57.9</v>
      </c>
      <c r="F96" s="1026">
        <v>57.9</v>
      </c>
      <c r="G96" s="818"/>
      <c r="H96" s="796">
        <v>1083.3333333333335</v>
      </c>
      <c r="L96" s="676"/>
      <c r="T96" s="817"/>
      <c r="U96" s="817"/>
    </row>
    <row r="97" spans="1:21" s="668" customFormat="1" ht="12" x14ac:dyDescent="0.2">
      <c r="A97" s="1021"/>
      <c r="B97" s="831" t="s">
        <v>1376</v>
      </c>
      <c r="C97" s="831" t="s">
        <v>1217</v>
      </c>
      <c r="D97" s="831">
        <v>40</v>
      </c>
      <c r="E97" s="831">
        <v>214</v>
      </c>
      <c r="F97" s="1026">
        <v>8560</v>
      </c>
      <c r="G97" s="818"/>
      <c r="H97" s="796">
        <v>2354.166666666667</v>
      </c>
      <c r="L97" s="676"/>
      <c r="T97" s="817"/>
      <c r="U97" s="817"/>
    </row>
    <row r="98" spans="1:21" s="668" customFormat="1" ht="12" x14ac:dyDescent="0.2">
      <c r="A98" s="1021"/>
      <c r="B98" s="831" t="s">
        <v>1377</v>
      </c>
      <c r="C98" s="831" t="s">
        <v>1079</v>
      </c>
      <c r="D98" s="831">
        <v>8</v>
      </c>
      <c r="E98" s="831">
        <v>820</v>
      </c>
      <c r="F98" s="1026">
        <v>6560</v>
      </c>
      <c r="G98" s="818"/>
      <c r="H98" s="796">
        <v>100</v>
      </c>
      <c r="L98" s="676"/>
      <c r="T98" s="817"/>
      <c r="U98" s="817"/>
    </row>
    <row r="99" spans="1:21" s="668" customFormat="1" ht="12" x14ac:dyDescent="0.2">
      <c r="A99" s="1021"/>
      <c r="B99" s="831" t="s">
        <v>1378</v>
      </c>
      <c r="C99" s="831" t="s">
        <v>1079</v>
      </c>
      <c r="D99" s="831">
        <v>8</v>
      </c>
      <c r="E99" s="831">
        <v>377</v>
      </c>
      <c r="F99" s="1026">
        <v>3016</v>
      </c>
      <c r="G99" s="818"/>
      <c r="H99" s="796">
        <v>1500.375</v>
      </c>
      <c r="L99" s="676"/>
      <c r="T99" s="817"/>
      <c r="U99" s="817"/>
    </row>
    <row r="100" spans="1:21" s="668" customFormat="1" ht="12" x14ac:dyDescent="0.2">
      <c r="A100" s="1021"/>
      <c r="B100" s="831" t="s">
        <v>1379</v>
      </c>
      <c r="C100" s="831" t="s">
        <v>1079</v>
      </c>
      <c r="D100" s="831">
        <v>4</v>
      </c>
      <c r="E100" s="831">
        <v>1400</v>
      </c>
      <c r="F100" s="1026">
        <v>5600</v>
      </c>
      <c r="G100" s="818"/>
      <c r="H100" s="796">
        <v>1820</v>
      </c>
      <c r="L100" s="676"/>
      <c r="T100" s="817"/>
      <c r="U100" s="817"/>
    </row>
    <row r="101" spans="1:21" s="668" customFormat="1" ht="12" x14ac:dyDescent="0.2">
      <c r="A101" s="1021"/>
      <c r="B101" s="831" t="s">
        <v>1380</v>
      </c>
      <c r="C101" s="831" t="s">
        <v>1079</v>
      </c>
      <c r="D101" s="831">
        <v>20</v>
      </c>
      <c r="E101" s="831">
        <v>108.33333333333334</v>
      </c>
      <c r="F101" s="1026">
        <v>2166.666666666667</v>
      </c>
      <c r="G101" s="818"/>
      <c r="H101" s="796">
        <v>705</v>
      </c>
      <c r="L101" s="676"/>
      <c r="T101" s="817"/>
      <c r="U101" s="817"/>
    </row>
    <row r="102" spans="1:21" s="668" customFormat="1" ht="12" x14ac:dyDescent="0.2">
      <c r="A102" s="1021"/>
      <c r="B102" s="831" t="s">
        <v>1381</v>
      </c>
      <c r="C102" s="831" t="s">
        <v>1079</v>
      </c>
      <c r="D102" s="831">
        <v>3</v>
      </c>
      <c r="E102" s="831">
        <v>410.1</v>
      </c>
      <c r="F102" s="1026">
        <v>1230.3000000000002</v>
      </c>
      <c r="G102" s="818"/>
      <c r="H102" s="796">
        <v>1350</v>
      </c>
      <c r="L102" s="676"/>
      <c r="T102" s="817"/>
      <c r="U102" s="817"/>
    </row>
    <row r="103" spans="1:21" s="668" customFormat="1" ht="12" x14ac:dyDescent="0.2">
      <c r="A103" s="1021"/>
      <c r="B103" s="831" t="s">
        <v>1382</v>
      </c>
      <c r="C103" s="831" t="s">
        <v>1079</v>
      </c>
      <c r="D103" s="831">
        <v>3</v>
      </c>
      <c r="E103" s="831">
        <v>219.4</v>
      </c>
      <c r="F103" s="1026">
        <v>658.2</v>
      </c>
      <c r="G103" s="1027"/>
      <c r="H103" s="796">
        <v>1685</v>
      </c>
      <c r="L103" s="676"/>
      <c r="T103" s="817"/>
      <c r="U103" s="817"/>
    </row>
    <row r="104" spans="1:21" s="22" customFormat="1" ht="12" x14ac:dyDescent="0.2">
      <c r="A104" s="1021"/>
      <c r="B104" s="831" t="s">
        <v>1383</v>
      </c>
      <c r="C104" s="831" t="s">
        <v>1079</v>
      </c>
      <c r="D104" s="831">
        <v>3</v>
      </c>
      <c r="E104" s="831">
        <v>149.19999999999999</v>
      </c>
      <c r="F104" s="1026">
        <v>447.59999999999997</v>
      </c>
      <c r="G104" s="818"/>
      <c r="H104" s="796">
        <v>1604.1666666666667</v>
      </c>
      <c r="I104" s="668"/>
      <c r="J104" s="668"/>
      <c r="K104" s="668"/>
      <c r="L104" s="676"/>
      <c r="M104" s="668"/>
      <c r="N104" s="668"/>
      <c r="O104" s="668"/>
      <c r="T104" s="814"/>
      <c r="U104" s="814"/>
    </row>
    <row r="105" spans="1:21" s="22" customFormat="1" ht="12" x14ac:dyDescent="0.2">
      <c r="A105" s="1021"/>
      <c r="B105" s="831" t="s">
        <v>1384</v>
      </c>
      <c r="C105" s="831" t="s">
        <v>1079</v>
      </c>
      <c r="D105" s="831">
        <v>2</v>
      </c>
      <c r="E105" s="831">
        <v>1579.9</v>
      </c>
      <c r="F105" s="1026">
        <v>3159.8</v>
      </c>
      <c r="G105" s="818"/>
      <c r="H105" s="796">
        <v>530</v>
      </c>
      <c r="I105" s="668"/>
      <c r="J105" s="668"/>
      <c r="K105" s="668"/>
      <c r="L105" s="676"/>
      <c r="M105" s="668"/>
      <c r="N105" s="668"/>
      <c r="O105" s="668"/>
      <c r="T105" s="814"/>
      <c r="U105" s="814"/>
    </row>
    <row r="106" spans="1:21" s="22" customFormat="1" ht="12" x14ac:dyDescent="0.2">
      <c r="A106" s="1021"/>
      <c r="B106" s="831" t="s">
        <v>1385</v>
      </c>
      <c r="C106" s="831" t="s">
        <v>1079</v>
      </c>
      <c r="D106" s="831">
        <v>2</v>
      </c>
      <c r="E106" s="831">
        <v>1916.5</v>
      </c>
      <c r="F106" s="1026">
        <v>3833</v>
      </c>
      <c r="G106" s="818"/>
      <c r="H106" s="796">
        <v>1768</v>
      </c>
      <c r="I106" s="668"/>
      <c r="J106" s="668"/>
      <c r="K106" s="668"/>
      <c r="L106" s="676"/>
      <c r="M106" s="668"/>
      <c r="N106" s="668"/>
      <c r="O106" s="668"/>
      <c r="Q106" s="1028"/>
      <c r="T106" s="814"/>
      <c r="U106" s="814"/>
    </row>
    <row r="107" spans="1:21" s="22" customFormat="1" ht="12" x14ac:dyDescent="0.2">
      <c r="A107" s="1021"/>
      <c r="B107" s="831" t="s">
        <v>1386</v>
      </c>
      <c r="C107" s="831" t="s">
        <v>1079</v>
      </c>
      <c r="D107" s="831">
        <v>2</v>
      </c>
      <c r="E107" s="831">
        <v>742.4</v>
      </c>
      <c r="F107" s="1026">
        <v>1484.8</v>
      </c>
      <c r="G107" s="818"/>
      <c r="H107" s="796">
        <v>1995</v>
      </c>
      <c r="I107" s="668"/>
      <c r="J107" s="668"/>
      <c r="K107" s="668"/>
      <c r="L107" s="676"/>
      <c r="M107" s="668"/>
      <c r="N107" s="668"/>
      <c r="O107" s="668"/>
      <c r="Q107" s="1028"/>
      <c r="T107" s="814"/>
      <c r="U107" s="814"/>
    </row>
    <row r="108" spans="1:21" s="22" customFormat="1" ht="12" x14ac:dyDescent="0.2">
      <c r="A108" s="1021"/>
      <c r="B108" s="831" t="s">
        <v>1387</v>
      </c>
      <c r="C108" s="831" t="s">
        <v>1079</v>
      </c>
      <c r="D108" s="831">
        <v>2</v>
      </c>
      <c r="E108" s="831">
        <v>1421.6</v>
      </c>
      <c r="F108" s="1026">
        <v>2843.2</v>
      </c>
      <c r="G108" s="818"/>
      <c r="H108" s="796">
        <v>683.33333333333337</v>
      </c>
      <c r="I108" s="668"/>
      <c r="J108" s="668"/>
      <c r="K108" s="668"/>
      <c r="L108" s="676"/>
      <c r="M108" s="668"/>
      <c r="N108" s="668"/>
      <c r="O108" s="668"/>
      <c r="Q108" s="1028"/>
      <c r="T108" s="814"/>
      <c r="U108" s="814"/>
    </row>
    <row r="109" spans="1:21" s="22" customFormat="1" ht="12" x14ac:dyDescent="0.2">
      <c r="A109" s="1021"/>
      <c r="B109" s="831" t="s">
        <v>1388</v>
      </c>
      <c r="C109" s="831" t="s">
        <v>1079</v>
      </c>
      <c r="D109" s="831">
        <v>2</v>
      </c>
      <c r="E109" s="831">
        <v>1774.3</v>
      </c>
      <c r="F109" s="1026">
        <v>3548.6</v>
      </c>
      <c r="G109" s="818"/>
      <c r="H109" s="796">
        <v>1300</v>
      </c>
      <c r="I109" s="668"/>
      <c r="J109" s="668"/>
      <c r="K109" s="668"/>
      <c r="L109" s="676"/>
      <c r="M109" s="668"/>
      <c r="N109" s="668"/>
      <c r="O109" s="668"/>
      <c r="Q109" s="1028"/>
      <c r="T109" s="814"/>
      <c r="U109" s="814"/>
    </row>
    <row r="110" spans="1:21" s="22" customFormat="1" ht="12" x14ac:dyDescent="0.2">
      <c r="A110" s="1021"/>
      <c r="B110" s="831" t="s">
        <v>1389</v>
      </c>
      <c r="C110" s="831" t="s">
        <v>1079</v>
      </c>
      <c r="D110" s="831">
        <v>1</v>
      </c>
      <c r="E110" s="831">
        <v>1184.5999999999999</v>
      </c>
      <c r="F110" s="1026">
        <v>1184.5999999999999</v>
      </c>
      <c r="G110" s="818"/>
      <c r="H110" s="796">
        <v>1208.3333333333335</v>
      </c>
      <c r="I110" s="668"/>
      <c r="J110" s="668"/>
      <c r="K110" s="668"/>
      <c r="L110" s="676"/>
      <c r="M110" s="668"/>
      <c r="N110" s="668"/>
      <c r="O110" s="668"/>
      <c r="Q110" s="1028"/>
      <c r="T110" s="814"/>
      <c r="U110" s="814"/>
    </row>
    <row r="111" spans="1:21" s="668" customFormat="1" ht="12" x14ac:dyDescent="0.2">
      <c r="A111" s="1021"/>
      <c r="B111" s="831" t="s">
        <v>1390</v>
      </c>
      <c r="C111" s="831" t="s">
        <v>1079</v>
      </c>
      <c r="D111" s="831">
        <v>3</v>
      </c>
      <c r="E111" s="831">
        <v>105.3</v>
      </c>
      <c r="F111" s="1026">
        <v>315.89999999999998</v>
      </c>
      <c r="G111" s="818"/>
      <c r="H111" s="796">
        <v>2400</v>
      </c>
      <c r="L111" s="676"/>
      <c r="Q111" s="1029"/>
      <c r="T111" s="817"/>
      <c r="U111" s="817"/>
    </row>
    <row r="112" spans="1:21" s="22" customFormat="1" ht="12" x14ac:dyDescent="0.2">
      <c r="A112" s="1021"/>
      <c r="B112" s="831" t="s">
        <v>1391</v>
      </c>
      <c r="C112" s="831" t="s">
        <v>1392</v>
      </c>
      <c r="D112" s="831">
        <v>1</v>
      </c>
      <c r="E112" s="831">
        <v>1368.9</v>
      </c>
      <c r="F112" s="1026">
        <v>1368.9</v>
      </c>
      <c r="G112" s="818"/>
      <c r="H112" s="796">
        <v>150.69999999999999</v>
      </c>
      <c r="I112" s="668"/>
      <c r="J112" s="668"/>
      <c r="K112" s="668"/>
      <c r="L112" s="676"/>
      <c r="M112" s="668"/>
      <c r="N112" s="668"/>
      <c r="O112" s="668"/>
      <c r="Q112" s="1028"/>
      <c r="T112" s="814"/>
      <c r="U112" s="814"/>
    </row>
    <row r="113" spans="1:21" s="22" customFormat="1" ht="12" x14ac:dyDescent="0.2">
      <c r="A113" s="1021"/>
      <c r="B113" s="831" t="s">
        <v>1393</v>
      </c>
      <c r="C113" s="831" t="s">
        <v>1392</v>
      </c>
      <c r="D113" s="831">
        <v>1</v>
      </c>
      <c r="E113" s="831">
        <v>5390</v>
      </c>
      <c r="F113" s="1026">
        <v>5390</v>
      </c>
      <c r="G113" s="818"/>
      <c r="H113" s="796">
        <v>150.69999999999999</v>
      </c>
      <c r="I113" s="668"/>
      <c r="J113" s="668"/>
      <c r="K113" s="668"/>
      <c r="L113" s="676"/>
      <c r="M113" s="668"/>
      <c r="N113" s="668"/>
      <c r="O113" s="668"/>
      <c r="Q113" s="1028"/>
      <c r="T113" s="814"/>
      <c r="U113" s="814"/>
    </row>
    <row r="114" spans="1:21" s="22" customFormat="1" ht="12" x14ac:dyDescent="0.2">
      <c r="A114" s="1021"/>
      <c r="B114" s="831" t="s">
        <v>1394</v>
      </c>
      <c r="C114" s="831" t="s">
        <v>1079</v>
      </c>
      <c r="D114" s="831">
        <v>1</v>
      </c>
      <c r="E114" s="831">
        <v>535</v>
      </c>
      <c r="F114" s="1026">
        <v>535</v>
      </c>
      <c r="G114" s="818"/>
      <c r="H114" s="796">
        <v>950</v>
      </c>
      <c r="I114" s="668"/>
      <c r="J114" s="668"/>
      <c r="K114" s="668"/>
      <c r="L114" s="676"/>
      <c r="M114" s="668"/>
      <c r="N114" s="668"/>
      <c r="O114" s="668"/>
      <c r="Q114" s="1028"/>
      <c r="T114" s="814"/>
      <c r="U114" s="814"/>
    </row>
    <row r="115" spans="1:21" s="22" customFormat="1" ht="12" x14ac:dyDescent="0.2">
      <c r="A115" s="1021"/>
      <c r="B115" s="831" t="s">
        <v>1395</v>
      </c>
      <c r="C115" s="831" t="s">
        <v>1079</v>
      </c>
      <c r="D115" s="831">
        <v>5</v>
      </c>
      <c r="E115" s="831">
        <v>53</v>
      </c>
      <c r="F115" s="1026">
        <v>265</v>
      </c>
      <c r="G115" s="818"/>
      <c r="H115" s="796">
        <v>70.833333333333343</v>
      </c>
      <c r="I115" s="668"/>
      <c r="J115" s="668"/>
      <c r="K115" s="668"/>
      <c r="L115" s="676"/>
      <c r="M115" s="668"/>
      <c r="N115" s="668"/>
      <c r="O115" s="668"/>
      <c r="Q115" s="1028"/>
      <c r="T115" s="814"/>
      <c r="U115" s="814"/>
    </row>
    <row r="116" spans="1:21" s="22" customFormat="1" ht="12" x14ac:dyDescent="0.2">
      <c r="A116" s="1021"/>
      <c r="B116" s="831" t="s">
        <v>1396</v>
      </c>
      <c r="C116" s="831" t="s">
        <v>1079</v>
      </c>
      <c r="D116" s="831">
        <v>1</v>
      </c>
      <c r="E116" s="831">
        <v>7500</v>
      </c>
      <c r="F116" s="1026">
        <v>7500</v>
      </c>
      <c r="G116" s="818"/>
      <c r="H116" s="796">
        <v>1750</v>
      </c>
      <c r="I116" s="668"/>
      <c r="J116" s="668"/>
      <c r="K116" s="668"/>
      <c r="L116" s="676"/>
      <c r="M116" s="668"/>
      <c r="N116" s="668"/>
      <c r="O116" s="668"/>
      <c r="T116" s="814"/>
      <c r="U116" s="814"/>
    </row>
    <row r="117" spans="1:21" s="22" customFormat="1" ht="12" x14ac:dyDescent="0.2">
      <c r="A117" s="1021"/>
      <c r="B117" s="831" t="s">
        <v>1397</v>
      </c>
      <c r="C117" s="831" t="s">
        <v>1398</v>
      </c>
      <c r="D117" s="831">
        <v>10</v>
      </c>
      <c r="E117" s="831">
        <v>230</v>
      </c>
      <c r="F117" s="1026">
        <v>2300</v>
      </c>
      <c r="G117" s="818"/>
      <c r="H117" s="796">
        <v>1750</v>
      </c>
      <c r="I117" s="668"/>
      <c r="J117" s="668"/>
      <c r="K117" s="668"/>
      <c r="L117" s="676"/>
      <c r="M117" s="668"/>
      <c r="N117" s="668"/>
      <c r="O117" s="668"/>
      <c r="T117" s="814"/>
      <c r="U117" s="814"/>
    </row>
    <row r="118" spans="1:21" s="22" customFormat="1" ht="12" x14ac:dyDescent="0.2">
      <c r="A118" s="1021"/>
      <c r="B118" s="831" t="s">
        <v>1399</v>
      </c>
      <c r="C118" s="831" t="s">
        <v>1398</v>
      </c>
      <c r="D118" s="831">
        <v>10</v>
      </c>
      <c r="E118" s="831">
        <v>230</v>
      </c>
      <c r="F118" s="1026">
        <v>2300</v>
      </c>
      <c r="G118" s="818"/>
      <c r="H118" s="796">
        <v>1750</v>
      </c>
      <c r="I118" s="668"/>
      <c r="J118" s="668"/>
      <c r="K118" s="668"/>
      <c r="L118" s="676"/>
      <c r="M118" s="668"/>
      <c r="N118" s="668"/>
      <c r="O118" s="668"/>
      <c r="T118" s="814"/>
      <c r="U118" s="814"/>
    </row>
    <row r="119" spans="1:21" s="22" customFormat="1" ht="12" x14ac:dyDescent="0.2">
      <c r="A119" s="1021"/>
      <c r="B119" s="831" t="s">
        <v>1400</v>
      </c>
      <c r="C119" s="831" t="s">
        <v>1398</v>
      </c>
      <c r="D119" s="831">
        <v>40</v>
      </c>
      <c r="E119" s="831">
        <v>230</v>
      </c>
      <c r="F119" s="1026">
        <v>9200</v>
      </c>
      <c r="G119" s="818"/>
      <c r="H119" s="796">
        <v>1750</v>
      </c>
      <c r="I119" s="668"/>
      <c r="J119" s="668"/>
      <c r="K119" s="668"/>
      <c r="L119" s="676"/>
      <c r="M119" s="668"/>
      <c r="N119" s="668"/>
      <c r="O119" s="668"/>
      <c r="T119" s="814"/>
      <c r="U119" s="814"/>
    </row>
    <row r="120" spans="1:21" s="22" customFormat="1" ht="12" x14ac:dyDescent="0.2">
      <c r="A120" s="1021"/>
      <c r="B120" s="831" t="s">
        <v>1401</v>
      </c>
      <c r="C120" s="831" t="s">
        <v>1398</v>
      </c>
      <c r="D120" s="831">
        <v>1</v>
      </c>
      <c r="E120" s="831">
        <v>72.400000000000006</v>
      </c>
      <c r="F120" s="1026">
        <v>72.400000000000006</v>
      </c>
      <c r="G120" s="818"/>
      <c r="H120" s="796">
        <v>1750</v>
      </c>
      <c r="I120" s="668"/>
      <c r="J120" s="668"/>
      <c r="K120" s="668"/>
      <c r="L120" s="676"/>
      <c r="M120" s="668"/>
      <c r="N120" s="668"/>
      <c r="O120" s="668"/>
      <c r="T120" s="814"/>
      <c r="U120" s="814"/>
    </row>
    <row r="121" spans="1:21" s="22" customFormat="1" ht="12" hidden="1" x14ac:dyDescent="0.2">
      <c r="A121" s="1021"/>
      <c r="B121" s="831"/>
      <c r="C121" s="831"/>
      <c r="D121" s="831"/>
      <c r="E121" s="831"/>
      <c r="F121" s="1026"/>
      <c r="G121" s="818"/>
      <c r="H121" s="796"/>
      <c r="I121" s="668"/>
      <c r="J121" s="668"/>
      <c r="K121" s="668"/>
      <c r="L121" s="676"/>
      <c r="M121" s="668"/>
      <c r="N121" s="668"/>
      <c r="O121" s="668"/>
      <c r="T121" s="814"/>
      <c r="U121" s="814"/>
    </row>
    <row r="122" spans="1:21" s="22" customFormat="1" ht="12" hidden="1" x14ac:dyDescent="0.2">
      <c r="A122" s="1021"/>
      <c r="B122" s="831"/>
      <c r="C122" s="831"/>
      <c r="D122" s="831"/>
      <c r="E122" s="831"/>
      <c r="F122" s="1026"/>
      <c r="G122" s="818"/>
      <c r="H122" s="796"/>
      <c r="I122" s="668"/>
      <c r="J122" s="668"/>
      <c r="K122" s="668"/>
      <c r="L122" s="676"/>
      <c r="M122" s="668"/>
      <c r="N122" s="668"/>
      <c r="O122" s="668"/>
      <c r="T122" s="814"/>
      <c r="U122" s="814"/>
    </row>
    <row r="123" spans="1:21" s="22" customFormat="1" ht="12" hidden="1" x14ac:dyDescent="0.2">
      <c r="A123" s="1021"/>
      <c r="B123" s="831"/>
      <c r="C123" s="831"/>
      <c r="D123" s="831"/>
      <c r="E123" s="831"/>
      <c r="F123" s="1026"/>
      <c r="G123" s="818"/>
      <c r="H123" s="796"/>
      <c r="I123" s="668"/>
      <c r="J123" s="668"/>
      <c r="K123" s="668"/>
      <c r="L123" s="676"/>
      <c r="M123" s="668"/>
      <c r="N123" s="668"/>
      <c r="O123" s="668"/>
      <c r="T123" s="814"/>
      <c r="U123" s="814"/>
    </row>
    <row r="124" spans="1:21" s="22" customFormat="1" ht="12" hidden="1" x14ac:dyDescent="0.2">
      <c r="A124" s="1021"/>
      <c r="B124" s="831"/>
      <c r="C124" s="831"/>
      <c r="D124" s="831"/>
      <c r="E124" s="831"/>
      <c r="F124" s="1026"/>
      <c r="G124" s="818"/>
      <c r="H124" s="796"/>
      <c r="I124" s="668"/>
      <c r="J124" s="668"/>
      <c r="K124" s="668"/>
      <c r="L124" s="676"/>
      <c r="M124" s="668"/>
      <c r="N124" s="668"/>
      <c r="O124" s="668"/>
      <c r="T124" s="814"/>
      <c r="U124" s="814"/>
    </row>
    <row r="125" spans="1:21" s="22" customFormat="1" ht="12" hidden="1" x14ac:dyDescent="0.2">
      <c r="A125" s="1021"/>
      <c r="B125" s="831"/>
      <c r="C125" s="831"/>
      <c r="D125" s="831"/>
      <c r="E125" s="831"/>
      <c r="F125" s="1026"/>
      <c r="G125" s="818"/>
      <c r="H125" s="796"/>
      <c r="I125" s="668"/>
      <c r="J125" s="668"/>
      <c r="K125" s="668"/>
      <c r="L125" s="676"/>
      <c r="M125" s="668"/>
      <c r="N125" s="668"/>
      <c r="O125" s="668"/>
      <c r="T125" s="814"/>
      <c r="U125" s="814"/>
    </row>
    <row r="126" spans="1:21" s="22" customFormat="1" ht="12" hidden="1" x14ac:dyDescent="0.2">
      <c r="A126" s="1021"/>
      <c r="B126" s="831"/>
      <c r="C126" s="831"/>
      <c r="D126" s="831"/>
      <c r="E126" s="831"/>
      <c r="F126" s="1026"/>
      <c r="G126" s="818"/>
      <c r="H126" s="796"/>
      <c r="I126" s="668"/>
      <c r="J126" s="668"/>
      <c r="K126" s="668"/>
      <c r="L126" s="676"/>
      <c r="M126" s="668"/>
      <c r="N126" s="668"/>
      <c r="O126" s="668"/>
      <c r="T126" s="814"/>
      <c r="U126" s="814"/>
    </row>
    <row r="127" spans="1:21" s="22" customFormat="1" ht="12" hidden="1" x14ac:dyDescent="0.2">
      <c r="A127" s="1021"/>
      <c r="B127" s="831"/>
      <c r="C127" s="831"/>
      <c r="D127" s="831"/>
      <c r="E127" s="831"/>
      <c r="F127" s="1026"/>
      <c r="G127" s="818"/>
      <c r="H127" s="796"/>
      <c r="I127" s="668"/>
      <c r="J127" s="668"/>
      <c r="K127" s="668"/>
      <c r="L127" s="676"/>
      <c r="M127" s="668"/>
      <c r="N127" s="668"/>
      <c r="O127" s="668"/>
      <c r="T127" s="814"/>
      <c r="U127" s="814"/>
    </row>
    <row r="128" spans="1:21" s="22" customFormat="1" ht="12" hidden="1" x14ac:dyDescent="0.2">
      <c r="A128" s="1021"/>
      <c r="B128" s="831"/>
      <c r="C128" s="831"/>
      <c r="D128" s="831"/>
      <c r="E128" s="831"/>
      <c r="F128" s="1026"/>
      <c r="G128" s="818"/>
      <c r="H128" s="796"/>
      <c r="I128" s="668"/>
      <c r="J128" s="668"/>
      <c r="K128" s="668"/>
      <c r="L128" s="676"/>
      <c r="M128" s="668"/>
      <c r="N128" s="668"/>
      <c r="O128" s="668"/>
      <c r="T128" s="814"/>
      <c r="U128" s="814"/>
    </row>
    <row r="129" spans="1:22" s="22" customFormat="1" ht="12" x14ac:dyDescent="0.2">
      <c r="A129" s="1021"/>
      <c r="B129" s="831">
        <v>0</v>
      </c>
      <c r="C129" s="831">
        <v>0</v>
      </c>
      <c r="D129" s="831">
        <v>0</v>
      </c>
      <c r="E129" s="831">
        <v>0</v>
      </c>
      <c r="F129" s="1026">
        <v>0</v>
      </c>
      <c r="G129" s="818"/>
      <c r="H129" s="796">
        <v>1750</v>
      </c>
      <c r="I129" s="668"/>
      <c r="J129" s="668"/>
      <c r="K129" s="668"/>
      <c r="L129" s="676"/>
      <c r="M129" s="668"/>
      <c r="N129" s="668"/>
      <c r="O129" s="668"/>
      <c r="T129" s="814"/>
      <c r="U129" s="814"/>
    </row>
    <row r="130" spans="1:22" s="22" customFormat="1" ht="12" x14ac:dyDescent="0.2">
      <c r="A130" s="1021"/>
      <c r="B130" s="831"/>
      <c r="C130" s="831"/>
      <c r="D130" s="831"/>
      <c r="E130" s="831"/>
      <c r="F130" s="1026"/>
      <c r="G130" s="818"/>
      <c r="H130" s="796">
        <v>1750</v>
      </c>
      <c r="I130" s="668"/>
      <c r="J130" s="668"/>
      <c r="K130" s="668"/>
      <c r="L130" s="676"/>
      <c r="M130" s="668"/>
      <c r="N130" s="668"/>
      <c r="O130" s="668"/>
      <c r="T130" s="814"/>
      <c r="U130" s="814"/>
    </row>
    <row r="131" spans="1:22" s="668" customFormat="1" ht="12" x14ac:dyDescent="0.2">
      <c r="A131" s="1021"/>
      <c r="B131" s="878" t="s">
        <v>667</v>
      </c>
      <c r="C131" s="920"/>
      <c r="D131" s="920"/>
      <c r="E131" s="1030"/>
      <c r="F131" s="1152">
        <v>167.23680666666667</v>
      </c>
      <c r="G131" s="817">
        <v>0</v>
      </c>
      <c r="H131" s="817"/>
      <c r="L131" s="676"/>
      <c r="T131" s="817"/>
      <c r="U131" s="817"/>
    </row>
    <row r="132" spans="1:22" s="964" customFormat="1" x14ac:dyDescent="0.2">
      <c r="A132" s="955"/>
      <c r="B132" s="148"/>
      <c r="C132" s="1031"/>
      <c r="D132" s="977"/>
      <c r="E132" s="1031"/>
      <c r="F132" s="1031"/>
      <c r="G132" s="1031"/>
      <c r="H132" s="1031"/>
      <c r="J132" s="958"/>
      <c r="M132" s="966"/>
    </row>
    <row r="133" spans="1:22" s="981" customFormat="1" ht="12" hidden="1" x14ac:dyDescent="0.2">
      <c r="A133" s="1032"/>
      <c r="B133" s="1033" t="s">
        <v>668</v>
      </c>
      <c r="G133" s="1034"/>
      <c r="H133" s="1034"/>
      <c r="J133" s="964">
        <v>0</v>
      </c>
      <c r="K133" s="964" t="s">
        <v>617</v>
      </c>
      <c r="M133" s="1035"/>
      <c r="R133" s="1036"/>
      <c r="U133" s="1034"/>
      <c r="V133" s="1034"/>
    </row>
    <row r="134" spans="1:22" s="964" customFormat="1" ht="12" hidden="1" x14ac:dyDescent="0.2">
      <c r="A134" s="1020"/>
      <c r="B134" s="1033"/>
      <c r="C134" s="956"/>
      <c r="J134" s="974"/>
      <c r="M134" s="966"/>
    </row>
    <row r="135" spans="1:22" s="681" customFormat="1" x14ac:dyDescent="0.2">
      <c r="A135" s="680" t="s">
        <v>669</v>
      </c>
      <c r="B135" s="680" t="s">
        <v>670</v>
      </c>
      <c r="E135" s="148"/>
      <c r="J135" s="1140">
        <v>0.41689999999999999</v>
      </c>
      <c r="K135" s="680" t="s">
        <v>617</v>
      </c>
      <c r="L135" s="678" t="s">
        <v>671</v>
      </c>
    </row>
    <row r="136" spans="1:22" s="668" customFormat="1" ht="22.5" x14ac:dyDescent="0.2">
      <c r="A136" s="1021"/>
      <c r="B136" s="1037" t="s">
        <v>672</v>
      </c>
      <c r="C136" s="888" t="s">
        <v>663</v>
      </c>
      <c r="D136" s="1037" t="s">
        <v>673</v>
      </c>
      <c r="E136" s="888" t="s">
        <v>674</v>
      </c>
      <c r="F136" s="1038" t="s">
        <v>675</v>
      </c>
      <c r="L136" s="676"/>
    </row>
    <row r="137" spans="1:22" s="668" customFormat="1" ht="11.25" x14ac:dyDescent="0.2">
      <c r="A137" s="1021"/>
      <c r="B137" s="1039" t="s">
        <v>1402</v>
      </c>
      <c r="C137" s="1039" t="s">
        <v>1079</v>
      </c>
      <c r="D137" s="1039">
        <v>2</v>
      </c>
      <c r="E137" s="1039">
        <v>51.6</v>
      </c>
      <c r="F137" s="1040">
        <v>103.2</v>
      </c>
      <c r="L137" s="676"/>
    </row>
    <row r="138" spans="1:22" s="668" customFormat="1" ht="11.25" x14ac:dyDescent="0.2">
      <c r="A138" s="1021"/>
      <c r="B138" s="1039" t="s">
        <v>1403</v>
      </c>
      <c r="C138" s="1039" t="s">
        <v>1079</v>
      </c>
      <c r="D138" s="1039">
        <v>5</v>
      </c>
      <c r="E138" s="1039">
        <v>17</v>
      </c>
      <c r="F138" s="1040">
        <v>85</v>
      </c>
      <c r="L138" s="676"/>
    </row>
    <row r="139" spans="1:22" s="668" customFormat="1" ht="11.25" x14ac:dyDescent="0.2">
      <c r="A139" s="1021"/>
      <c r="B139" s="1039" t="s">
        <v>1404</v>
      </c>
      <c r="C139" s="1039" t="s">
        <v>1079</v>
      </c>
      <c r="D139" s="1039">
        <v>5</v>
      </c>
      <c r="E139" s="1039">
        <v>6.5</v>
      </c>
      <c r="F139" s="1040">
        <v>32.5</v>
      </c>
      <c r="L139" s="676"/>
    </row>
    <row r="140" spans="1:22" s="668" customFormat="1" ht="12.6" customHeight="1" x14ac:dyDescent="0.2">
      <c r="A140" s="1021"/>
      <c r="B140" s="1039" t="s">
        <v>1405</v>
      </c>
      <c r="C140" s="1039" t="s">
        <v>1406</v>
      </c>
      <c r="D140" s="1039">
        <v>1</v>
      </c>
      <c r="E140" s="1039">
        <v>196.2</v>
      </c>
      <c r="F140" s="1040">
        <v>196.2</v>
      </c>
      <c r="I140" s="1029"/>
      <c r="L140" s="676"/>
    </row>
    <row r="141" spans="1:22" s="668" customFormat="1" ht="11.25" x14ac:dyDescent="0.2">
      <c r="A141" s="1021"/>
      <c r="B141" s="1041" t="s">
        <v>676</v>
      </c>
      <c r="C141" s="1041"/>
      <c r="D141" s="638"/>
      <c r="E141" s="1042"/>
      <c r="F141" s="1154">
        <v>416.9</v>
      </c>
      <c r="G141" s="817">
        <v>0</v>
      </c>
      <c r="L141" s="676"/>
    </row>
    <row r="142" spans="1:22" s="981" customFormat="1" ht="11.25" x14ac:dyDescent="0.2">
      <c r="A142" s="1032"/>
      <c r="B142" s="1036"/>
      <c r="E142" s="1034"/>
      <c r="F142" s="1034"/>
      <c r="G142" s="1034"/>
      <c r="H142" s="1034"/>
      <c r="M142" s="1035"/>
    </row>
    <row r="143" spans="1:22" s="964" customFormat="1" ht="12" x14ac:dyDescent="0.2">
      <c r="A143" s="1020" t="s">
        <v>677</v>
      </c>
      <c r="B143" s="1043" t="s">
        <v>678</v>
      </c>
      <c r="C143" s="986"/>
      <c r="D143" s="986"/>
      <c r="E143" s="986"/>
      <c r="H143" s="986"/>
      <c r="I143" s="986"/>
      <c r="J143" s="1058">
        <v>124.69168900000001</v>
      </c>
      <c r="K143" s="978" t="s">
        <v>617</v>
      </c>
      <c r="L143" s="1044"/>
      <c r="M143" s="966"/>
    </row>
    <row r="144" spans="1:22" s="964" customFormat="1" ht="15" hidden="1" customHeight="1" x14ac:dyDescent="0.2">
      <c r="A144" s="955"/>
      <c r="B144" s="1019"/>
      <c r="F144" s="958"/>
      <c r="K144" s="976"/>
      <c r="M144" s="966"/>
    </row>
    <row r="145" spans="1:14" s="964" customFormat="1" x14ac:dyDescent="0.2">
      <c r="A145" s="1006" t="s">
        <v>679</v>
      </c>
      <c r="B145" s="999" t="s">
        <v>680</v>
      </c>
      <c r="E145" s="148" t="s">
        <v>681</v>
      </c>
      <c r="J145" s="1144">
        <v>20.613399999999999</v>
      </c>
      <c r="K145" s="955" t="s">
        <v>617</v>
      </c>
      <c r="M145" s="966"/>
      <c r="N145" s="967"/>
    </row>
    <row r="146" spans="1:14" hidden="1" x14ac:dyDescent="0.2">
      <c r="N146" s="1046">
        <v>0</v>
      </c>
    </row>
    <row r="147" spans="1:14" s="964" customFormat="1" ht="12" x14ac:dyDescent="0.2">
      <c r="A147" s="1047" t="s">
        <v>682</v>
      </c>
      <c r="B147" s="999" t="s">
        <v>683</v>
      </c>
      <c r="F147" s="959"/>
      <c r="G147" s="959"/>
      <c r="H147" s="959"/>
      <c r="J147" s="958">
        <v>27.542521972306666</v>
      </c>
      <c r="K147" s="958" t="s">
        <v>661</v>
      </c>
      <c r="M147" s="966"/>
    </row>
    <row r="148" spans="1:14" s="964" customFormat="1" ht="12" x14ac:dyDescent="0.2">
      <c r="A148" s="955"/>
      <c r="B148" s="1048" t="s">
        <v>509</v>
      </c>
      <c r="C148" s="1048"/>
      <c r="D148" s="978"/>
      <c r="E148" s="1049">
        <v>852</v>
      </c>
      <c r="F148" s="1048" t="s">
        <v>684</v>
      </c>
      <c r="G148" s="1050">
        <v>8.9062855699999997</v>
      </c>
      <c r="H148" s="1048" t="s">
        <v>685</v>
      </c>
      <c r="J148" s="1050">
        <v>7.58815530564</v>
      </c>
      <c r="K148" s="978" t="s">
        <v>617</v>
      </c>
      <c r="L148" s="956"/>
      <c r="M148" s="966"/>
    </row>
    <row r="149" spans="1:14" s="964" customFormat="1" ht="12" x14ac:dyDescent="0.2">
      <c r="A149" s="955"/>
      <c r="B149" s="1051" t="s">
        <v>686</v>
      </c>
      <c r="C149" s="978"/>
      <c r="D149" s="978"/>
      <c r="E149" s="1052">
        <v>26.400000000000002</v>
      </c>
      <c r="F149" s="681" t="s">
        <v>687</v>
      </c>
      <c r="G149" s="1053">
        <v>186.75</v>
      </c>
      <c r="H149" s="978" t="s">
        <v>620</v>
      </c>
      <c r="J149" s="1054">
        <v>4.930200000000001</v>
      </c>
      <c r="K149" s="978" t="s">
        <v>617</v>
      </c>
      <c r="L149" s="956"/>
      <c r="M149" s="966"/>
    </row>
    <row r="150" spans="1:14" s="964" customFormat="1" ht="12" hidden="1" x14ac:dyDescent="0.2">
      <c r="A150" s="955"/>
      <c r="B150" s="1051"/>
      <c r="C150" s="978"/>
      <c r="D150" s="978"/>
      <c r="E150" s="1055"/>
      <c r="F150" s="681"/>
      <c r="G150" s="1053"/>
      <c r="H150" s="978"/>
      <c r="J150" s="1054"/>
      <c r="K150" s="978"/>
      <c r="L150" s="956"/>
      <c r="M150" s="966"/>
    </row>
    <row r="151" spans="1:14" s="964" customFormat="1" ht="12" x14ac:dyDescent="0.2">
      <c r="A151" s="955"/>
      <c r="B151" s="978" t="s">
        <v>688</v>
      </c>
      <c r="C151" s="978"/>
      <c r="D151" s="978"/>
      <c r="F151" s="959"/>
      <c r="J151" s="1048">
        <v>15.024166666666668</v>
      </c>
      <c r="K151" s="978" t="s">
        <v>617</v>
      </c>
      <c r="M151" s="966"/>
    </row>
    <row r="152" spans="1:14" s="668" customFormat="1" ht="22.5" x14ac:dyDescent="0.2">
      <c r="A152" s="1021"/>
      <c r="B152" s="1037" t="s">
        <v>689</v>
      </c>
      <c r="C152" s="888" t="s">
        <v>663</v>
      </c>
      <c r="D152" s="1037" t="s">
        <v>673</v>
      </c>
      <c r="E152" s="888" t="s">
        <v>674</v>
      </c>
      <c r="F152" s="1038" t="s">
        <v>675</v>
      </c>
      <c r="L152" s="676"/>
    </row>
    <row r="153" spans="1:14" s="668" customFormat="1" ht="11.25" x14ac:dyDescent="0.2">
      <c r="A153" s="1021"/>
      <c r="B153" s="1039" t="s">
        <v>1407</v>
      </c>
      <c r="C153" s="1039" t="s">
        <v>1079</v>
      </c>
      <c r="D153" s="1039">
        <v>10</v>
      </c>
      <c r="E153" s="1056">
        <v>291.66666666666669</v>
      </c>
      <c r="F153" s="1040">
        <v>2916.666666666667</v>
      </c>
      <c r="L153" s="676"/>
    </row>
    <row r="154" spans="1:14" s="668" customFormat="1" ht="11.25" x14ac:dyDescent="0.2">
      <c r="A154" s="1021"/>
      <c r="B154" s="1039" t="s">
        <v>1408</v>
      </c>
      <c r="C154" s="1039" t="s">
        <v>1079</v>
      </c>
      <c r="D154" s="1039">
        <v>5</v>
      </c>
      <c r="E154" s="1056">
        <v>54.166666666666671</v>
      </c>
      <c r="F154" s="1040">
        <v>270.83333333333337</v>
      </c>
      <c r="L154" s="676"/>
    </row>
    <row r="155" spans="1:14" s="668" customFormat="1" ht="11.25" x14ac:dyDescent="0.2">
      <c r="A155" s="1021"/>
      <c r="B155" s="1039" t="s">
        <v>1409</v>
      </c>
      <c r="C155" s="1039" t="s">
        <v>1079</v>
      </c>
      <c r="D155" s="1039">
        <v>2</v>
      </c>
      <c r="E155" s="1056">
        <v>250</v>
      </c>
      <c r="F155" s="1040">
        <v>500</v>
      </c>
      <c r="L155" s="676"/>
    </row>
    <row r="156" spans="1:14" s="668" customFormat="1" ht="12.6" customHeight="1" x14ac:dyDescent="0.2">
      <c r="A156" s="1021"/>
      <c r="B156" s="1039" t="s">
        <v>1410</v>
      </c>
      <c r="C156" s="1039" t="s">
        <v>1079</v>
      </c>
      <c r="D156" s="1039">
        <v>5</v>
      </c>
      <c r="E156" s="1056">
        <v>208</v>
      </c>
      <c r="F156" s="1040">
        <v>1040</v>
      </c>
      <c r="I156" s="1029"/>
      <c r="L156" s="676"/>
    </row>
    <row r="157" spans="1:14" s="668" customFormat="1" ht="11.25" x14ac:dyDescent="0.2">
      <c r="A157" s="1021"/>
      <c r="B157" s="1039" t="s">
        <v>1411</v>
      </c>
      <c r="C157" s="1039" t="s">
        <v>1079</v>
      </c>
      <c r="D157" s="1039">
        <v>5</v>
      </c>
      <c r="E157" s="1056">
        <v>83.333333333333343</v>
      </c>
      <c r="F157" s="1040">
        <v>416.66666666666674</v>
      </c>
      <c r="L157" s="676"/>
    </row>
    <row r="158" spans="1:14" s="668" customFormat="1" ht="11.25" x14ac:dyDescent="0.2">
      <c r="A158" s="1021"/>
      <c r="B158" s="1039" t="s">
        <v>1412</v>
      </c>
      <c r="C158" s="1039" t="s">
        <v>1217</v>
      </c>
      <c r="D158" s="1039">
        <v>100</v>
      </c>
      <c r="E158" s="1056">
        <v>98.8</v>
      </c>
      <c r="F158" s="1040">
        <v>9880</v>
      </c>
      <c r="L158" s="676"/>
    </row>
    <row r="159" spans="1:14" s="668" customFormat="1" ht="11.25" x14ac:dyDescent="0.2">
      <c r="A159" s="1021"/>
      <c r="B159" s="1041" t="s">
        <v>676</v>
      </c>
      <c r="C159" s="1041"/>
      <c r="D159" s="638"/>
      <c r="E159" s="1042"/>
      <c r="F159" s="1154">
        <v>15024.166666666668</v>
      </c>
      <c r="G159" s="817">
        <v>0</v>
      </c>
      <c r="L159" s="676"/>
    </row>
    <row r="160" spans="1:14" s="964" customFormat="1" ht="15" customHeight="1" x14ac:dyDescent="0.2">
      <c r="A160" s="998"/>
      <c r="B160" s="1057"/>
      <c r="C160" s="986"/>
      <c r="D160" s="986"/>
      <c r="E160" s="1058"/>
      <c r="F160" s="986"/>
      <c r="G160" s="986"/>
      <c r="H160" s="986"/>
      <c r="I160" s="986"/>
      <c r="J160" s="986"/>
      <c r="L160" s="966"/>
    </row>
    <row r="161" spans="1:16" s="964" customFormat="1" ht="12" x14ac:dyDescent="0.2">
      <c r="A161" s="1047" t="s">
        <v>690</v>
      </c>
      <c r="B161" s="999" t="s">
        <v>691</v>
      </c>
      <c r="C161" s="680"/>
      <c r="D161" s="680"/>
      <c r="E161" s="680" t="s">
        <v>692</v>
      </c>
      <c r="F161" s="680"/>
      <c r="G161" s="680"/>
      <c r="H161" s="680">
        <v>22.66</v>
      </c>
      <c r="I161" s="680"/>
      <c r="J161" s="1140">
        <v>271.92</v>
      </c>
      <c r="K161" s="680" t="s">
        <v>617</v>
      </c>
      <c r="L161" s="956"/>
      <c r="M161" s="966"/>
      <c r="P161" s="964">
        <v>494.4</v>
      </c>
    </row>
    <row r="162" spans="1:16" s="964" customFormat="1" ht="12" hidden="1" x14ac:dyDescent="0.2">
      <c r="A162" s="1020"/>
      <c r="B162" s="1043"/>
      <c r="C162" s="986"/>
      <c r="D162" s="986"/>
      <c r="E162" s="986"/>
      <c r="H162" s="986"/>
      <c r="I162" s="986"/>
      <c r="J162" s="1058"/>
      <c r="K162" s="978"/>
      <c r="L162" s="1044"/>
      <c r="M162" s="966"/>
    </row>
    <row r="163" spans="1:16" s="964" customFormat="1" ht="12" x14ac:dyDescent="0.2">
      <c r="A163" s="998" t="s">
        <v>693</v>
      </c>
      <c r="B163" s="999" t="s">
        <v>694</v>
      </c>
      <c r="J163" s="989">
        <v>222.36359509333332</v>
      </c>
      <c r="K163" s="998" t="s">
        <v>617</v>
      </c>
      <c r="M163" s="966"/>
    </row>
    <row r="164" spans="1:16" s="964" customFormat="1" ht="12" x14ac:dyDescent="0.2">
      <c r="A164" s="955"/>
      <c r="B164" s="1059" t="s">
        <v>695</v>
      </c>
      <c r="C164" s="1059"/>
      <c r="D164" s="1060">
        <v>1197.2548999999999</v>
      </c>
      <c r="E164" s="1061" t="s">
        <v>696</v>
      </c>
      <c r="F164" s="1062">
        <v>5</v>
      </c>
      <c r="G164" s="1060" t="s">
        <v>637</v>
      </c>
      <c r="H164" s="1062">
        <v>12</v>
      </c>
      <c r="I164" s="681"/>
      <c r="J164" s="1060">
        <v>2.8734117599999998</v>
      </c>
      <c r="K164" s="964" t="s">
        <v>617</v>
      </c>
      <c r="L164" s="956"/>
      <c r="M164" s="1063"/>
    </row>
    <row r="165" spans="1:16" s="964" customFormat="1" ht="12" x14ac:dyDescent="0.2">
      <c r="A165" s="955"/>
      <c r="B165" s="1059" t="s">
        <v>697</v>
      </c>
      <c r="C165" s="1059"/>
      <c r="E165" s="960" t="s">
        <v>698</v>
      </c>
      <c r="J165" s="1060">
        <v>218.27568333333332</v>
      </c>
      <c r="K165" s="964" t="s">
        <v>617</v>
      </c>
      <c r="L165" s="956"/>
      <c r="M165" s="966"/>
    </row>
    <row r="166" spans="1:16" s="964" customFormat="1" ht="12" hidden="1" x14ac:dyDescent="0.2">
      <c r="A166" s="955"/>
      <c r="B166" s="1059" t="s">
        <v>699</v>
      </c>
      <c r="C166" s="1059"/>
      <c r="E166" s="960" t="s">
        <v>698</v>
      </c>
      <c r="J166" s="1060"/>
      <c r="K166" s="964" t="s">
        <v>617</v>
      </c>
      <c r="L166" s="956"/>
      <c r="M166" s="966"/>
    </row>
    <row r="167" spans="1:16" s="964" customFormat="1" ht="12" x14ac:dyDescent="0.2">
      <c r="A167" s="955"/>
      <c r="B167" s="1059" t="s">
        <v>700</v>
      </c>
      <c r="E167" s="964" t="s">
        <v>701</v>
      </c>
      <c r="J167" s="1060">
        <v>1.2144999999999999</v>
      </c>
      <c r="K167" s="964" t="s">
        <v>617</v>
      </c>
      <c r="M167" s="966"/>
    </row>
    <row r="168" spans="1:16" s="964" customFormat="1" ht="12" hidden="1" x14ac:dyDescent="0.2">
      <c r="A168" s="955"/>
      <c r="B168" s="1064" t="s">
        <v>702</v>
      </c>
      <c r="C168" s="1065"/>
      <c r="D168" s="1065"/>
      <c r="E168" s="1065" t="s">
        <v>701</v>
      </c>
      <c r="F168" s="1065"/>
      <c r="G168" s="1065"/>
      <c r="H168" s="1065"/>
      <c r="I168" s="1065"/>
      <c r="J168" s="1066">
        <v>0</v>
      </c>
      <c r="K168" s="1065" t="s">
        <v>617</v>
      </c>
      <c r="M168" s="966"/>
    </row>
    <row r="169" spans="1:16" s="964" customFormat="1" ht="12" hidden="1" x14ac:dyDescent="0.2">
      <c r="A169" s="955"/>
      <c r="B169" s="1059"/>
      <c r="E169" s="1059"/>
      <c r="J169" s="1067"/>
      <c r="L169" s="956"/>
      <c r="M169" s="966"/>
    </row>
    <row r="170" spans="1:16" s="964" customFormat="1" ht="12" customHeight="1" x14ac:dyDescent="0.2">
      <c r="A170" s="955"/>
      <c r="B170" s="1059"/>
      <c r="E170" s="1059"/>
      <c r="J170" s="1067"/>
      <c r="L170" s="956"/>
      <c r="M170" s="966"/>
    </row>
    <row r="171" spans="1:16" s="964" customFormat="1" ht="12" x14ac:dyDescent="0.2">
      <c r="A171" s="955"/>
      <c r="B171" s="1059"/>
      <c r="E171" s="1059"/>
      <c r="J171" s="1067"/>
      <c r="L171" s="956"/>
      <c r="M171" s="966"/>
    </row>
    <row r="172" spans="1:16" s="964" customFormat="1" ht="12" x14ac:dyDescent="0.2">
      <c r="A172" s="955" t="s">
        <v>703</v>
      </c>
      <c r="B172" s="999" t="s">
        <v>704</v>
      </c>
      <c r="C172" s="955"/>
      <c r="D172" s="955"/>
      <c r="E172" s="955"/>
      <c r="F172" s="955"/>
      <c r="G172" s="955"/>
      <c r="H172" s="955"/>
      <c r="J172" s="989">
        <v>115.04813063379561</v>
      </c>
      <c r="K172" s="998" t="s">
        <v>617</v>
      </c>
      <c r="L172" s="955">
        <v>115048.1306337956</v>
      </c>
      <c r="M172" s="1063"/>
    </row>
    <row r="173" spans="1:16" s="964" customFormat="1" ht="12" x14ac:dyDescent="0.2">
      <c r="A173" s="955"/>
      <c r="B173" s="1059" t="s">
        <v>705</v>
      </c>
      <c r="C173" s="978"/>
      <c r="D173" s="978"/>
      <c r="E173" s="978"/>
      <c r="F173" s="1048"/>
      <c r="G173" s="978"/>
      <c r="H173" s="978"/>
      <c r="J173" s="1050">
        <v>2.7595425000000002</v>
      </c>
      <c r="K173" s="978" t="s">
        <v>617</v>
      </c>
      <c r="L173" s="956"/>
      <c r="M173" s="1063"/>
    </row>
    <row r="174" spans="1:16" s="964" customFormat="1" ht="12" x14ac:dyDescent="0.2">
      <c r="A174" s="955"/>
      <c r="B174" s="978" t="s">
        <v>706</v>
      </c>
      <c r="C174" s="978"/>
      <c r="D174" s="978"/>
      <c r="E174" s="978"/>
      <c r="F174" s="1048"/>
      <c r="G174" s="978"/>
      <c r="H174" s="978"/>
      <c r="J174" s="1050">
        <v>18.802797616471214</v>
      </c>
      <c r="K174" s="978" t="s">
        <v>617</v>
      </c>
      <c r="L174" s="956"/>
      <c r="M174" s="1063"/>
    </row>
    <row r="175" spans="1:16" s="964" customFormat="1" ht="12" x14ac:dyDescent="0.2">
      <c r="A175" s="955"/>
      <c r="B175" s="978" t="s">
        <v>707</v>
      </c>
      <c r="C175" s="978"/>
      <c r="D175" s="978"/>
      <c r="E175" s="1068"/>
      <c r="F175" s="986"/>
      <c r="G175" s="986"/>
      <c r="H175" s="986"/>
      <c r="J175" s="1050">
        <v>14.432479800762822</v>
      </c>
      <c r="K175" s="978" t="s">
        <v>617</v>
      </c>
      <c r="L175" s="956"/>
      <c r="M175" s="966"/>
    </row>
    <row r="176" spans="1:16" s="955" customFormat="1" ht="12" x14ac:dyDescent="0.2">
      <c r="B176" s="978" t="s">
        <v>708</v>
      </c>
      <c r="C176" s="986"/>
      <c r="D176" s="986"/>
      <c r="E176" s="986"/>
      <c r="F176" s="986"/>
      <c r="G176" s="986"/>
      <c r="H176" s="986"/>
      <c r="J176" s="1048">
        <v>61.29184838820975</v>
      </c>
      <c r="K176" s="978" t="s">
        <v>617</v>
      </c>
      <c r="L176" s="956"/>
    </row>
    <row r="177" spans="1:17" s="955" customFormat="1" ht="12" x14ac:dyDescent="0.2">
      <c r="B177" s="978" t="s">
        <v>709</v>
      </c>
      <c r="C177" s="986"/>
      <c r="D177" s="986"/>
      <c r="E177" s="986"/>
      <c r="F177" s="986"/>
      <c r="G177" s="986"/>
      <c r="H177" s="986"/>
      <c r="J177" s="1048">
        <v>0</v>
      </c>
      <c r="K177" s="978" t="s">
        <v>617</v>
      </c>
      <c r="L177" s="956"/>
    </row>
    <row r="178" spans="1:17" s="955" customFormat="1" ht="12" x14ac:dyDescent="0.2">
      <c r="B178" s="978" t="s">
        <v>710</v>
      </c>
      <c r="C178" s="986"/>
      <c r="D178" s="986"/>
      <c r="E178" s="986"/>
      <c r="F178" s="986"/>
      <c r="G178" s="986"/>
      <c r="H178" s="986"/>
      <c r="J178" s="1048">
        <v>17.761462328351822</v>
      </c>
      <c r="K178" s="978" t="s">
        <v>617</v>
      </c>
      <c r="L178" s="956"/>
    </row>
    <row r="179" spans="1:17" s="964" customFormat="1" hidden="1" x14ac:dyDescent="0.2">
      <c r="A179" s="998" t="s">
        <v>711</v>
      </c>
      <c r="B179" s="999" t="s">
        <v>712</v>
      </c>
      <c r="E179" s="148" t="s">
        <v>701</v>
      </c>
      <c r="J179" s="974"/>
      <c r="K179" s="998" t="s">
        <v>617</v>
      </c>
      <c r="M179" s="966"/>
    </row>
    <row r="180" spans="1:17" s="964" customFormat="1" ht="15.75" hidden="1" customHeight="1" x14ac:dyDescent="0.2">
      <c r="A180" s="955" t="s">
        <v>713</v>
      </c>
      <c r="B180" s="999" t="s">
        <v>714</v>
      </c>
      <c r="C180" s="960"/>
      <c r="E180" s="148" t="s">
        <v>701</v>
      </c>
      <c r="F180" s="960"/>
      <c r="G180" s="960"/>
      <c r="H180" s="960"/>
      <c r="J180" s="974"/>
      <c r="K180" s="998" t="s">
        <v>617</v>
      </c>
      <c r="L180" s="960"/>
      <c r="M180" s="966"/>
    </row>
    <row r="181" spans="1:17" s="964" customFormat="1" ht="15.75" hidden="1" customHeight="1" x14ac:dyDescent="0.2">
      <c r="A181" s="955"/>
      <c r="B181" s="999"/>
      <c r="C181" s="960"/>
      <c r="E181" s="148"/>
      <c r="F181" s="960"/>
      <c r="G181" s="960"/>
      <c r="H181" s="960"/>
      <c r="J181" s="974"/>
      <c r="K181" s="998"/>
      <c r="L181" s="960"/>
      <c r="M181" s="966"/>
    </row>
    <row r="182" spans="1:17" s="964" customFormat="1" ht="15.75" customHeight="1" x14ac:dyDescent="0.2">
      <c r="A182" s="955" t="s">
        <v>713</v>
      </c>
      <c r="B182" s="999" t="s">
        <v>715</v>
      </c>
      <c r="J182" s="1000">
        <v>818.2764400971314</v>
      </c>
      <c r="K182" s="998" t="s">
        <v>617</v>
      </c>
      <c r="M182" s="966"/>
    </row>
    <row r="183" spans="1:17" s="964" customFormat="1" ht="15.75" hidden="1" customHeight="1" x14ac:dyDescent="0.2">
      <c r="A183" s="955"/>
      <c r="B183" s="960" t="s">
        <v>716</v>
      </c>
      <c r="C183" s="2063"/>
      <c r="D183" s="2063"/>
      <c r="E183" s="960" t="s">
        <v>717</v>
      </c>
      <c r="F183" s="960">
        <v>21.37</v>
      </c>
      <c r="G183" s="1069" t="s">
        <v>718</v>
      </c>
      <c r="H183" s="960">
        <v>0.3</v>
      </c>
      <c r="I183" s="1070" t="s">
        <v>671</v>
      </c>
      <c r="J183" s="1067">
        <v>0</v>
      </c>
      <c r="K183" s="960" t="s">
        <v>719</v>
      </c>
      <c r="L183" s="1001" t="s">
        <v>720</v>
      </c>
      <c r="M183" s="967"/>
      <c r="O183" s="1071" t="s">
        <v>721</v>
      </c>
    </row>
    <row r="184" spans="1:17" s="681" customFormat="1" ht="16.899999999999999" customHeight="1" x14ac:dyDescent="0.2">
      <c r="A184" s="680"/>
      <c r="B184" s="1072" t="s">
        <v>722</v>
      </c>
      <c r="C184" s="2064">
        <v>36.771000000000001</v>
      </c>
      <c r="D184" s="2064"/>
      <c r="E184" s="1073" t="s">
        <v>723</v>
      </c>
      <c r="F184" s="1072">
        <v>1089.8599999999999</v>
      </c>
      <c r="G184" s="1072" t="s">
        <v>724</v>
      </c>
      <c r="H184" s="148"/>
      <c r="J184" s="1060">
        <v>801.50484119999999</v>
      </c>
      <c r="K184" s="1072" t="s">
        <v>719</v>
      </c>
      <c r="L184" s="682"/>
      <c r="M184" s="682">
        <v>801.50484119999999</v>
      </c>
      <c r="N184" s="682">
        <v>761.19246039999996</v>
      </c>
      <c r="O184" s="682">
        <v>40.312380800000028</v>
      </c>
    </row>
    <row r="185" spans="1:17" s="681" customFormat="1" ht="12" x14ac:dyDescent="0.2">
      <c r="A185" s="680"/>
      <c r="B185" s="1072" t="s">
        <v>725</v>
      </c>
      <c r="E185" s="668"/>
      <c r="J185" s="1074"/>
      <c r="K185" s="680"/>
      <c r="L185" s="678"/>
    </row>
    <row r="186" spans="1:17" s="681" customFormat="1" ht="12" customHeight="1" x14ac:dyDescent="0.2">
      <c r="A186" s="680"/>
      <c r="B186" s="1072" t="s">
        <v>726</v>
      </c>
      <c r="C186" s="2065">
        <v>7.8679999999999382</v>
      </c>
      <c r="D186" s="2064"/>
      <c r="E186" s="1073" t="s">
        <v>727</v>
      </c>
      <c r="G186" s="961">
        <v>25.548107923500186</v>
      </c>
      <c r="H186" s="1072" t="s">
        <v>637</v>
      </c>
      <c r="I186" s="1072">
        <v>5</v>
      </c>
      <c r="J186" s="1060">
        <v>3.0151876971314677</v>
      </c>
      <c r="K186" s="1072" t="s">
        <v>719</v>
      </c>
      <c r="L186" s="682"/>
    </row>
    <row r="187" spans="1:17" s="681" customFormat="1" ht="12" customHeight="1" x14ac:dyDescent="0.2">
      <c r="A187" s="680"/>
      <c r="B187" s="1072" t="s">
        <v>728</v>
      </c>
      <c r="C187" s="2065">
        <v>7.8679999999999382</v>
      </c>
      <c r="D187" s="2064"/>
      <c r="E187" s="1073" t="s">
        <v>727</v>
      </c>
      <c r="G187" s="1072">
        <v>116.56</v>
      </c>
      <c r="H187" s="1072" t="s">
        <v>729</v>
      </c>
      <c r="I187" s="1072">
        <v>5</v>
      </c>
      <c r="J187" s="1060">
        <v>13.756411199999892</v>
      </c>
      <c r="K187" s="1072" t="s">
        <v>719</v>
      </c>
      <c r="L187" s="682"/>
    </row>
    <row r="188" spans="1:17" s="986" customFormat="1" ht="16.899999999999999" customHeight="1" x14ac:dyDescent="0.2">
      <c r="A188" s="955"/>
      <c r="B188" s="998" t="s">
        <v>730</v>
      </c>
      <c r="C188" s="964"/>
      <c r="D188" s="964"/>
      <c r="E188" s="964"/>
      <c r="F188" s="964"/>
      <c r="G188" s="975"/>
      <c r="H188" s="966"/>
      <c r="I188" s="964"/>
      <c r="J188" s="958">
        <v>6988.2051460517032</v>
      </c>
      <c r="K188" s="958" t="s">
        <v>661</v>
      </c>
      <c r="M188" s="959">
        <v>12322.846026680374</v>
      </c>
      <c r="N188" s="1058">
        <v>12322.846026680374</v>
      </c>
    </row>
    <row r="189" spans="1:17" s="986" customFormat="1" ht="16.899999999999999" customHeight="1" x14ac:dyDescent="0.2">
      <c r="A189" s="955"/>
      <c r="B189" s="998"/>
      <c r="C189" s="964"/>
      <c r="D189" s="964"/>
      <c r="E189" s="964"/>
      <c r="F189" s="964"/>
      <c r="G189" s="975">
        <v>0</v>
      </c>
      <c r="H189" s="964"/>
      <c r="I189" s="964"/>
      <c r="J189" s="958"/>
      <c r="K189" s="958"/>
      <c r="N189" s="1075"/>
      <c r="Q189" s="959"/>
    </row>
    <row r="190" spans="1:17" s="964" customFormat="1" ht="13.9" customHeight="1" x14ac:dyDescent="0.2">
      <c r="A190" s="955"/>
      <c r="B190" s="955" t="s">
        <v>731</v>
      </c>
      <c r="E190" s="966"/>
      <c r="F190" s="1076"/>
      <c r="G190" s="1077">
        <v>9962.0814838534752</v>
      </c>
      <c r="H190" s="964" t="s">
        <v>617</v>
      </c>
      <c r="I190" s="1078">
        <v>2973.876337801772</v>
      </c>
      <c r="J190" s="1079"/>
      <c r="L190" s="1080">
        <v>2973.876337801772</v>
      </c>
      <c r="M190" s="1081">
        <v>17495.597770496992</v>
      </c>
      <c r="N190" s="1082">
        <v>1768.1094834632333</v>
      </c>
      <c r="O190" s="967"/>
      <c r="P190" s="1080"/>
      <c r="Q190" s="967"/>
    </row>
    <row r="191" spans="1:17" s="960" customFormat="1" ht="12" x14ac:dyDescent="0.2">
      <c r="A191" s="955"/>
      <c r="B191" s="964"/>
      <c r="C191" s="964"/>
      <c r="D191" s="964"/>
      <c r="E191" s="966"/>
      <c r="F191" s="1083"/>
      <c r="G191" s="2069"/>
      <c r="H191" s="2069"/>
      <c r="I191" s="1084"/>
      <c r="J191" s="1084"/>
      <c r="K191" s="964"/>
      <c r="M191" s="1081">
        <v>17495.597770496988</v>
      </c>
      <c r="N191" s="1085">
        <v>1768.1094834632336</v>
      </c>
      <c r="O191" s="1086"/>
      <c r="P191" s="1086"/>
      <c r="Q191" s="959"/>
    </row>
    <row r="192" spans="1:17" s="960" customFormat="1" ht="18.75" x14ac:dyDescent="0.3">
      <c r="A192" s="120"/>
      <c r="B192" s="1087" t="s">
        <v>732</v>
      </c>
      <c r="C192" s="1087"/>
      <c r="D192" s="1087"/>
      <c r="E192" s="1087"/>
      <c r="F192" s="1087"/>
      <c r="I192" s="952">
        <v>31796.11341511158</v>
      </c>
      <c r="J192" s="1088" t="s">
        <v>617</v>
      </c>
      <c r="K192" s="148"/>
      <c r="L192" s="959">
        <v>24807.908269059877</v>
      </c>
      <c r="M192" s="1089">
        <v>0</v>
      </c>
      <c r="N192" s="1082">
        <v>0</v>
      </c>
      <c r="O192" s="1090"/>
      <c r="P192" s="1090"/>
    </row>
    <row r="193" spans="1:17" s="966" customFormat="1" ht="12" x14ac:dyDescent="0.2">
      <c r="A193" s="1091"/>
      <c r="F193" s="976"/>
      <c r="H193" s="1092">
        <v>24807.908269059877</v>
      </c>
      <c r="I193" s="1092">
        <v>2973.8763378017757</v>
      </c>
      <c r="P193" s="1093"/>
    </row>
    <row r="194" spans="1:17" s="964" customFormat="1" ht="27" customHeight="1" x14ac:dyDescent="0.2">
      <c r="A194" s="955"/>
      <c r="B194" s="964" t="s">
        <v>218</v>
      </c>
      <c r="H194" s="967" t="s">
        <v>148</v>
      </c>
      <c r="M194" s="1094">
        <v>0</v>
      </c>
      <c r="N194" s="967"/>
    </row>
    <row r="195" spans="1:17" s="964" customFormat="1" ht="12" hidden="1" x14ac:dyDescent="0.2">
      <c r="A195" s="955"/>
      <c r="F195" s="967"/>
      <c r="L195" s="1095"/>
      <c r="M195" s="1083">
        <v>9125.9198250018399</v>
      </c>
      <c r="N195" s="967"/>
    </row>
    <row r="196" spans="1:17" s="148" customFormat="1" hidden="1" x14ac:dyDescent="0.2">
      <c r="A196" s="955"/>
      <c r="B196" s="964"/>
      <c r="C196" s="964"/>
      <c r="D196" s="964"/>
      <c r="E196" s="964"/>
      <c r="F196" s="967"/>
      <c r="G196" s="964"/>
      <c r="H196" s="564">
        <v>2973.876337801772</v>
      </c>
      <c r="I196" s="967">
        <v>0</v>
      </c>
      <c r="J196" s="967">
        <v>24807.908269059877</v>
      </c>
      <c r="K196" s="964"/>
      <c r="M196" s="966"/>
    </row>
    <row r="197" spans="1:17" s="964" customFormat="1" ht="12" hidden="1" x14ac:dyDescent="0.2">
      <c r="A197" s="955"/>
      <c r="H197" s="967"/>
      <c r="L197" s="972"/>
      <c r="M197" s="976"/>
    </row>
    <row r="198" spans="1:17" s="964" customFormat="1" ht="12" hidden="1" x14ac:dyDescent="0.2">
      <c r="A198" s="955"/>
      <c r="M198" s="966"/>
    </row>
    <row r="199" spans="1:17" s="964" customFormat="1" ht="12" hidden="1" x14ac:dyDescent="0.2">
      <c r="A199" s="955"/>
      <c r="M199" s="966"/>
    </row>
    <row r="200" spans="1:17" hidden="1" x14ac:dyDescent="0.2">
      <c r="A200" s="941"/>
      <c r="G200" s="1096"/>
      <c r="M200" s="941"/>
    </row>
    <row r="201" spans="1:17" ht="18.75" hidden="1" x14ac:dyDescent="0.3">
      <c r="A201" s="941"/>
      <c r="F201" s="1097" t="s">
        <v>733</v>
      </c>
      <c r="G201" s="1096"/>
      <c r="I201" s="825" t="s">
        <v>734</v>
      </c>
      <c r="M201" s="941"/>
    </row>
    <row r="202" spans="1:17" ht="19.899999999999999" hidden="1" customHeight="1" x14ac:dyDescent="0.3">
      <c r="A202" s="941"/>
      <c r="F202" s="1097"/>
      <c r="G202" s="1096"/>
      <c r="M202" s="941"/>
      <c r="N202" s="941" t="s">
        <v>735</v>
      </c>
      <c r="O202" s="941" t="s">
        <v>736</v>
      </c>
    </row>
    <row r="203" spans="1:17" ht="58.9" hidden="1" customHeight="1" x14ac:dyDescent="0.2">
      <c r="A203" s="1098" t="s">
        <v>737</v>
      </c>
      <c r="B203" s="2066" t="s">
        <v>738</v>
      </c>
      <c r="C203" s="2067"/>
      <c r="D203" s="2068"/>
      <c r="E203" s="1098" t="s">
        <v>739</v>
      </c>
      <c r="F203" s="1098" t="s">
        <v>740</v>
      </c>
      <c r="G203" s="1098" t="s">
        <v>741</v>
      </c>
      <c r="H203" s="1098" t="s">
        <v>742</v>
      </c>
      <c r="I203" s="1098" t="s">
        <v>743</v>
      </c>
      <c r="J203" s="941" t="s">
        <v>744</v>
      </c>
      <c r="M203" s="941"/>
      <c r="N203" s="941">
        <v>0.56709344017781582</v>
      </c>
      <c r="O203" s="1099">
        <v>0.43290655982218407</v>
      </c>
      <c r="P203" s="1099">
        <v>0.99999999999999989</v>
      </c>
    </row>
    <row r="204" spans="1:17" ht="13.9" hidden="1" customHeight="1" x14ac:dyDescent="0.25">
      <c r="A204" s="1100"/>
      <c r="B204" s="1101"/>
      <c r="C204" s="1102"/>
      <c r="D204" s="1103"/>
      <c r="E204" s="1104"/>
      <c r="F204" s="1105"/>
      <c r="G204" s="1106"/>
      <c r="H204" s="1107"/>
      <c r="I204" s="1107"/>
      <c r="M204" s="941"/>
      <c r="N204" s="1108">
        <v>0.56709344017781582</v>
      </c>
      <c r="O204" s="1099">
        <v>0.43290655982218407</v>
      </c>
    </row>
    <row r="205" spans="1:17" s="680" customFormat="1" ht="22.9" hidden="1" customHeight="1" x14ac:dyDescent="0.2">
      <c r="A205" s="1109">
        <v>1</v>
      </c>
      <c r="B205" s="2057" t="s">
        <v>745</v>
      </c>
      <c r="C205" s="2058"/>
      <c r="D205" s="2059"/>
      <c r="E205" s="1104" t="s">
        <v>617</v>
      </c>
      <c r="F205" s="1110">
        <v>0</v>
      </c>
      <c r="G205" s="1110">
        <v>0</v>
      </c>
      <c r="H205" s="1110">
        <v>0</v>
      </c>
      <c r="I205" s="1110">
        <v>31796.113415111577</v>
      </c>
      <c r="J205" s="1074">
        <v>31796.113415111577</v>
      </c>
      <c r="K205" s="1074"/>
      <c r="L205" s="1074"/>
      <c r="M205" s="1074"/>
      <c r="N205" s="1111">
        <v>21834.031931258101</v>
      </c>
      <c r="O205" s="1111">
        <v>16667.61591783692</v>
      </c>
      <c r="P205" s="1112">
        <v>38501.647849095025</v>
      </c>
      <c r="Q205" s="1113"/>
    </row>
    <row r="206" spans="1:17" s="681" customFormat="1" ht="23.45" hidden="1" customHeight="1" x14ac:dyDescent="0.2">
      <c r="A206" s="1114" t="s">
        <v>746</v>
      </c>
      <c r="B206" s="2057" t="s">
        <v>747</v>
      </c>
      <c r="C206" s="2058"/>
      <c r="D206" s="2059"/>
      <c r="E206" s="1104" t="s">
        <v>617</v>
      </c>
      <c r="F206" s="1110">
        <v>0</v>
      </c>
      <c r="G206" s="1110">
        <v>0</v>
      </c>
      <c r="H206" s="1110">
        <v>0</v>
      </c>
      <c r="I206" s="1110">
        <v>18112.377973076764</v>
      </c>
      <c r="J206" s="1074">
        <v>18112.377973076764</v>
      </c>
      <c r="K206" s="1115">
        <v>42298.56934422387</v>
      </c>
      <c r="L206" s="1074"/>
      <c r="M206" s="1074"/>
      <c r="N206" s="1116">
        <v>31796.113415111577</v>
      </c>
      <c r="O206" s="1116">
        <v>24186.191371147102</v>
      </c>
      <c r="P206" s="1112">
        <v>55982.304786258683</v>
      </c>
      <c r="Q206" s="1113"/>
    </row>
    <row r="207" spans="1:17" s="1044" customFormat="1" ht="25.5" hidden="1" x14ac:dyDescent="0.2">
      <c r="A207" s="1114" t="s">
        <v>748</v>
      </c>
      <c r="B207" s="2057" t="s">
        <v>749</v>
      </c>
      <c r="C207" s="2058"/>
      <c r="D207" s="2059"/>
      <c r="E207" s="1104" t="s">
        <v>617</v>
      </c>
      <c r="F207" s="1172"/>
      <c r="G207" s="1172"/>
      <c r="H207" s="1117"/>
      <c r="I207" s="1117">
        <v>2748.8209358556473</v>
      </c>
      <c r="J207" s="1074">
        <v>2748.8209358556473</v>
      </c>
      <c r="K207" s="1115">
        <v>14054.143610602794</v>
      </c>
      <c r="L207" s="825"/>
      <c r="M207" s="825"/>
      <c r="N207" s="1118">
        <v>0.56796720921922805</v>
      </c>
      <c r="O207" s="1118">
        <v>0.43203279078077189</v>
      </c>
      <c r="P207" s="1113"/>
      <c r="Q207" s="1113"/>
    </row>
    <row r="208" spans="1:17" s="1044" customFormat="1" ht="16.149999999999999" hidden="1" customHeight="1" x14ac:dyDescent="0.2">
      <c r="A208" s="1114" t="s">
        <v>750</v>
      </c>
      <c r="B208" s="2057" t="s">
        <v>751</v>
      </c>
      <c r="C208" s="2058"/>
      <c r="D208" s="2059"/>
      <c r="E208" s="1104" t="s">
        <v>617</v>
      </c>
      <c r="F208" s="1172"/>
      <c r="G208" s="1172"/>
      <c r="H208" s="1117"/>
      <c r="I208" s="1117">
        <v>13184.51764652</v>
      </c>
      <c r="J208" s="1074">
        <v>13184.51764652</v>
      </c>
      <c r="K208" s="1115">
        <v>16384.533141267148</v>
      </c>
      <c r="L208" s="825"/>
      <c r="M208" s="825"/>
      <c r="N208" s="1118">
        <v>0.56781566777611159</v>
      </c>
      <c r="O208" s="1118">
        <v>0.43218433222388847</v>
      </c>
      <c r="P208" s="1113"/>
      <c r="Q208" s="1113"/>
    </row>
    <row r="209" spans="1:17" s="1044" customFormat="1" ht="14.45" hidden="1" customHeight="1" x14ac:dyDescent="0.2">
      <c r="A209" s="1114" t="s">
        <v>752</v>
      </c>
      <c r="B209" s="2057" t="s">
        <v>753</v>
      </c>
      <c r="C209" s="2058"/>
      <c r="D209" s="2059"/>
      <c r="E209" s="1104" t="s">
        <v>617</v>
      </c>
      <c r="F209" s="1172"/>
      <c r="G209" s="1172"/>
      <c r="H209" s="1117"/>
      <c r="I209" s="1117">
        <v>2179.0393907011166</v>
      </c>
      <c r="J209" s="1074">
        <v>2179.0393907011166</v>
      </c>
      <c r="K209" s="1115">
        <v>10284.346570701116</v>
      </c>
      <c r="L209" s="1119"/>
      <c r="M209" s="1115"/>
      <c r="N209" s="1119"/>
      <c r="O209" s="1115"/>
      <c r="P209" s="1113"/>
      <c r="Q209" s="1113"/>
    </row>
    <row r="210" spans="1:17" s="1044" customFormat="1" ht="21.6" hidden="1" customHeight="1" x14ac:dyDescent="0.2">
      <c r="A210" s="1114" t="s">
        <v>754</v>
      </c>
      <c r="B210" s="2057" t="s">
        <v>755</v>
      </c>
      <c r="C210" s="2058"/>
      <c r="D210" s="2059"/>
      <c r="E210" s="1104" t="s">
        <v>617</v>
      </c>
      <c r="F210" s="1172"/>
      <c r="G210" s="1172"/>
      <c r="H210" s="1117"/>
      <c r="I210" s="1117">
        <v>0</v>
      </c>
      <c r="J210" s="1074">
        <v>0</v>
      </c>
      <c r="K210" s="1115">
        <v>0</v>
      </c>
      <c r="L210" s="1119"/>
      <c r="M210" s="1115"/>
      <c r="N210" s="1120" t="s">
        <v>756</v>
      </c>
      <c r="O210" s="1120" t="s">
        <v>757</v>
      </c>
      <c r="P210" s="1113"/>
      <c r="Q210" s="1113"/>
    </row>
    <row r="211" spans="1:17" s="1044" customFormat="1" ht="21" hidden="1" customHeight="1" x14ac:dyDescent="0.2">
      <c r="A211" s="1114" t="s">
        <v>758</v>
      </c>
      <c r="B211" s="2057" t="s">
        <v>759</v>
      </c>
      <c r="C211" s="2058"/>
      <c r="D211" s="2059"/>
      <c r="E211" s="1104" t="s">
        <v>617</v>
      </c>
      <c r="F211" s="1172"/>
      <c r="G211" s="1172"/>
      <c r="H211" s="1117"/>
      <c r="I211" s="1117">
        <v>2397.5101707744971</v>
      </c>
      <c r="J211" s="1074">
        <v>2397.5101707744971</v>
      </c>
      <c r="K211" s="1115">
        <v>5584.8806323234912</v>
      </c>
      <c r="L211" s="1119"/>
      <c r="M211" s="1115"/>
      <c r="N211" s="1115"/>
      <c r="O211" s="1115"/>
      <c r="P211" s="1113"/>
      <c r="Q211" s="1113"/>
    </row>
    <row r="212" spans="1:17" s="1044" customFormat="1" ht="25.5" hidden="1" x14ac:dyDescent="0.2">
      <c r="A212" s="1114" t="s">
        <v>760</v>
      </c>
      <c r="B212" s="2057" t="s">
        <v>761</v>
      </c>
      <c r="C212" s="2058"/>
      <c r="D212" s="2059"/>
      <c r="E212" s="1104" t="s">
        <v>617</v>
      </c>
      <c r="F212" s="1117"/>
      <c r="G212" s="1117"/>
      <c r="H212" s="1117"/>
      <c r="I212" s="1117">
        <v>1324.1437874068397</v>
      </c>
      <c r="J212" s="1074">
        <v>1324.1437874068397</v>
      </c>
      <c r="K212" s="1115">
        <v>3499.0665689476191</v>
      </c>
      <c r="L212" s="1119"/>
      <c r="M212" s="1115"/>
      <c r="N212" s="1115"/>
      <c r="O212" s="1115"/>
      <c r="P212" s="1113"/>
      <c r="Q212" s="1113"/>
    </row>
    <row r="213" spans="1:17" s="1044" customFormat="1" ht="22.5" hidden="1" customHeight="1" x14ac:dyDescent="0.2">
      <c r="A213" s="1114" t="s">
        <v>762</v>
      </c>
      <c r="B213" s="2057" t="s">
        <v>763</v>
      </c>
      <c r="C213" s="2058"/>
      <c r="D213" s="2059"/>
      <c r="E213" s="1104" t="s">
        <v>617</v>
      </c>
      <c r="F213" s="1172"/>
      <c r="G213" s="1172"/>
      <c r="H213" s="1117"/>
      <c r="I213" s="1117">
        <v>527.45223757038934</v>
      </c>
      <c r="J213" s="1074">
        <v>527.45223757038934</v>
      </c>
      <c r="K213" s="1115">
        <v>1228.6737391111683</v>
      </c>
      <c r="L213" s="1119"/>
      <c r="M213" s="1115"/>
      <c r="N213" s="1115"/>
      <c r="O213" s="1115"/>
      <c r="P213" s="1113"/>
      <c r="Q213" s="1113"/>
    </row>
    <row r="214" spans="1:17" s="1044" customFormat="1" ht="20.45" hidden="1" customHeight="1" x14ac:dyDescent="0.2">
      <c r="A214" s="1114" t="s">
        <v>764</v>
      </c>
      <c r="B214" s="2057" t="s">
        <v>765</v>
      </c>
      <c r="C214" s="2058"/>
      <c r="D214" s="2059"/>
      <c r="E214" s="1104" t="s">
        <v>617</v>
      </c>
      <c r="F214" s="1172"/>
      <c r="G214" s="1172"/>
      <c r="H214" s="1117"/>
      <c r="I214" s="1117">
        <v>523.61796000000027</v>
      </c>
      <c r="J214" s="1074">
        <v>523.61796000000027</v>
      </c>
      <c r="K214" s="1115">
        <v>1997.3192400000009</v>
      </c>
      <c r="L214" s="1115"/>
      <c r="M214" s="1115"/>
      <c r="N214" s="1115"/>
      <c r="O214" s="1115"/>
      <c r="P214" s="1113"/>
      <c r="Q214" s="1113"/>
    </row>
    <row r="215" spans="1:17" s="1044" customFormat="1" ht="25.5" hidden="1" x14ac:dyDescent="0.2">
      <c r="A215" s="1114" t="s">
        <v>766</v>
      </c>
      <c r="B215" s="2057" t="s">
        <v>767</v>
      </c>
      <c r="C215" s="2058"/>
      <c r="D215" s="2059"/>
      <c r="E215" s="1104" t="s">
        <v>617</v>
      </c>
      <c r="F215" s="1117"/>
      <c r="G215" s="1117"/>
      <c r="H215" s="1117"/>
      <c r="I215" s="1117">
        <v>273.07358983644997</v>
      </c>
      <c r="J215" s="1074">
        <v>273.07358983644997</v>
      </c>
      <c r="K215" s="1115">
        <v>273.07358983644997</v>
      </c>
      <c r="L215" s="1115"/>
      <c r="M215" s="1115"/>
      <c r="N215" s="1115"/>
      <c r="O215" s="1115"/>
      <c r="P215" s="1113"/>
      <c r="Q215" s="1113"/>
    </row>
    <row r="216" spans="1:17" s="1044" customFormat="1" ht="25.5" hidden="1" x14ac:dyDescent="0.2">
      <c r="A216" s="1114"/>
      <c r="B216" s="1121" t="s">
        <v>768</v>
      </c>
      <c r="C216" s="1900"/>
      <c r="D216" s="1901"/>
      <c r="E216" s="1104" t="s">
        <v>617</v>
      </c>
      <c r="F216" s="1117"/>
      <c r="G216" s="1117"/>
      <c r="H216" s="1117"/>
      <c r="I216" s="1117">
        <v>21834.031931258101</v>
      </c>
      <c r="J216" s="1074">
        <v>21834.031931258101</v>
      </c>
      <c r="K216" s="1115">
        <v>38501.647849095025</v>
      </c>
      <c r="L216" s="1115"/>
      <c r="M216" s="1115"/>
      <c r="N216" s="1115"/>
      <c r="O216" s="1115"/>
      <c r="P216" s="1113"/>
      <c r="Q216" s="1113"/>
    </row>
    <row r="217" spans="1:17" s="681" customFormat="1" ht="22.15" hidden="1" customHeight="1" x14ac:dyDescent="0.2">
      <c r="A217" s="1114" t="s">
        <v>769</v>
      </c>
      <c r="B217" s="2057" t="s">
        <v>770</v>
      </c>
      <c r="C217" s="2058"/>
      <c r="D217" s="2059"/>
      <c r="E217" s="1104" t="s">
        <v>617</v>
      </c>
      <c r="F217" s="1110">
        <v>0</v>
      </c>
      <c r="G217" s="1110">
        <v>0</v>
      </c>
      <c r="H217" s="1110">
        <v>0</v>
      </c>
      <c r="I217" s="1110">
        <v>9962.0814838534752</v>
      </c>
      <c r="J217" s="1074">
        <v>9962.0814838534752</v>
      </c>
      <c r="K217" s="1074"/>
      <c r="L217" s="1074"/>
      <c r="M217" s="1074"/>
      <c r="N217" s="1074">
        <v>17480.656937163658</v>
      </c>
      <c r="O217" s="1074"/>
      <c r="P217" s="1113"/>
      <c r="Q217" s="1113"/>
    </row>
    <row r="218" spans="1:17" s="681" customFormat="1" ht="9.6" hidden="1" customHeight="1" x14ac:dyDescent="0.2">
      <c r="A218" s="1114"/>
      <c r="B218" s="1899"/>
      <c r="C218" s="1900"/>
      <c r="D218" s="1901"/>
      <c r="E218" s="1104"/>
      <c r="F218" s="1110">
        <v>0</v>
      </c>
      <c r="G218" s="1110">
        <v>0</v>
      </c>
      <c r="H218" s="1110">
        <v>0</v>
      </c>
      <c r="I218" s="1110">
        <v>2973.876337801772</v>
      </c>
      <c r="J218" s="1074">
        <v>2973.876337801772</v>
      </c>
      <c r="K218" s="1074"/>
      <c r="L218" s="1110">
        <v>1686.4657630674114</v>
      </c>
      <c r="M218" s="1110">
        <v>1287.4105747343606</v>
      </c>
      <c r="N218" s="1074">
        <v>2973.876337801772</v>
      </c>
      <c r="O218" s="1074"/>
      <c r="P218" s="1113"/>
      <c r="Q218" s="1113"/>
    </row>
    <row r="219" spans="1:17" s="1044" customFormat="1" ht="24.75" hidden="1" customHeight="1" x14ac:dyDescent="0.2">
      <c r="A219" s="1122"/>
      <c r="B219" s="2057" t="s">
        <v>771</v>
      </c>
      <c r="C219" s="2058"/>
      <c r="D219" s="2059"/>
      <c r="E219" s="1104" t="s">
        <v>617</v>
      </c>
      <c r="F219" s="1172"/>
      <c r="G219" s="1172"/>
      <c r="H219" s="1117"/>
      <c r="I219" s="1117">
        <v>988.33348716273667</v>
      </c>
      <c r="J219" s="1074">
        <v>988.33348716273667</v>
      </c>
      <c r="K219" s="1115"/>
      <c r="L219" s="1115">
        <v>560.47743727805346</v>
      </c>
      <c r="M219" s="1115">
        <v>427.85604988468305</v>
      </c>
      <c r="N219" s="1115"/>
      <c r="O219" s="1115"/>
      <c r="P219" s="1113"/>
      <c r="Q219" s="1113"/>
    </row>
    <row r="220" spans="1:17" s="1044" customFormat="1" ht="24.75" hidden="1" customHeight="1" x14ac:dyDescent="0.2">
      <c r="A220" s="1122"/>
      <c r="B220" s="2057" t="s">
        <v>772</v>
      </c>
      <c r="C220" s="2058"/>
      <c r="D220" s="2059"/>
      <c r="E220" s="1104" t="s">
        <v>617</v>
      </c>
      <c r="F220" s="1117"/>
      <c r="G220" s="1117"/>
      <c r="H220" s="1117"/>
      <c r="I220" s="1117">
        <v>217.43336717580206</v>
      </c>
      <c r="J220" s="1074">
        <v>217.43336717580206</v>
      </c>
      <c r="K220" s="1115"/>
      <c r="L220" s="1115">
        <v>123.30503620117177</v>
      </c>
      <c r="M220" s="1115">
        <v>94.128330974630273</v>
      </c>
      <c r="N220" s="1115"/>
      <c r="O220" s="1115"/>
      <c r="P220" s="1113"/>
      <c r="Q220" s="1113"/>
    </row>
    <row r="221" spans="1:17" s="1044" customFormat="1" ht="24.75" hidden="1" customHeight="1" x14ac:dyDescent="0.2">
      <c r="A221" s="1122"/>
      <c r="B221" s="2057" t="s">
        <v>773</v>
      </c>
      <c r="C221" s="2058"/>
      <c r="D221" s="2059"/>
      <c r="E221" s="1104" t="s">
        <v>617</v>
      </c>
      <c r="F221" s="1117"/>
      <c r="G221" s="1117"/>
      <c r="H221" s="1117"/>
      <c r="I221" s="1117">
        <v>1768.1094834632336</v>
      </c>
      <c r="J221" s="1074">
        <v>1768.1094834632336</v>
      </c>
      <c r="K221" s="1115"/>
      <c r="L221" s="1115">
        <v>1002.6832895881861</v>
      </c>
      <c r="M221" s="1115">
        <v>765.42619387504726</v>
      </c>
      <c r="N221" s="1115"/>
      <c r="O221" s="1115"/>
      <c r="P221" s="1113"/>
      <c r="Q221" s="1113"/>
    </row>
    <row r="222" spans="1:17" s="681" customFormat="1" ht="11.25" hidden="1" customHeight="1" x14ac:dyDescent="0.2">
      <c r="A222" s="1123"/>
      <c r="B222" s="2051"/>
      <c r="C222" s="2052"/>
      <c r="D222" s="2053"/>
      <c r="E222" s="1104"/>
      <c r="F222" s="1173"/>
      <c r="G222" s="1173"/>
      <c r="H222" s="1124"/>
      <c r="I222" s="1124"/>
      <c r="J222" s="1074"/>
      <c r="K222" s="1125"/>
      <c r="L222" s="1125"/>
      <c r="M222" s="1125"/>
      <c r="N222" s="1125"/>
      <c r="O222" s="1125"/>
      <c r="P222" s="1113"/>
      <c r="Q222" s="1113"/>
    </row>
    <row r="223" spans="1:17" s="681" customFormat="1" ht="11.25" hidden="1" customHeight="1" x14ac:dyDescent="0.2">
      <c r="A223" s="1123"/>
      <c r="B223" s="2051" t="s">
        <v>774</v>
      </c>
      <c r="C223" s="2052"/>
      <c r="D223" s="2053"/>
      <c r="E223" s="1104" t="s">
        <v>617</v>
      </c>
      <c r="F223" s="1173"/>
      <c r="G223" s="1173"/>
      <c r="H223" s="1124"/>
      <c r="I223" s="1124">
        <v>167.23680666666667</v>
      </c>
      <c r="J223" s="1074">
        <v>167.23680666666667</v>
      </c>
      <c r="K223" s="1125"/>
      <c r="L223" s="1125"/>
      <c r="M223" s="1125"/>
      <c r="N223" s="1126"/>
      <c r="O223" s="1125"/>
      <c r="P223" s="1113"/>
      <c r="Q223" s="1113"/>
    </row>
    <row r="224" spans="1:17" s="681" customFormat="1" ht="11.25" hidden="1" customHeight="1" x14ac:dyDescent="0.2">
      <c r="A224" s="1123"/>
      <c r="B224" s="2051" t="s">
        <v>775</v>
      </c>
      <c r="C224" s="2052"/>
      <c r="D224" s="2053"/>
      <c r="E224" s="1104" t="s">
        <v>617</v>
      </c>
      <c r="F224" s="1173"/>
      <c r="G224" s="1173"/>
      <c r="H224" s="1124"/>
      <c r="I224" s="1124">
        <v>125.10858900000001</v>
      </c>
      <c r="J224" s="1074">
        <v>125.10858900000001</v>
      </c>
      <c r="K224" s="1125"/>
      <c r="L224" s="1125"/>
      <c r="M224" s="1125"/>
      <c r="N224" s="1126"/>
      <c r="O224" s="1125"/>
      <c r="P224" s="1113"/>
      <c r="Q224" s="1113"/>
    </row>
    <row r="225" spans="1:17" s="681" customFormat="1" ht="11.25" hidden="1" customHeight="1" x14ac:dyDescent="0.2">
      <c r="A225" s="1123"/>
      <c r="B225" s="2051" t="s">
        <v>776</v>
      </c>
      <c r="C225" s="2052"/>
      <c r="D225" s="2053"/>
      <c r="E225" s="1104" t="s">
        <v>617</v>
      </c>
      <c r="F225" s="1124"/>
      <c r="G225" s="1124"/>
      <c r="H225" s="1124"/>
      <c r="I225" s="1124">
        <v>299.46252197230666</v>
      </c>
      <c r="J225" s="1074">
        <v>299.46252197230666</v>
      </c>
      <c r="K225" s="1125"/>
      <c r="L225" s="1125"/>
      <c r="M225" s="1125"/>
      <c r="N225" s="1125"/>
      <c r="O225" s="1125"/>
      <c r="P225" s="1113"/>
      <c r="Q225" s="1113"/>
    </row>
    <row r="226" spans="1:17" s="681" customFormat="1" ht="11.25" hidden="1" customHeight="1" x14ac:dyDescent="0.2">
      <c r="A226" s="1123"/>
      <c r="B226" s="2060" t="s">
        <v>777</v>
      </c>
      <c r="C226" s="2061"/>
      <c r="D226" s="2062"/>
      <c r="E226" s="1104" t="s">
        <v>617</v>
      </c>
      <c r="F226" s="1174"/>
      <c r="G226" s="1174"/>
      <c r="H226" s="1127"/>
      <c r="I226" s="1127">
        <v>0</v>
      </c>
      <c r="J226" s="1074">
        <v>0</v>
      </c>
      <c r="K226" s="1125"/>
      <c r="L226" s="1125"/>
      <c r="M226" s="1125"/>
      <c r="N226" s="1125"/>
      <c r="O226" s="1125"/>
      <c r="P226" s="1113"/>
      <c r="Q226" s="1113"/>
    </row>
    <row r="227" spans="1:17" s="681" customFormat="1" ht="11.25" hidden="1" customHeight="1" x14ac:dyDescent="0.2">
      <c r="A227" s="1123"/>
      <c r="B227" s="2060" t="s">
        <v>778</v>
      </c>
      <c r="C227" s="2061"/>
      <c r="D227" s="2062"/>
      <c r="E227" s="1104" t="s">
        <v>617</v>
      </c>
      <c r="F227" s="1174"/>
      <c r="G227" s="1174"/>
      <c r="H227" s="1127"/>
      <c r="I227" s="1127">
        <v>7.58815530564</v>
      </c>
      <c r="J227" s="1074">
        <v>7.58815530564</v>
      </c>
      <c r="K227" s="1125"/>
      <c r="L227" s="1125"/>
      <c r="M227" s="1125"/>
      <c r="N227" s="1125"/>
      <c r="O227" s="1125"/>
      <c r="P227" s="1113"/>
      <c r="Q227" s="1113"/>
    </row>
    <row r="228" spans="1:17" s="681" customFormat="1" ht="11.25" hidden="1" customHeight="1" x14ac:dyDescent="0.2">
      <c r="A228" s="1123"/>
      <c r="B228" s="2060" t="s">
        <v>779</v>
      </c>
      <c r="C228" s="2061"/>
      <c r="D228" s="2062"/>
      <c r="E228" s="1104" t="s">
        <v>617</v>
      </c>
      <c r="F228" s="1174"/>
      <c r="G228" s="1174"/>
      <c r="H228" s="1127"/>
      <c r="I228" s="1127">
        <v>4.930200000000001</v>
      </c>
      <c r="J228" s="1074">
        <v>4.930200000000001</v>
      </c>
      <c r="K228" s="1125"/>
      <c r="L228" s="1125"/>
      <c r="M228" s="1125"/>
      <c r="N228" s="1125"/>
      <c r="O228" s="1125"/>
      <c r="P228" s="1113"/>
      <c r="Q228" s="1113"/>
    </row>
    <row r="229" spans="1:17" s="681" customFormat="1" ht="11.25" hidden="1" customHeight="1" x14ac:dyDescent="0.2">
      <c r="A229" s="1123"/>
      <c r="B229" s="2060" t="s">
        <v>780</v>
      </c>
      <c r="C229" s="2061"/>
      <c r="D229" s="2062"/>
      <c r="E229" s="1104" t="s">
        <v>617</v>
      </c>
      <c r="F229" s="1174"/>
      <c r="G229" s="1174"/>
      <c r="H229" s="1127"/>
      <c r="I229" s="1127">
        <v>15.024166666666668</v>
      </c>
      <c r="J229" s="1074">
        <v>15.024166666666668</v>
      </c>
      <c r="K229" s="1125"/>
      <c r="L229" s="1125"/>
      <c r="M229" s="1125"/>
      <c r="N229" s="1125"/>
      <c r="O229" s="1125"/>
      <c r="P229" s="1113"/>
      <c r="Q229" s="1113"/>
    </row>
    <row r="230" spans="1:17" s="681" customFormat="1" ht="11.25" hidden="1" customHeight="1" x14ac:dyDescent="0.2">
      <c r="A230" s="1123"/>
      <c r="B230" s="2060" t="s">
        <v>781</v>
      </c>
      <c r="C230" s="2061"/>
      <c r="D230" s="2062"/>
      <c r="E230" s="1104" t="s">
        <v>617</v>
      </c>
      <c r="F230" s="1174"/>
      <c r="G230" s="1174"/>
      <c r="H230" s="1127"/>
      <c r="I230" s="1127">
        <v>271.92</v>
      </c>
      <c r="J230" s="1074">
        <v>271.92</v>
      </c>
      <c r="K230" s="1125"/>
      <c r="L230" s="1125"/>
      <c r="M230" s="1125"/>
      <c r="N230" s="1125"/>
      <c r="O230" s="1125"/>
      <c r="P230" s="1113"/>
      <c r="Q230" s="1113"/>
    </row>
    <row r="231" spans="1:17" s="681" customFormat="1" ht="11.25" hidden="1" customHeight="1" x14ac:dyDescent="0.2">
      <c r="A231" s="1123"/>
      <c r="B231" s="2051" t="s">
        <v>782</v>
      </c>
      <c r="C231" s="2052"/>
      <c r="D231" s="2053"/>
      <c r="E231" s="1104" t="s">
        <v>617</v>
      </c>
      <c r="F231" s="1124"/>
      <c r="G231" s="1124"/>
      <c r="H231" s="1124"/>
      <c r="I231" s="1124">
        <v>115.04813063379561</v>
      </c>
      <c r="J231" s="1074">
        <v>115.04813063379561</v>
      </c>
      <c r="K231" s="1125"/>
      <c r="L231" s="1125"/>
      <c r="M231" s="1125"/>
      <c r="N231" s="1125"/>
      <c r="O231" s="1125"/>
      <c r="P231" s="1113"/>
      <c r="Q231" s="1113"/>
    </row>
    <row r="232" spans="1:17" s="681" customFormat="1" ht="11.25" hidden="1" customHeight="1" x14ac:dyDescent="0.2">
      <c r="A232" s="1123"/>
      <c r="B232" s="2060" t="s">
        <v>783</v>
      </c>
      <c r="C232" s="2061"/>
      <c r="D232" s="2062"/>
      <c r="E232" s="1104" t="s">
        <v>617</v>
      </c>
      <c r="F232" s="1174"/>
      <c r="G232" s="1174"/>
      <c r="H232" s="1127"/>
      <c r="I232" s="1127">
        <v>2.7595425000000002</v>
      </c>
      <c r="J232" s="1074">
        <v>2.7595425000000002</v>
      </c>
      <c r="K232" s="1125"/>
      <c r="L232" s="1125"/>
      <c r="M232" s="1125"/>
      <c r="N232" s="1125"/>
      <c r="O232" s="1125"/>
      <c r="P232" s="1113"/>
      <c r="Q232" s="1113"/>
    </row>
    <row r="233" spans="1:17" s="681" customFormat="1" ht="11.25" hidden="1" customHeight="1" x14ac:dyDescent="0.2">
      <c r="A233" s="1123"/>
      <c r="B233" s="2060" t="s">
        <v>784</v>
      </c>
      <c r="C233" s="2061"/>
      <c r="D233" s="2062"/>
      <c r="E233" s="1104" t="s">
        <v>617</v>
      </c>
      <c r="F233" s="1174"/>
      <c r="G233" s="1174"/>
      <c r="H233" s="1127"/>
      <c r="I233" s="1127">
        <v>18.802797616471214</v>
      </c>
      <c r="J233" s="1074">
        <v>18.802797616471214</v>
      </c>
      <c r="K233" s="1125"/>
      <c r="L233" s="1125"/>
      <c r="M233" s="1125"/>
      <c r="N233" s="1125"/>
      <c r="O233" s="1125"/>
      <c r="P233" s="1113"/>
      <c r="Q233" s="1113"/>
    </row>
    <row r="234" spans="1:17" s="681" customFormat="1" ht="11.25" hidden="1" customHeight="1" x14ac:dyDescent="0.2">
      <c r="A234" s="1123"/>
      <c r="B234" s="2060" t="s">
        <v>785</v>
      </c>
      <c r="C234" s="2061"/>
      <c r="D234" s="2062"/>
      <c r="E234" s="1104" t="s">
        <v>617</v>
      </c>
      <c r="F234" s="1174"/>
      <c r="G234" s="1174"/>
      <c r="H234" s="1127"/>
      <c r="I234" s="1127">
        <v>14.432479800762822</v>
      </c>
      <c r="J234" s="1074">
        <v>14.432479800762822</v>
      </c>
      <c r="K234" s="1125"/>
      <c r="L234" s="1125"/>
      <c r="M234" s="1125"/>
      <c r="N234" s="1125"/>
      <c r="O234" s="1125"/>
      <c r="P234" s="1113"/>
      <c r="Q234" s="1113"/>
    </row>
    <row r="235" spans="1:17" s="681" customFormat="1" ht="11.25" hidden="1" customHeight="1" x14ac:dyDescent="0.2">
      <c r="A235" s="1123"/>
      <c r="B235" s="2060" t="s">
        <v>786</v>
      </c>
      <c r="C235" s="2061"/>
      <c r="D235" s="2062"/>
      <c r="E235" s="1104" t="s">
        <v>617</v>
      </c>
      <c r="F235" s="1174"/>
      <c r="G235" s="1174"/>
      <c r="H235" s="1127"/>
      <c r="I235" s="1127">
        <v>61.29184838820975</v>
      </c>
      <c r="J235" s="1074">
        <v>61.29184838820975</v>
      </c>
      <c r="K235" s="1125"/>
      <c r="L235" s="1125"/>
      <c r="M235" s="1125"/>
      <c r="N235" s="1125"/>
      <c r="O235" s="1125"/>
      <c r="P235" s="1113"/>
      <c r="Q235" s="1113"/>
    </row>
    <row r="236" spans="1:17" s="681" customFormat="1" ht="11.25" hidden="1" customHeight="1" x14ac:dyDescent="0.2">
      <c r="A236" s="1123"/>
      <c r="B236" s="2060" t="s">
        <v>787</v>
      </c>
      <c r="C236" s="2061"/>
      <c r="D236" s="2062"/>
      <c r="E236" s="1104" t="s">
        <v>617</v>
      </c>
      <c r="F236" s="1174"/>
      <c r="G236" s="1174"/>
      <c r="H236" s="1127"/>
      <c r="I236" s="1127">
        <v>17.761462328351822</v>
      </c>
      <c r="J236" s="1074">
        <v>17.761462328351822</v>
      </c>
      <c r="K236" s="1125"/>
      <c r="L236" s="1125"/>
      <c r="M236" s="1125"/>
      <c r="N236" s="1125"/>
      <c r="O236" s="1125"/>
      <c r="P236" s="1113"/>
      <c r="Q236" s="1113"/>
    </row>
    <row r="237" spans="1:17" s="681" customFormat="1" ht="11.25" hidden="1" customHeight="1" x14ac:dyDescent="0.2">
      <c r="A237" s="1123"/>
      <c r="B237" s="2051" t="s">
        <v>788</v>
      </c>
      <c r="C237" s="2052"/>
      <c r="D237" s="2053"/>
      <c r="E237" s="1104" t="s">
        <v>617</v>
      </c>
      <c r="F237" s="1124"/>
      <c r="G237" s="1124"/>
      <c r="H237" s="1124"/>
      <c r="I237" s="1124">
        <v>222.36359509333332</v>
      </c>
      <c r="J237" s="1074">
        <v>222.36359509333332</v>
      </c>
      <c r="K237" s="1125"/>
      <c r="L237" s="1125"/>
      <c r="M237" s="1125"/>
      <c r="N237" s="1125"/>
      <c r="O237" s="1125"/>
      <c r="P237" s="1113"/>
      <c r="Q237" s="1113"/>
    </row>
    <row r="238" spans="1:17" ht="11.25" hidden="1" customHeight="1" x14ac:dyDescent="0.2">
      <c r="A238" s="1105"/>
      <c r="B238" s="2060" t="s">
        <v>789</v>
      </c>
      <c r="C238" s="2061"/>
      <c r="D238" s="2062"/>
      <c r="E238" s="1104" t="s">
        <v>617</v>
      </c>
      <c r="F238" s="1128"/>
      <c r="G238" s="1128"/>
      <c r="H238" s="1920"/>
      <c r="I238" s="1128">
        <v>2.8734117599999998</v>
      </c>
      <c r="J238" s="1074">
        <v>2.8734117599999998</v>
      </c>
      <c r="M238" s="941"/>
    </row>
    <row r="239" spans="1:17" ht="11.25" hidden="1" customHeight="1" x14ac:dyDescent="0.2">
      <c r="A239" s="1105"/>
      <c r="B239" s="2060" t="s">
        <v>790</v>
      </c>
      <c r="C239" s="2061"/>
      <c r="D239" s="2062"/>
      <c r="E239" s="1104" t="s">
        <v>617</v>
      </c>
      <c r="F239" s="1128"/>
      <c r="G239" s="1128"/>
      <c r="H239" s="1920"/>
      <c r="I239" s="1128">
        <v>218.27568333333332</v>
      </c>
      <c r="J239" s="1074">
        <v>218.27568333333332</v>
      </c>
      <c r="M239" s="941"/>
    </row>
    <row r="240" spans="1:17" ht="11.25" hidden="1" customHeight="1" x14ac:dyDescent="0.2">
      <c r="A240" s="1129"/>
      <c r="B240" s="2060" t="s">
        <v>791</v>
      </c>
      <c r="C240" s="2061"/>
      <c r="D240" s="2062"/>
      <c r="E240" s="1104" t="s">
        <v>617</v>
      </c>
      <c r="F240" s="1128"/>
      <c r="G240" s="1128"/>
      <c r="H240" s="1128"/>
      <c r="I240" s="1128">
        <v>1.2144999999999999</v>
      </c>
      <c r="J240" s="1074">
        <v>1.2144999999999999</v>
      </c>
      <c r="M240" s="941"/>
    </row>
    <row r="241" spans="1:17" s="681" customFormat="1" ht="11.25" hidden="1" customHeight="1" x14ac:dyDescent="0.2">
      <c r="A241" s="1123"/>
      <c r="B241" s="2051" t="s">
        <v>792</v>
      </c>
      <c r="C241" s="2052"/>
      <c r="D241" s="2053"/>
      <c r="E241" s="1104" t="s">
        <v>617</v>
      </c>
      <c r="F241" s="1173"/>
      <c r="G241" s="1173"/>
      <c r="H241" s="1124"/>
      <c r="I241" s="1124">
        <v>0</v>
      </c>
      <c r="J241" s="1074">
        <v>0</v>
      </c>
      <c r="K241" s="1125"/>
      <c r="L241" s="1125"/>
      <c r="M241" s="1125"/>
      <c r="N241" s="1125"/>
      <c r="O241" s="1125"/>
      <c r="P241" s="1113"/>
      <c r="Q241" s="1113"/>
    </row>
    <row r="242" spans="1:17" s="681" customFormat="1" ht="11.25" hidden="1" customHeight="1" x14ac:dyDescent="0.2">
      <c r="A242" s="1123"/>
      <c r="B242" s="2051" t="s">
        <v>793</v>
      </c>
      <c r="C242" s="2052"/>
      <c r="D242" s="2053"/>
      <c r="E242" s="1104" t="s">
        <v>617</v>
      </c>
      <c r="F242" s="1173"/>
      <c r="G242" s="1173"/>
      <c r="H242" s="1124"/>
      <c r="I242" s="1124">
        <v>818.2764400971314</v>
      </c>
      <c r="J242" s="1074">
        <v>818.2764400971314</v>
      </c>
      <c r="K242" s="1125"/>
      <c r="L242" s="1125"/>
      <c r="M242" s="1125"/>
      <c r="N242" s="1125"/>
      <c r="O242" s="1125"/>
      <c r="P242" s="1113"/>
      <c r="Q242" s="1113"/>
    </row>
    <row r="243" spans="1:17" s="681" customFormat="1" ht="11.25" hidden="1" customHeight="1" x14ac:dyDescent="0.2">
      <c r="A243" s="1123"/>
      <c r="B243" s="2051" t="s">
        <v>794</v>
      </c>
      <c r="C243" s="2052"/>
      <c r="D243" s="2053"/>
      <c r="E243" s="1104" t="s">
        <v>617</v>
      </c>
      <c r="F243" s="1173"/>
      <c r="G243" s="1173"/>
      <c r="H243" s="1124"/>
      <c r="I243" s="1124">
        <v>20.613399999999999</v>
      </c>
      <c r="J243" s="1074">
        <v>20.613399999999999</v>
      </c>
      <c r="K243" s="1125"/>
      <c r="L243" s="1125"/>
      <c r="M243" s="1125"/>
      <c r="N243" s="1125"/>
      <c r="O243" s="1125"/>
      <c r="P243" s="1113"/>
      <c r="Q243" s="1113"/>
    </row>
    <row r="244" spans="1:17" s="681" customFormat="1" ht="11.25" hidden="1" customHeight="1" x14ac:dyDescent="0.2">
      <c r="A244" s="1123"/>
      <c r="B244" s="2051" t="s">
        <v>795</v>
      </c>
      <c r="C244" s="2052"/>
      <c r="D244" s="2053"/>
      <c r="E244" s="1104" t="s">
        <v>617</v>
      </c>
      <c r="F244" s="1124"/>
      <c r="G244" s="1124"/>
      <c r="H244" s="1124"/>
      <c r="I244" s="1124">
        <v>6988.2051460517032</v>
      </c>
      <c r="J244" s="1074">
        <v>6988.2051460517032</v>
      </c>
      <c r="K244" s="1125">
        <v>6988.2051460517032</v>
      </c>
      <c r="L244" s="1125">
        <v>6988.2051460517032</v>
      </c>
      <c r="M244" s="1125">
        <v>12322.846026680374</v>
      </c>
      <c r="N244" s="1125"/>
      <c r="O244" s="1125"/>
      <c r="P244" s="1112">
        <v>2603.5734678946392</v>
      </c>
      <c r="Q244" s="1113"/>
    </row>
    <row r="245" spans="1:17" s="416" customFormat="1" ht="11.25" hidden="1" customHeight="1" x14ac:dyDescent="0.25">
      <c r="A245" s="1130"/>
      <c r="B245" s="2051" t="s">
        <v>796</v>
      </c>
      <c r="C245" s="2052"/>
      <c r="D245" s="2053"/>
      <c r="E245" s="1104" t="s">
        <v>617</v>
      </c>
      <c r="F245" s="1127"/>
      <c r="G245" s="1127"/>
      <c r="H245" s="1127"/>
      <c r="I245" s="1127">
        <v>4042.9504224292532</v>
      </c>
      <c r="J245" s="1074">
        <v>4042.9504224292532</v>
      </c>
      <c r="P245" s="1131">
        <v>127.48268111926001</v>
      </c>
    </row>
    <row r="246" spans="1:17" s="416" customFormat="1" ht="11.25" hidden="1" customHeight="1" x14ac:dyDescent="0.25">
      <c r="A246" s="1130"/>
      <c r="B246" s="2051" t="s">
        <v>797</v>
      </c>
      <c r="C246" s="2052"/>
      <c r="D246" s="2053"/>
      <c r="E246" s="1104" t="s">
        <v>617</v>
      </c>
      <c r="F246" s="1127"/>
      <c r="G246" s="1127"/>
      <c r="H246" s="1127"/>
      <c r="I246" s="1127">
        <v>889.44909293443561</v>
      </c>
      <c r="J246" s="1074">
        <v>889.44909293443561</v>
      </c>
      <c r="P246" s="1131">
        <v>1332.1839404535865</v>
      </c>
    </row>
    <row r="247" spans="1:17" s="681" customFormat="1" ht="11.25" hidden="1" customHeight="1" x14ac:dyDescent="0.2">
      <c r="A247" s="1123"/>
      <c r="B247" s="2051" t="s">
        <v>798</v>
      </c>
      <c r="C247" s="2052"/>
      <c r="D247" s="2053"/>
      <c r="E247" s="1104" t="s">
        <v>617</v>
      </c>
      <c r="F247" s="1127"/>
      <c r="G247" s="1127"/>
      <c r="H247" s="1127"/>
      <c r="I247" s="1127">
        <v>202.13408262111486</v>
      </c>
      <c r="J247" s="1074">
        <v>202.13408262111486</v>
      </c>
      <c r="K247" s="1125"/>
      <c r="L247" s="1125"/>
      <c r="M247" s="1125"/>
      <c r="N247" s="1125"/>
      <c r="O247" s="1132"/>
      <c r="P247" s="1133">
        <v>1041.9999863217924</v>
      </c>
      <c r="Q247" s="1113"/>
    </row>
    <row r="248" spans="1:17" s="681" customFormat="1" ht="11.25" hidden="1" customHeight="1" x14ac:dyDescent="0.2">
      <c r="A248" s="1123"/>
      <c r="B248" s="2051" t="s">
        <v>799</v>
      </c>
      <c r="C248" s="2052"/>
      <c r="D248" s="2053"/>
      <c r="E248" s="1104" t="s">
        <v>617</v>
      </c>
      <c r="F248" s="1127"/>
      <c r="G248" s="1127"/>
      <c r="H248" s="1127"/>
      <c r="I248" s="1127">
        <v>1853.6715480669</v>
      </c>
      <c r="J248" s="1074">
        <v>1853.6715480669</v>
      </c>
      <c r="K248" s="1125"/>
      <c r="L248" s="1125"/>
      <c r="M248" s="1125"/>
      <c r="N248" s="1125"/>
      <c r="O248" s="1132"/>
      <c r="P248" s="1133">
        <v>101.90685999999999</v>
      </c>
      <c r="Q248" s="1113"/>
    </row>
    <row r="249" spans="1:17" ht="11.25" hidden="1" customHeight="1" x14ac:dyDescent="0.2">
      <c r="A249" s="1105"/>
      <c r="B249" s="2051"/>
      <c r="C249" s="2052"/>
      <c r="D249" s="2053"/>
      <c r="E249" s="1104" t="s">
        <v>617</v>
      </c>
      <c r="F249" s="1105"/>
      <c r="G249" s="1105"/>
      <c r="H249" s="1105"/>
      <c r="I249" s="1105"/>
      <c r="J249" s="1074">
        <v>0</v>
      </c>
      <c r="M249" s="941"/>
      <c r="O249" s="947"/>
      <c r="P249" s="1096">
        <v>2603.5734678946392</v>
      </c>
      <c r="Q249" s="1096">
        <v>2603.5734678946392</v>
      </c>
    </row>
    <row r="250" spans="1:17" ht="13.15" hidden="1" customHeight="1" x14ac:dyDescent="0.2">
      <c r="A250" s="1105"/>
      <c r="B250" s="2054" t="s">
        <v>800</v>
      </c>
      <c r="C250" s="2055"/>
      <c r="D250" s="2056"/>
      <c r="E250" s="1104" t="s">
        <v>617</v>
      </c>
      <c r="F250" s="1134">
        <v>0</v>
      </c>
      <c r="G250" s="1134">
        <v>0</v>
      </c>
      <c r="H250" s="1134">
        <v>0</v>
      </c>
      <c r="I250" s="1134">
        <v>31796.113415111577</v>
      </c>
      <c r="J250" s="1074">
        <v>31796.113415111577</v>
      </c>
      <c r="K250" s="1096"/>
      <c r="L250" s="1096"/>
      <c r="M250" s="941"/>
      <c r="N250" s="948"/>
      <c r="P250" s="1096">
        <v>2603.5734678946392</v>
      </c>
      <c r="Q250" s="1096">
        <v>0</v>
      </c>
    </row>
    <row r="251" spans="1:17" s="944" customFormat="1" hidden="1" x14ac:dyDescent="0.2">
      <c r="F251" s="948" t="e">
        <v>#REF!</v>
      </c>
      <c r="G251" s="948" t="e">
        <v>#REF!</v>
      </c>
      <c r="H251" s="1096">
        <v>0</v>
      </c>
      <c r="I251" s="1096">
        <v>55982.304786258683</v>
      </c>
      <c r="J251" s="1074">
        <v>55982.304786258683</v>
      </c>
    </row>
    <row r="252" spans="1:17" hidden="1" x14ac:dyDescent="0.2">
      <c r="A252" s="941"/>
      <c r="I252" s="1099">
        <v>0</v>
      </c>
      <c r="M252" s="941"/>
      <c r="O252" s="1096"/>
    </row>
    <row r="253" spans="1:17" hidden="1" x14ac:dyDescent="0.2">
      <c r="A253" s="941"/>
      <c r="I253" s="1096"/>
      <c r="J253" s="1096">
        <v>0</v>
      </c>
      <c r="K253" s="1096">
        <v>31796.113415111577</v>
      </c>
      <c r="L253" s="1096"/>
      <c r="M253" s="941"/>
      <c r="O253" s="1135"/>
    </row>
    <row r="254" spans="1:17" hidden="1" x14ac:dyDescent="0.2">
      <c r="A254" s="941"/>
      <c r="B254" s="148" t="s">
        <v>801</v>
      </c>
      <c r="C254" s="148"/>
      <c r="D254" s="148"/>
      <c r="E254" s="148"/>
      <c r="F254" s="148"/>
      <c r="G254" s="148"/>
      <c r="H254" s="148"/>
      <c r="I254" s="148"/>
      <c r="M254" s="941"/>
      <c r="O254" s="1096"/>
    </row>
    <row r="255" spans="1:17" hidden="1" x14ac:dyDescent="0.2"/>
    <row r="256" spans="1:17"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sheetData>
  <mergeCells count="50">
    <mergeCell ref="G191:H191"/>
    <mergeCell ref="B212:D212"/>
    <mergeCell ref="B213:D213"/>
    <mergeCell ref="B214:D214"/>
    <mergeCell ref="B215:D215"/>
    <mergeCell ref="B208:D208"/>
    <mergeCell ref="B209:D209"/>
    <mergeCell ref="B210:D210"/>
    <mergeCell ref="B211:D211"/>
    <mergeCell ref="B229:D229"/>
    <mergeCell ref="C183:D183"/>
    <mergeCell ref="C184:D184"/>
    <mergeCell ref="C186:D186"/>
    <mergeCell ref="C187:D187"/>
    <mergeCell ref="B207:D207"/>
    <mergeCell ref="B203:D203"/>
    <mergeCell ref="B224:D224"/>
    <mergeCell ref="B225:D225"/>
    <mergeCell ref="B226:D226"/>
    <mergeCell ref="B227:D227"/>
    <mergeCell ref="B228:D228"/>
    <mergeCell ref="B219:D219"/>
    <mergeCell ref="B220:D220"/>
    <mergeCell ref="B221:D221"/>
    <mergeCell ref="B222:D222"/>
    <mergeCell ref="B223:D223"/>
    <mergeCell ref="B217:D217"/>
    <mergeCell ref="B205:D205"/>
    <mergeCell ref="B206:D206"/>
    <mergeCell ref="B242:D242"/>
    <mergeCell ref="B231:D231"/>
    <mergeCell ref="B232:D232"/>
    <mergeCell ref="B233:D233"/>
    <mergeCell ref="B234:D234"/>
    <mergeCell ref="B235:D235"/>
    <mergeCell ref="B236:D236"/>
    <mergeCell ref="B237:D237"/>
    <mergeCell ref="B238:D238"/>
    <mergeCell ref="B239:D239"/>
    <mergeCell ref="B240:D240"/>
    <mergeCell ref="B241:D241"/>
    <mergeCell ref="B230:D230"/>
    <mergeCell ref="B249:D249"/>
    <mergeCell ref="B250:D250"/>
    <mergeCell ref="B243:D243"/>
    <mergeCell ref="B244:D244"/>
    <mergeCell ref="B245:D245"/>
    <mergeCell ref="B246:D246"/>
    <mergeCell ref="B247:D247"/>
    <mergeCell ref="B248:D248"/>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23"/>
  <sheetViews>
    <sheetView view="pageBreakPreview" zoomScaleNormal="100" zoomScaleSheetLayoutView="100" workbookViewId="0">
      <selection activeCell="S12" sqref="S12"/>
    </sheetView>
  </sheetViews>
  <sheetFormatPr defaultColWidth="9.140625" defaultRowHeight="12.75" x14ac:dyDescent="0.2"/>
  <cols>
    <col min="1" max="1" width="4.140625" style="120" customWidth="1"/>
    <col min="2" max="2" width="24.7109375" style="148" customWidth="1"/>
    <col min="3" max="3" width="5.28515625" style="148" customWidth="1"/>
    <col min="4" max="4" width="6" style="148" customWidth="1"/>
    <col min="5" max="5" width="8.28515625" style="148" customWidth="1"/>
    <col min="6" max="6" width="8.7109375" style="148" customWidth="1"/>
    <col min="7" max="7" width="9" style="148" customWidth="1"/>
    <col min="8" max="8" width="8.85546875" style="148" customWidth="1"/>
    <col min="9" max="9" width="12.42578125" style="148" customWidth="1"/>
    <col min="10" max="10" width="9.42578125" style="148" customWidth="1"/>
    <col min="11" max="11" width="9.140625" style="148" hidden="1" customWidth="1"/>
    <col min="12" max="12" width="11.7109375" style="148" hidden="1" customWidth="1"/>
    <col min="13" max="13" width="7.140625" style="148" hidden="1" customWidth="1"/>
    <col min="14" max="14" width="10.5703125" style="148" hidden="1" customWidth="1"/>
    <col min="15" max="15" width="0" style="148" hidden="1" customWidth="1"/>
    <col min="16" max="16" width="0" style="4" hidden="1" customWidth="1"/>
    <col min="17" max="22" width="9.140625" style="4"/>
    <col min="23" max="16384" width="9.140625" style="148"/>
  </cols>
  <sheetData>
    <row r="1" spans="1:22" x14ac:dyDescent="0.2">
      <c r="A1" s="148"/>
      <c r="I1" s="825" t="s">
        <v>802</v>
      </c>
      <c r="J1" s="825"/>
      <c r="P1" s="148"/>
      <c r="Q1" s="148"/>
      <c r="R1" s="148"/>
      <c r="S1" s="148"/>
      <c r="T1" s="148"/>
      <c r="U1" s="148"/>
      <c r="V1" s="148"/>
    </row>
    <row r="2" spans="1:22" ht="15.75" x14ac:dyDescent="0.25">
      <c r="D2" s="1136" t="s">
        <v>803</v>
      </c>
    </row>
    <row r="3" spans="1:22" s="951" customFormat="1" ht="15.75" x14ac:dyDescent="0.25">
      <c r="B3" s="951" t="s">
        <v>83</v>
      </c>
      <c r="I3" s="952">
        <v>16667.61591783692</v>
      </c>
      <c r="J3" s="951" t="s">
        <v>617</v>
      </c>
      <c r="L3" s="1137">
        <v>2672.1299780840091</v>
      </c>
      <c r="M3" s="953"/>
      <c r="N3" s="952">
        <v>16667.61591783692</v>
      </c>
      <c r="P3" s="1138"/>
      <c r="Q3" s="1138"/>
      <c r="R3" s="1138"/>
      <c r="S3" s="1138"/>
      <c r="T3" s="1138"/>
      <c r="U3" s="1138"/>
      <c r="V3" s="1138"/>
    </row>
    <row r="4" spans="1:22" s="681" customFormat="1" ht="12" x14ac:dyDescent="0.2">
      <c r="A4" s="680">
        <v>1</v>
      </c>
      <c r="B4" s="1044" t="s">
        <v>514</v>
      </c>
      <c r="L4" s="956" t="s">
        <v>804</v>
      </c>
      <c r="N4" s="682">
        <v>0</v>
      </c>
      <c r="P4" s="678"/>
      <c r="Q4" s="678"/>
      <c r="R4" s="678"/>
      <c r="S4" s="678"/>
      <c r="T4" s="678"/>
      <c r="U4" s="678"/>
      <c r="V4" s="678"/>
    </row>
    <row r="5" spans="1:22" s="681" customFormat="1" ht="12" x14ac:dyDescent="0.2">
      <c r="A5" s="680"/>
      <c r="B5" s="1044"/>
      <c r="E5" s="1139" t="s">
        <v>805</v>
      </c>
      <c r="F5" s="1139"/>
      <c r="G5" s="1139" t="s">
        <v>806</v>
      </c>
      <c r="H5" s="1139"/>
      <c r="I5" s="1139" t="s">
        <v>807</v>
      </c>
      <c r="L5" s="680"/>
      <c r="N5" s="682">
        <v>38501.647849095025</v>
      </c>
      <c r="P5" s="678"/>
      <c r="Q5" s="678"/>
      <c r="R5" s="678"/>
      <c r="S5" s="678"/>
      <c r="T5" s="678"/>
      <c r="U5" s="678"/>
      <c r="V5" s="678"/>
    </row>
    <row r="6" spans="1:22" s="681" customFormat="1" ht="12" x14ac:dyDescent="0.2">
      <c r="A6" s="680"/>
      <c r="B6" s="681" t="s">
        <v>465</v>
      </c>
      <c r="E6" s="682">
        <v>678.96999799999992</v>
      </c>
      <c r="F6" s="681" t="s">
        <v>808</v>
      </c>
      <c r="G6" s="682">
        <v>10</v>
      </c>
      <c r="H6" s="152" t="s">
        <v>809</v>
      </c>
      <c r="I6" s="682">
        <v>6789.6999799999994</v>
      </c>
      <c r="J6" s="681" t="s">
        <v>15</v>
      </c>
      <c r="M6" s="678"/>
      <c r="P6" s="678"/>
      <c r="Q6" s="678"/>
      <c r="R6" s="678"/>
      <c r="S6" s="678"/>
      <c r="T6" s="678"/>
      <c r="U6" s="678"/>
      <c r="V6" s="678"/>
    </row>
    <row r="7" spans="1:22" s="681" customFormat="1" ht="12" x14ac:dyDescent="0.2">
      <c r="A7" s="680"/>
      <c r="B7" s="681" t="s">
        <v>810</v>
      </c>
      <c r="E7" s="682">
        <v>42.354459999999996</v>
      </c>
      <c r="F7" s="681" t="s">
        <v>808</v>
      </c>
      <c r="G7" s="682">
        <v>10</v>
      </c>
      <c r="H7" s="152" t="s">
        <v>809</v>
      </c>
      <c r="I7" s="682">
        <v>423.54459999999995</v>
      </c>
      <c r="J7" s="681" t="s">
        <v>15</v>
      </c>
      <c r="L7" s="683"/>
      <c r="M7" s="678"/>
      <c r="P7" s="678"/>
      <c r="Q7" s="678"/>
      <c r="R7" s="678"/>
      <c r="S7" s="678"/>
      <c r="T7" s="678"/>
      <c r="U7" s="678"/>
      <c r="V7" s="678"/>
    </row>
    <row r="8" spans="1:22" s="681" customFormat="1" ht="12" x14ac:dyDescent="0.2">
      <c r="A8" s="680"/>
      <c r="B8" s="681" t="s">
        <v>478</v>
      </c>
      <c r="C8" s="1044"/>
      <c r="E8" s="682">
        <v>89.20626</v>
      </c>
      <c r="F8" s="681" t="s">
        <v>808</v>
      </c>
      <c r="G8" s="682">
        <v>10</v>
      </c>
      <c r="H8" s="152" t="s">
        <v>809</v>
      </c>
      <c r="I8" s="682">
        <v>892.06259999999997</v>
      </c>
      <c r="J8" s="681" t="s">
        <v>15</v>
      </c>
      <c r="M8" s="678"/>
      <c r="P8" s="678"/>
      <c r="Q8" s="678"/>
      <c r="R8" s="678"/>
      <c r="S8" s="678"/>
      <c r="T8" s="678"/>
      <c r="U8" s="678"/>
      <c r="V8" s="678"/>
    </row>
    <row r="9" spans="1:22" s="680" customFormat="1" ht="12" x14ac:dyDescent="0.2">
      <c r="B9" s="680" t="s">
        <v>811</v>
      </c>
      <c r="E9" s="1140">
        <v>810.53071799999998</v>
      </c>
      <c r="F9" s="680" t="s">
        <v>808</v>
      </c>
      <c r="I9" s="1140">
        <v>8105.3071799999998</v>
      </c>
      <c r="J9" s="680" t="s">
        <v>15</v>
      </c>
      <c r="P9" s="677"/>
      <c r="Q9" s="677"/>
      <c r="R9" s="677"/>
      <c r="S9" s="677"/>
      <c r="T9" s="677"/>
      <c r="U9" s="677"/>
      <c r="V9" s="677"/>
    </row>
    <row r="10" spans="1:22" s="681" customFormat="1" ht="12" x14ac:dyDescent="0.2">
      <c r="A10" s="680"/>
      <c r="L10" s="680"/>
      <c r="P10" s="678"/>
      <c r="Q10" s="678"/>
      <c r="R10" s="678"/>
      <c r="S10" s="678"/>
      <c r="T10" s="678"/>
      <c r="U10" s="678"/>
      <c r="V10" s="678"/>
    </row>
    <row r="11" spans="1:22" s="964" customFormat="1" ht="12" x14ac:dyDescent="0.2">
      <c r="A11" s="955">
        <v>2</v>
      </c>
      <c r="B11" s="956" t="s">
        <v>509</v>
      </c>
      <c r="C11" s="956"/>
      <c r="F11" s="965" t="s">
        <v>621</v>
      </c>
      <c r="G11" s="964" t="s">
        <v>622</v>
      </c>
      <c r="I11" s="964" t="s">
        <v>623</v>
      </c>
      <c r="L11" s="956" t="s">
        <v>812</v>
      </c>
      <c r="P11" s="966"/>
      <c r="Q11" s="966"/>
      <c r="R11" s="966"/>
      <c r="S11" s="966"/>
      <c r="T11" s="966"/>
      <c r="U11" s="966"/>
      <c r="V11" s="966"/>
    </row>
    <row r="12" spans="1:22" s="964" customFormat="1" ht="12" x14ac:dyDescent="0.2">
      <c r="A12" s="955"/>
      <c r="B12" s="964" t="s">
        <v>813</v>
      </c>
      <c r="E12" s="968">
        <v>8.9062855699999997</v>
      </c>
      <c r="F12" s="964">
        <v>7.0333055699999996</v>
      </c>
      <c r="G12" s="971">
        <v>1.8729800000000001</v>
      </c>
      <c r="H12" s="965" t="s">
        <v>625</v>
      </c>
      <c r="I12" s="971">
        <v>0.13274836803735646</v>
      </c>
      <c r="J12" s="965" t="s">
        <v>625</v>
      </c>
      <c r="K12" s="965"/>
      <c r="L12" s="968"/>
    </row>
    <row r="13" spans="1:22" s="964" customFormat="1" ht="12" x14ac:dyDescent="0.2">
      <c r="B13" s="964" t="s">
        <v>814</v>
      </c>
      <c r="F13" s="968">
        <v>0.4404452787590859</v>
      </c>
      <c r="G13" s="1080">
        <v>0.4404452787590859</v>
      </c>
      <c r="H13" s="965" t="s">
        <v>627</v>
      </c>
      <c r="I13" s="1080">
        <v>0.19072318325748844</v>
      </c>
      <c r="J13" s="965" t="s">
        <v>628</v>
      </c>
      <c r="K13" s="965"/>
      <c r="O13" s="972"/>
    </row>
    <row r="14" spans="1:22" s="964" customFormat="1" ht="12" x14ac:dyDescent="0.2">
      <c r="B14" s="964" t="s">
        <v>815</v>
      </c>
      <c r="F14" s="967">
        <v>356.99442803231204</v>
      </c>
      <c r="G14" s="967">
        <v>356.99442803231204</v>
      </c>
      <c r="H14" s="965" t="s">
        <v>816</v>
      </c>
      <c r="I14" s="967">
        <v>154.58699866493768</v>
      </c>
      <c r="J14" s="965" t="s">
        <v>631</v>
      </c>
      <c r="K14" s="965"/>
    </row>
    <row r="15" spans="1:22" s="964" customFormat="1" ht="12" x14ac:dyDescent="0.2">
      <c r="B15" s="964" t="s">
        <v>817</v>
      </c>
      <c r="F15" s="967">
        <v>2510.8508991386243</v>
      </c>
      <c r="G15" s="967">
        <v>668.64342381595986</v>
      </c>
      <c r="H15" s="965" t="s">
        <v>617</v>
      </c>
      <c r="I15" s="974">
        <v>20.521171792563479</v>
      </c>
      <c r="J15" s="965" t="s">
        <v>617</v>
      </c>
      <c r="K15" s="965"/>
    </row>
    <row r="16" spans="1:22" s="998" customFormat="1" ht="12" x14ac:dyDescent="0.2">
      <c r="B16" s="998" t="s">
        <v>633</v>
      </c>
      <c r="G16" s="974">
        <v>3179.4943229545843</v>
      </c>
      <c r="I16" s="974">
        <v>3200.0154947471478</v>
      </c>
      <c r="J16" s="998" t="s">
        <v>617</v>
      </c>
      <c r="N16" s="974"/>
      <c r="P16" s="983"/>
      <c r="Q16" s="983"/>
      <c r="R16" s="983"/>
      <c r="S16" s="983"/>
      <c r="T16" s="983"/>
      <c r="U16" s="983"/>
      <c r="V16" s="983"/>
    </row>
    <row r="17" spans="1:25" s="681" customFormat="1" ht="12" x14ac:dyDescent="0.2">
      <c r="A17" s="680"/>
      <c r="B17" s="680"/>
      <c r="C17" s="680"/>
      <c r="E17" s="1140"/>
      <c r="F17" s="680"/>
      <c r="L17" s="680"/>
      <c r="P17" s="678"/>
      <c r="Q17" s="678"/>
      <c r="R17" s="678"/>
      <c r="S17" s="678"/>
      <c r="T17" s="678"/>
      <c r="U17" s="678"/>
      <c r="V17" s="678"/>
    </row>
    <row r="18" spans="1:25" s="681" customFormat="1" ht="12" x14ac:dyDescent="0.2">
      <c r="A18" s="680">
        <v>3</v>
      </c>
      <c r="B18" s="956" t="s">
        <v>511</v>
      </c>
      <c r="I18" s="1144">
        <v>3187.3704615489946</v>
      </c>
      <c r="J18" s="998" t="s">
        <v>617</v>
      </c>
      <c r="K18" s="998"/>
      <c r="P18" s="678"/>
      <c r="Q18" s="678"/>
      <c r="R18" s="678"/>
      <c r="S18" s="678"/>
      <c r="T18" s="678"/>
      <c r="U18" s="678"/>
      <c r="V18" s="678"/>
    </row>
    <row r="19" spans="1:25" s="681" customFormat="1" ht="12" x14ac:dyDescent="0.2">
      <c r="A19" s="680"/>
      <c r="B19" s="680"/>
      <c r="M19" s="678"/>
      <c r="P19" s="678"/>
      <c r="Q19" s="678"/>
      <c r="R19" s="678"/>
      <c r="S19" s="678"/>
      <c r="T19" s="678"/>
      <c r="U19" s="678"/>
      <c r="V19" s="678"/>
    </row>
    <row r="20" spans="1:25" s="1044" customFormat="1" ht="12" x14ac:dyDescent="0.2">
      <c r="A20" s="680">
        <v>4</v>
      </c>
      <c r="B20" s="956" t="s">
        <v>818</v>
      </c>
      <c r="I20" s="1115">
        <v>701.22150154077883</v>
      </c>
      <c r="J20" s="998" t="s">
        <v>617</v>
      </c>
      <c r="K20" s="998"/>
      <c r="P20" s="1141"/>
      <c r="Q20" s="1141"/>
      <c r="R20" s="1141"/>
      <c r="S20" s="1141"/>
      <c r="T20" s="1141"/>
      <c r="U20" s="1141"/>
      <c r="V20" s="1141"/>
    </row>
    <row r="21" spans="1:25" s="681" customFormat="1" ht="12" x14ac:dyDescent="0.2">
      <c r="A21" s="680"/>
      <c r="P21" s="678"/>
      <c r="Q21" s="678"/>
      <c r="R21" s="678"/>
      <c r="S21" s="678"/>
      <c r="T21" s="678"/>
      <c r="U21" s="678"/>
      <c r="V21" s="678"/>
    </row>
    <row r="22" spans="1:25" s="680" customFormat="1" ht="12" x14ac:dyDescent="0.2">
      <c r="A22" s="680">
        <v>5</v>
      </c>
      <c r="B22" s="956" t="s">
        <v>649</v>
      </c>
      <c r="I22" s="1142">
        <v>1473.7012800000007</v>
      </c>
      <c r="J22" s="955" t="s">
        <v>617</v>
      </c>
      <c r="K22" s="955"/>
      <c r="L22" s="956" t="s">
        <v>819</v>
      </c>
      <c r="P22" s="677"/>
      <c r="Q22" s="677"/>
      <c r="R22" s="677"/>
      <c r="S22" s="677"/>
      <c r="T22" s="677"/>
      <c r="U22" s="677"/>
      <c r="V22" s="677"/>
    </row>
    <row r="23" spans="1:25" s="680" customFormat="1" ht="12" x14ac:dyDescent="0.2">
      <c r="B23" s="1044"/>
      <c r="G23" s="1142"/>
      <c r="H23" s="955"/>
      <c r="P23" s="677"/>
      <c r="Q23" s="677"/>
      <c r="R23" s="677"/>
      <c r="S23" s="677"/>
      <c r="T23" s="677"/>
      <c r="U23" s="677"/>
      <c r="V23" s="677"/>
    </row>
    <row r="24" spans="1:25" s="964" customFormat="1" ht="12" x14ac:dyDescent="0.2">
      <c r="A24" s="955">
        <v>6</v>
      </c>
      <c r="B24" s="956" t="s">
        <v>232</v>
      </c>
      <c r="P24" s="966"/>
      <c r="Q24" s="966"/>
      <c r="R24" s="966"/>
      <c r="S24" s="966"/>
      <c r="T24" s="966"/>
      <c r="U24" s="966"/>
      <c r="V24" s="966"/>
    </row>
    <row r="25" spans="1:25" s="680" customFormat="1" ht="12" x14ac:dyDescent="0.2">
      <c r="A25" s="1143" t="s">
        <v>820</v>
      </c>
      <c r="B25" s="680" t="s">
        <v>821</v>
      </c>
      <c r="I25" s="1144">
        <v>754.47187283726294</v>
      </c>
      <c r="J25" s="680" t="s">
        <v>617</v>
      </c>
      <c r="L25" s="956" t="s">
        <v>822</v>
      </c>
      <c r="M25" s="842">
        <v>1903.2937599999996</v>
      </c>
      <c r="P25" s="677"/>
      <c r="Q25" s="677"/>
      <c r="R25" s="677"/>
      <c r="S25" s="677"/>
      <c r="T25" s="677"/>
      <c r="U25" s="677"/>
      <c r="V25" s="677"/>
    </row>
    <row r="26" spans="1:25" s="680" customFormat="1" ht="6" customHeight="1" x14ac:dyDescent="0.2">
      <c r="F26" s="1140"/>
      <c r="I26" s="1140"/>
      <c r="J26" s="1140"/>
      <c r="K26" s="1140"/>
      <c r="L26" s="993"/>
      <c r="P26" s="677"/>
      <c r="Q26" s="677"/>
      <c r="R26" s="677"/>
      <c r="S26" s="677"/>
      <c r="T26" s="677"/>
      <c r="U26" s="677"/>
      <c r="V26" s="677"/>
    </row>
    <row r="27" spans="1:25" s="680" customFormat="1" ht="12" x14ac:dyDescent="0.2">
      <c r="A27" s="1143" t="s">
        <v>820</v>
      </c>
      <c r="B27" s="680" t="s">
        <v>512</v>
      </c>
      <c r="I27" s="1144">
        <v>165.98381202419785</v>
      </c>
      <c r="J27" s="680" t="s">
        <v>617</v>
      </c>
      <c r="L27" s="993"/>
      <c r="P27" s="677"/>
      <c r="Q27" s="677"/>
      <c r="R27" s="677"/>
      <c r="S27" s="677"/>
      <c r="T27" s="677"/>
      <c r="U27" s="677"/>
      <c r="V27" s="677"/>
    </row>
    <row r="28" spans="1:25" s="681" customFormat="1" ht="9" customHeight="1" x14ac:dyDescent="0.2">
      <c r="A28" s="680"/>
      <c r="L28" s="956" t="s">
        <v>823</v>
      </c>
      <c r="P28" s="678"/>
      <c r="Q28" s="678"/>
      <c r="R28" s="678"/>
      <c r="S28" s="678"/>
      <c r="T28" s="678"/>
      <c r="U28" s="678"/>
      <c r="V28" s="678"/>
    </row>
    <row r="29" spans="1:25" s="1044" customFormat="1" ht="12" x14ac:dyDescent="0.2">
      <c r="A29" s="1143" t="s">
        <v>824</v>
      </c>
      <c r="B29" s="999" t="s">
        <v>825</v>
      </c>
      <c r="I29" s="1140">
        <v>111.58272666666667</v>
      </c>
      <c r="J29" s="998" t="s">
        <v>617</v>
      </c>
      <c r="K29" s="974">
        <v>6194.5550617820545</v>
      </c>
      <c r="N29" s="1145"/>
      <c r="P29" s="1141"/>
      <c r="Q29" s="1141"/>
      <c r="R29" s="1141"/>
      <c r="S29" s="1141"/>
      <c r="T29" s="1141"/>
      <c r="U29" s="1141"/>
      <c r="V29" s="1141"/>
    </row>
    <row r="30" spans="1:25" s="1044" customFormat="1" ht="12" hidden="1" x14ac:dyDescent="0.2">
      <c r="A30" s="680"/>
      <c r="B30" s="999"/>
      <c r="I30" s="1140"/>
      <c r="J30" s="998"/>
      <c r="K30" s="974"/>
      <c r="N30" s="1145"/>
      <c r="P30" s="1141"/>
      <c r="Q30" s="1141"/>
      <c r="R30" s="1141"/>
      <c r="S30" s="1141"/>
      <c r="T30" s="1141"/>
      <c r="U30" s="1141"/>
      <c r="V30" s="1141"/>
    </row>
    <row r="31" spans="1:25" s="681" customFormat="1" ht="30" customHeight="1" x14ac:dyDescent="0.2">
      <c r="A31" s="1021"/>
      <c r="B31" s="1022" t="s">
        <v>662</v>
      </c>
      <c r="C31" s="1023" t="s">
        <v>663</v>
      </c>
      <c r="D31" s="1024" t="s">
        <v>664</v>
      </c>
      <c r="E31" s="1025" t="s">
        <v>665</v>
      </c>
      <c r="F31" s="1025" t="s">
        <v>666</v>
      </c>
      <c r="G31" s="817"/>
      <c r="H31" s="817"/>
      <c r="I31" s="680"/>
      <c r="J31" s="680"/>
      <c r="K31" s="668"/>
      <c r="L31" s="668"/>
      <c r="M31" s="676"/>
      <c r="N31" s="668"/>
      <c r="O31" s="668"/>
      <c r="P31" s="668"/>
      <c r="Q31" s="668"/>
      <c r="R31" s="668"/>
      <c r="S31" s="668"/>
      <c r="T31" s="668"/>
      <c r="U31" s="1146"/>
      <c r="V31" s="1146"/>
      <c r="W31" s="1146"/>
      <c r="X31" s="682"/>
      <c r="Y31" s="682"/>
    </row>
    <row r="32" spans="1:25" s="681" customFormat="1" ht="12" x14ac:dyDescent="0.2">
      <c r="A32" s="1021"/>
      <c r="B32" s="1147"/>
      <c r="C32" s="1147"/>
      <c r="D32" s="831"/>
      <c r="E32" s="1148" t="s">
        <v>809</v>
      </c>
      <c r="F32" s="1148" t="s">
        <v>809</v>
      </c>
      <c r="G32" s="818"/>
      <c r="H32" s="818"/>
      <c r="I32" s="680"/>
      <c r="J32" s="680"/>
      <c r="K32" s="668"/>
      <c r="L32" s="668"/>
      <c r="M32" s="676"/>
      <c r="N32" s="668"/>
      <c r="O32" s="668"/>
      <c r="P32" s="668"/>
      <c r="Q32" s="668"/>
      <c r="R32" s="668"/>
      <c r="S32" s="668"/>
      <c r="T32" s="668"/>
      <c r="U32" s="1146"/>
      <c r="V32" s="1146"/>
      <c r="W32" s="1146"/>
      <c r="X32" s="682"/>
      <c r="Y32" s="682"/>
    </row>
    <row r="33" spans="1:25" s="681" customFormat="1" ht="12" x14ac:dyDescent="0.2">
      <c r="A33" s="1021"/>
      <c r="B33" s="831" t="s">
        <v>1413</v>
      </c>
      <c r="C33" s="831" t="s">
        <v>1414</v>
      </c>
      <c r="D33" s="831">
        <v>8</v>
      </c>
      <c r="E33" s="831">
        <v>2500</v>
      </c>
      <c r="F33" s="732">
        <v>20000</v>
      </c>
      <c r="G33" s="818"/>
      <c r="H33" s="796">
        <v>66.958333333333329</v>
      </c>
      <c r="I33" s="680"/>
      <c r="J33" s="680"/>
      <c r="K33" s="668"/>
      <c r="L33" s="668"/>
      <c r="M33" s="676"/>
      <c r="N33" s="668"/>
      <c r="O33" s="668"/>
      <c r="P33" s="668"/>
      <c r="Q33" s="668"/>
      <c r="R33" s="668"/>
      <c r="S33" s="668"/>
      <c r="T33" s="668"/>
      <c r="U33" s="1146"/>
      <c r="V33" s="1146"/>
      <c r="W33" s="1146"/>
      <c r="X33" s="682"/>
      <c r="Y33" s="682"/>
    </row>
    <row r="34" spans="1:25" s="681" customFormat="1" ht="12" hidden="1" x14ac:dyDescent="0.2">
      <c r="A34" s="1021"/>
      <c r="B34" s="831" t="s">
        <v>1344</v>
      </c>
      <c r="C34" s="831" t="s">
        <v>1345</v>
      </c>
      <c r="D34" s="831">
        <v>0</v>
      </c>
      <c r="E34" s="831">
        <v>2659</v>
      </c>
      <c r="F34" s="732">
        <v>0</v>
      </c>
      <c r="G34" s="818"/>
      <c r="H34" s="796">
        <v>32.083333333333336</v>
      </c>
      <c r="I34" s="680"/>
      <c r="J34" s="680"/>
      <c r="K34" s="668"/>
      <c r="L34" s="668"/>
      <c r="M34" s="676"/>
      <c r="N34" s="668"/>
      <c r="O34" s="668"/>
      <c r="P34" s="668"/>
      <c r="Q34" s="668"/>
      <c r="R34" s="668"/>
      <c r="S34" s="668"/>
      <c r="T34" s="668"/>
      <c r="U34" s="1146"/>
      <c r="V34" s="1146"/>
      <c r="W34" s="1146"/>
      <c r="X34" s="682"/>
      <c r="Y34" s="682"/>
    </row>
    <row r="35" spans="1:25" s="681" customFormat="1" ht="12" x14ac:dyDescent="0.2">
      <c r="A35" s="1021"/>
      <c r="B35" s="831" t="s">
        <v>1346</v>
      </c>
      <c r="C35" s="831" t="s">
        <v>1079</v>
      </c>
      <c r="D35" s="831">
        <v>10</v>
      </c>
      <c r="E35" s="831">
        <v>77</v>
      </c>
      <c r="F35" s="732">
        <v>770</v>
      </c>
      <c r="G35" s="818"/>
      <c r="H35" s="796">
        <v>41.533333333333339</v>
      </c>
      <c r="I35" s="680"/>
      <c r="J35" s="680"/>
      <c r="K35" s="668"/>
      <c r="L35" s="668"/>
      <c r="M35" s="676"/>
      <c r="N35" s="668"/>
      <c r="O35" s="668"/>
      <c r="P35" s="668"/>
      <c r="Q35" s="668"/>
      <c r="R35" s="668"/>
      <c r="S35" s="668"/>
      <c r="T35" s="668"/>
      <c r="U35" s="1146"/>
      <c r="V35" s="1146"/>
      <c r="W35" s="1146"/>
      <c r="X35" s="682"/>
      <c r="Y35" s="682"/>
    </row>
    <row r="36" spans="1:25" s="681" customFormat="1" ht="12" x14ac:dyDescent="0.2">
      <c r="A36" s="1021"/>
      <c r="B36" s="831" t="s">
        <v>1347</v>
      </c>
      <c r="C36" s="831" t="s">
        <v>1079</v>
      </c>
      <c r="D36" s="831">
        <v>30</v>
      </c>
      <c r="E36" s="831">
        <v>70.900000000000006</v>
      </c>
      <c r="F36" s="732">
        <v>2127</v>
      </c>
      <c r="G36" s="818"/>
      <c r="H36" s="796">
        <v>45.833333333333336</v>
      </c>
      <c r="I36" s="680"/>
      <c r="J36" s="680"/>
      <c r="K36" s="668"/>
      <c r="L36" s="668"/>
      <c r="M36" s="676"/>
      <c r="N36" s="668"/>
      <c r="O36" s="668"/>
      <c r="P36" s="668"/>
      <c r="Q36" s="668"/>
      <c r="R36" s="668"/>
      <c r="S36" s="668"/>
      <c r="T36" s="668"/>
      <c r="U36" s="1146"/>
      <c r="V36" s="1146"/>
      <c r="W36" s="1146"/>
      <c r="X36" s="682"/>
      <c r="Y36" s="682"/>
    </row>
    <row r="37" spans="1:25" s="681" customFormat="1" ht="12" x14ac:dyDescent="0.2">
      <c r="A37" s="1021"/>
      <c r="B37" s="831" t="s">
        <v>1415</v>
      </c>
      <c r="C37" s="831" t="s">
        <v>1079</v>
      </c>
      <c r="D37" s="831">
        <v>8</v>
      </c>
      <c r="E37" s="831">
        <v>180</v>
      </c>
      <c r="F37" s="732">
        <v>1440</v>
      </c>
      <c r="G37" s="818"/>
      <c r="H37" s="796">
        <v>37.916666666666671</v>
      </c>
      <c r="I37" s="680"/>
      <c r="J37" s="680"/>
      <c r="K37" s="668"/>
      <c r="L37" s="668"/>
      <c r="M37" s="676"/>
      <c r="N37" s="668"/>
      <c r="O37" s="668"/>
      <c r="P37" s="668"/>
      <c r="Q37" s="668"/>
      <c r="R37" s="668"/>
      <c r="S37" s="668"/>
      <c r="T37" s="668"/>
      <c r="U37" s="1146"/>
      <c r="V37" s="1146"/>
      <c r="W37" s="1146"/>
      <c r="X37" s="682"/>
      <c r="Y37" s="682"/>
    </row>
    <row r="38" spans="1:25" s="681" customFormat="1" ht="12" x14ac:dyDescent="0.2">
      <c r="A38" s="1021"/>
      <c r="B38" s="831" t="s">
        <v>1416</v>
      </c>
      <c r="C38" s="831" t="s">
        <v>1079</v>
      </c>
      <c r="D38" s="831">
        <v>4</v>
      </c>
      <c r="E38" s="831">
        <v>369</v>
      </c>
      <c r="F38" s="732">
        <v>1476</v>
      </c>
      <c r="G38" s="818"/>
      <c r="H38" s="796">
        <v>48.708333333333336</v>
      </c>
      <c r="I38" s="680"/>
      <c r="J38" s="680"/>
      <c r="K38" s="668"/>
      <c r="L38" s="668"/>
      <c r="M38" s="676"/>
      <c r="N38" s="668"/>
      <c r="O38" s="668"/>
      <c r="P38" s="668"/>
      <c r="Q38" s="668"/>
      <c r="R38" s="668"/>
      <c r="S38" s="668"/>
      <c r="T38" s="668"/>
      <c r="U38" s="1149"/>
      <c r="V38" s="1146"/>
      <c r="W38" s="1146"/>
      <c r="X38" s="682"/>
      <c r="Y38" s="682"/>
    </row>
    <row r="39" spans="1:25" s="681" customFormat="1" ht="12" x14ac:dyDescent="0.2">
      <c r="A39" s="1021"/>
      <c r="B39" s="831" t="s">
        <v>1417</v>
      </c>
      <c r="C39" s="831" t="s">
        <v>1079</v>
      </c>
      <c r="D39" s="831">
        <v>20</v>
      </c>
      <c r="E39" s="831">
        <v>590</v>
      </c>
      <c r="F39" s="732">
        <v>11800</v>
      </c>
      <c r="G39" s="818"/>
      <c r="H39" s="796">
        <v>183.73333333333332</v>
      </c>
      <c r="I39" s="680"/>
      <c r="J39" s="680"/>
      <c r="K39" s="668"/>
      <c r="L39" s="668"/>
      <c r="M39" s="676"/>
      <c r="N39" s="668"/>
      <c r="O39" s="668"/>
      <c r="P39" s="668"/>
      <c r="Q39" s="668"/>
      <c r="R39" s="668"/>
      <c r="S39" s="668"/>
      <c r="T39" s="668"/>
      <c r="U39" s="1146"/>
      <c r="V39" s="1146"/>
      <c r="W39" s="1146"/>
      <c r="X39" s="682"/>
      <c r="Y39" s="682"/>
    </row>
    <row r="40" spans="1:25" s="681" customFormat="1" ht="12" x14ac:dyDescent="0.2">
      <c r="A40" s="1021"/>
      <c r="B40" s="831" t="s">
        <v>1418</v>
      </c>
      <c r="C40" s="831" t="s">
        <v>1079</v>
      </c>
      <c r="D40" s="831">
        <v>20</v>
      </c>
      <c r="E40" s="831">
        <v>31</v>
      </c>
      <c r="F40" s="732">
        <v>620</v>
      </c>
      <c r="G40" s="818"/>
      <c r="H40" s="796">
        <v>92.225000000000009</v>
      </c>
      <c r="I40" s="680"/>
      <c r="J40" s="680"/>
      <c r="K40" s="668"/>
      <c r="L40" s="668"/>
      <c r="M40" s="676"/>
      <c r="N40" s="668"/>
      <c r="O40" s="668"/>
      <c r="P40" s="668"/>
      <c r="Q40" s="668"/>
      <c r="R40" s="668"/>
      <c r="S40" s="668"/>
      <c r="T40" s="668"/>
      <c r="U40" s="1146"/>
      <c r="V40" s="1146"/>
      <c r="X40" s="682"/>
      <c r="Y40" s="682"/>
    </row>
    <row r="41" spans="1:25" s="681" customFormat="1" ht="12" hidden="1" x14ac:dyDescent="0.2">
      <c r="A41" s="1021"/>
      <c r="B41" s="831" t="s">
        <v>1348</v>
      </c>
      <c r="C41" s="831" t="s">
        <v>1079</v>
      </c>
      <c r="D41" s="831">
        <v>0</v>
      </c>
      <c r="E41" s="831">
        <v>2620</v>
      </c>
      <c r="F41" s="732">
        <v>0</v>
      </c>
      <c r="G41" s="818"/>
      <c r="H41" s="796">
        <v>87.75</v>
      </c>
      <c r="I41" s="680"/>
      <c r="J41" s="680"/>
      <c r="K41" s="668"/>
      <c r="L41" s="668"/>
      <c r="M41" s="676"/>
      <c r="N41" s="668"/>
      <c r="O41" s="668"/>
      <c r="P41" s="668"/>
      <c r="Q41" s="668"/>
      <c r="R41" s="668"/>
      <c r="S41" s="668"/>
      <c r="T41" s="668"/>
      <c r="U41" s="1146"/>
      <c r="V41" s="1146"/>
      <c r="W41" s="1146"/>
      <c r="X41" s="682"/>
      <c r="Y41" s="682"/>
    </row>
    <row r="42" spans="1:25" s="681" customFormat="1" ht="12" x14ac:dyDescent="0.2">
      <c r="A42" s="1021"/>
      <c r="B42" s="831" t="s">
        <v>1419</v>
      </c>
      <c r="C42" s="831" t="s">
        <v>1079</v>
      </c>
      <c r="D42" s="831">
        <v>10</v>
      </c>
      <c r="E42" s="831">
        <v>273.8</v>
      </c>
      <c r="F42" s="732">
        <v>2738</v>
      </c>
      <c r="G42" s="818"/>
      <c r="H42" s="796">
        <v>46.458333333333336</v>
      </c>
      <c r="I42" s="680"/>
      <c r="J42" s="680"/>
      <c r="K42" s="668"/>
      <c r="L42" s="668"/>
      <c r="M42" s="676"/>
      <c r="N42" s="668"/>
      <c r="O42" s="668"/>
      <c r="P42" s="668"/>
      <c r="Q42" s="668"/>
      <c r="R42" s="668"/>
      <c r="S42" s="668"/>
      <c r="T42" s="668"/>
      <c r="U42" s="1146"/>
      <c r="V42" s="1146"/>
      <c r="W42" s="1146"/>
      <c r="X42" s="682"/>
      <c r="Y42" s="682"/>
    </row>
    <row r="43" spans="1:25" s="681" customFormat="1" ht="12" x14ac:dyDescent="0.2">
      <c r="A43" s="1021"/>
      <c r="B43" s="831" t="s">
        <v>1420</v>
      </c>
      <c r="C43" s="831" t="s">
        <v>1079</v>
      </c>
      <c r="D43" s="831">
        <v>6</v>
      </c>
      <c r="E43" s="831">
        <v>579.20000000000005</v>
      </c>
      <c r="F43" s="732">
        <v>3475.2000000000003</v>
      </c>
      <c r="G43" s="818"/>
      <c r="H43" s="796">
        <v>192</v>
      </c>
      <c r="I43" s="680"/>
      <c r="J43" s="680"/>
      <c r="K43" s="668"/>
      <c r="L43" s="668"/>
      <c r="M43" s="676"/>
      <c r="N43" s="668"/>
      <c r="O43" s="668"/>
      <c r="P43" s="668"/>
      <c r="Q43" s="668"/>
      <c r="R43" s="668"/>
      <c r="S43" s="668"/>
      <c r="T43" s="668"/>
      <c r="U43" s="1146"/>
      <c r="V43" s="1146"/>
      <c r="W43" s="1146"/>
      <c r="X43" s="682"/>
      <c r="Y43" s="682"/>
    </row>
    <row r="44" spans="1:25" s="681" customFormat="1" ht="12" x14ac:dyDescent="0.2">
      <c r="A44" s="1021"/>
      <c r="B44" s="831" t="s">
        <v>1421</v>
      </c>
      <c r="C44" s="831" t="s">
        <v>1079</v>
      </c>
      <c r="D44" s="831">
        <v>5</v>
      </c>
      <c r="E44" s="831">
        <v>220.1</v>
      </c>
      <c r="F44" s="732">
        <v>1100.5</v>
      </c>
      <c r="G44" s="818"/>
      <c r="H44" s="796">
        <v>216.85833333333335</v>
      </c>
      <c r="I44" s="680"/>
      <c r="J44" s="680"/>
      <c r="K44" s="668"/>
      <c r="L44" s="668"/>
      <c r="M44" s="676"/>
      <c r="N44" s="668"/>
      <c r="O44" s="668"/>
      <c r="P44" s="668"/>
      <c r="Q44" s="668"/>
      <c r="R44" s="668"/>
      <c r="S44" s="668"/>
      <c r="T44" s="668"/>
      <c r="U44" s="1146"/>
      <c r="V44" s="1146"/>
      <c r="W44" s="1146"/>
      <c r="X44" s="682"/>
      <c r="Y44" s="682"/>
    </row>
    <row r="45" spans="1:25" s="681" customFormat="1" ht="12" hidden="1" x14ac:dyDescent="0.2">
      <c r="A45" s="1021"/>
      <c r="B45" s="831" t="s">
        <v>1349</v>
      </c>
      <c r="C45" s="831" t="s">
        <v>1079</v>
      </c>
      <c r="D45" s="831">
        <v>0</v>
      </c>
      <c r="E45" s="831">
        <v>68.7</v>
      </c>
      <c r="F45" s="732">
        <v>0</v>
      </c>
      <c r="G45" s="818"/>
      <c r="H45" s="796">
        <v>100.16666666666667</v>
      </c>
      <c r="I45" s="680"/>
      <c r="J45" s="680"/>
      <c r="K45" s="668"/>
      <c r="L45" s="668"/>
      <c r="M45" s="676"/>
      <c r="N45" s="668"/>
      <c r="O45" s="668"/>
      <c r="P45" s="668"/>
      <c r="Q45" s="668"/>
      <c r="R45" s="668"/>
      <c r="S45" s="668"/>
      <c r="T45" s="668"/>
      <c r="U45" s="1146"/>
      <c r="V45" s="1146"/>
      <c r="W45" s="1146"/>
      <c r="X45" s="682"/>
      <c r="Y45" s="682"/>
    </row>
    <row r="46" spans="1:25" s="681" customFormat="1" ht="12" x14ac:dyDescent="0.2">
      <c r="A46" s="1021"/>
      <c r="B46" s="831" t="s">
        <v>1350</v>
      </c>
      <c r="C46" s="831" t="s">
        <v>1079</v>
      </c>
      <c r="D46" s="831">
        <v>6</v>
      </c>
      <c r="E46" s="831">
        <v>97.1</v>
      </c>
      <c r="F46" s="732">
        <v>582.59999999999991</v>
      </c>
      <c r="G46" s="818"/>
      <c r="H46" s="796">
        <v>679.4</v>
      </c>
      <c r="I46" s="680"/>
      <c r="J46" s="680"/>
      <c r="K46" s="668"/>
      <c r="L46" s="668"/>
      <c r="M46" s="676"/>
      <c r="N46" s="668"/>
      <c r="O46" s="668"/>
      <c r="P46" s="668"/>
      <c r="Q46" s="668"/>
      <c r="R46" s="668"/>
      <c r="S46" s="668"/>
      <c r="T46" s="668"/>
      <c r="U46" s="1146"/>
      <c r="V46" s="1146"/>
      <c r="W46" s="1146"/>
      <c r="X46" s="682"/>
      <c r="Y46" s="682"/>
    </row>
    <row r="47" spans="1:25" s="681" customFormat="1" ht="12" x14ac:dyDescent="0.2">
      <c r="A47" s="1021"/>
      <c r="B47" s="831" t="s">
        <v>1351</v>
      </c>
      <c r="C47" s="831" t="s">
        <v>1079</v>
      </c>
      <c r="D47" s="831">
        <v>8</v>
      </c>
      <c r="E47" s="831">
        <v>92.4</v>
      </c>
      <c r="F47" s="732">
        <v>739.2</v>
      </c>
      <c r="G47" s="818"/>
      <c r="H47" s="796">
        <v>56</v>
      </c>
      <c r="I47" s="680"/>
      <c r="J47" s="680"/>
      <c r="K47" s="668"/>
      <c r="L47" s="668"/>
      <c r="M47" s="676"/>
      <c r="N47" s="668"/>
      <c r="O47" s="668"/>
      <c r="P47" s="668"/>
      <c r="Q47" s="668"/>
      <c r="R47" s="668"/>
      <c r="S47" s="668"/>
      <c r="T47" s="668"/>
      <c r="U47" s="1149"/>
      <c r="V47" s="1146"/>
      <c r="W47" s="1146"/>
      <c r="X47" s="682"/>
      <c r="Y47" s="682"/>
    </row>
    <row r="48" spans="1:25" s="681" customFormat="1" ht="12" x14ac:dyDescent="0.2">
      <c r="A48" s="1021"/>
      <c r="B48" s="831" t="s">
        <v>1422</v>
      </c>
      <c r="C48" s="831" t="s">
        <v>1079</v>
      </c>
      <c r="D48" s="831">
        <v>140</v>
      </c>
      <c r="E48" s="831">
        <v>9</v>
      </c>
      <c r="F48" s="732">
        <v>1260</v>
      </c>
      <c r="G48" s="674"/>
      <c r="H48" s="796">
        <v>100.25</v>
      </c>
      <c r="I48" s="680"/>
      <c r="J48" s="680"/>
      <c r="L48" s="668"/>
      <c r="M48" s="676"/>
      <c r="N48" s="668"/>
      <c r="O48" s="668"/>
      <c r="P48" s="668"/>
      <c r="Q48" s="668"/>
      <c r="R48" s="668"/>
      <c r="S48" s="668"/>
      <c r="T48" s="668"/>
      <c r="U48" s="1146"/>
      <c r="V48" s="1146"/>
      <c r="W48" s="1146"/>
      <c r="X48" s="682"/>
      <c r="Y48" s="682"/>
    </row>
    <row r="49" spans="1:25" s="681" customFormat="1" ht="12" x14ac:dyDescent="0.2">
      <c r="A49" s="1021"/>
      <c r="B49" s="831" t="s">
        <v>1423</v>
      </c>
      <c r="C49" s="831" t="s">
        <v>1079</v>
      </c>
      <c r="D49" s="831">
        <v>100</v>
      </c>
      <c r="E49" s="831">
        <v>10</v>
      </c>
      <c r="F49" s="732">
        <v>1000</v>
      </c>
      <c r="G49" s="674"/>
      <c r="H49" s="796">
        <v>112.33333333333334</v>
      </c>
      <c r="I49" s="680"/>
      <c r="J49" s="680"/>
      <c r="K49" s="817"/>
      <c r="L49" s="668"/>
      <c r="M49" s="676"/>
      <c r="N49" s="668"/>
      <c r="O49" s="668"/>
      <c r="P49" s="668"/>
      <c r="Q49" s="668"/>
      <c r="R49" s="668"/>
      <c r="S49" s="668"/>
      <c r="T49" s="668"/>
      <c r="U49" s="1146"/>
      <c r="V49" s="1146"/>
      <c r="W49" s="1146"/>
      <c r="X49" s="682"/>
      <c r="Y49" s="682"/>
    </row>
    <row r="50" spans="1:25" s="681" customFormat="1" ht="12" x14ac:dyDescent="0.2">
      <c r="A50" s="1021"/>
      <c r="B50" s="831" t="s">
        <v>1424</v>
      </c>
      <c r="C50" s="831" t="s">
        <v>1079</v>
      </c>
      <c r="D50" s="831">
        <v>60</v>
      </c>
      <c r="E50" s="831">
        <v>12</v>
      </c>
      <c r="F50" s="732">
        <v>720</v>
      </c>
      <c r="G50" s="674"/>
      <c r="H50" s="796">
        <v>112</v>
      </c>
      <c r="I50" s="680"/>
      <c r="J50" s="680"/>
      <c r="K50" s="817"/>
      <c r="L50" s="668"/>
      <c r="M50" s="676"/>
      <c r="N50" s="668"/>
      <c r="O50" s="668"/>
      <c r="P50" s="668"/>
      <c r="Q50" s="668"/>
      <c r="R50" s="668"/>
      <c r="S50" s="668"/>
      <c r="T50" s="668"/>
      <c r="U50" s="1146"/>
      <c r="V50" s="1146"/>
      <c r="W50" s="1146"/>
      <c r="X50" s="682"/>
      <c r="Y50" s="682"/>
    </row>
    <row r="51" spans="1:25" s="681" customFormat="1" ht="12" x14ac:dyDescent="0.2">
      <c r="A51" s="1021"/>
      <c r="B51" s="831" t="s">
        <v>1425</v>
      </c>
      <c r="C51" s="831" t="s">
        <v>1079</v>
      </c>
      <c r="D51" s="831">
        <v>60</v>
      </c>
      <c r="E51" s="831">
        <v>12</v>
      </c>
      <c r="F51" s="732">
        <v>720</v>
      </c>
      <c r="G51" s="674"/>
      <c r="H51" s="796">
        <v>534</v>
      </c>
      <c r="I51" s="680"/>
      <c r="J51" s="680"/>
      <c r="K51" s="817"/>
      <c r="L51" s="668"/>
      <c r="M51" s="676"/>
      <c r="N51" s="668"/>
      <c r="O51" s="668"/>
      <c r="P51" s="668"/>
      <c r="Q51" s="668"/>
      <c r="R51" s="668"/>
      <c r="S51" s="668"/>
      <c r="T51" s="668"/>
      <c r="U51" s="1146"/>
      <c r="V51" s="1146"/>
      <c r="W51" s="1146"/>
      <c r="X51" s="682"/>
      <c r="Y51" s="682"/>
    </row>
    <row r="52" spans="1:25" s="681" customFormat="1" ht="12" x14ac:dyDescent="0.2">
      <c r="A52" s="1021"/>
      <c r="B52" s="831" t="s">
        <v>1426</v>
      </c>
      <c r="C52" s="831" t="s">
        <v>1079</v>
      </c>
      <c r="D52" s="831">
        <v>2</v>
      </c>
      <c r="E52" s="831">
        <v>26</v>
      </c>
      <c r="F52" s="732">
        <v>52</v>
      </c>
      <c r="G52" s="674"/>
      <c r="H52" s="796">
        <v>70.166666666666671</v>
      </c>
      <c r="I52" s="680"/>
      <c r="J52" s="680"/>
      <c r="K52" s="817"/>
      <c r="L52" s="668"/>
      <c r="M52" s="676"/>
      <c r="N52" s="668"/>
      <c r="O52" s="668"/>
      <c r="P52" s="668"/>
      <c r="Q52" s="668"/>
      <c r="R52" s="668"/>
      <c r="S52" s="668"/>
      <c r="T52" s="668"/>
      <c r="U52" s="1146"/>
      <c r="V52" s="1146"/>
      <c r="W52" s="1146"/>
      <c r="X52" s="682"/>
      <c r="Y52" s="682"/>
    </row>
    <row r="53" spans="1:25" s="681" customFormat="1" ht="12" x14ac:dyDescent="0.2">
      <c r="A53" s="1021"/>
      <c r="B53" s="831" t="s">
        <v>1427</v>
      </c>
      <c r="C53" s="831" t="s">
        <v>1079</v>
      </c>
      <c r="D53" s="831">
        <v>4</v>
      </c>
      <c r="E53" s="831">
        <v>30</v>
      </c>
      <c r="F53" s="732">
        <v>120</v>
      </c>
      <c r="G53" s="674"/>
      <c r="H53" s="796">
        <v>67.291666666666671</v>
      </c>
      <c r="I53" s="680"/>
      <c r="J53" s="680"/>
      <c r="K53" s="817"/>
      <c r="L53" s="668"/>
      <c r="M53" s="676"/>
      <c r="N53" s="668"/>
      <c r="O53" s="668"/>
      <c r="P53" s="668"/>
      <c r="Q53" s="668"/>
      <c r="R53" s="668"/>
      <c r="S53" s="668"/>
      <c r="T53" s="668"/>
      <c r="U53" s="1146"/>
      <c r="V53" s="1146"/>
      <c r="W53" s="1146"/>
      <c r="X53" s="682"/>
      <c r="Y53" s="682"/>
    </row>
    <row r="54" spans="1:25" s="681" customFormat="1" ht="12" x14ac:dyDescent="0.2">
      <c r="A54" s="1021"/>
      <c r="B54" s="831" t="s">
        <v>1428</v>
      </c>
      <c r="C54" s="831" t="s">
        <v>1079</v>
      </c>
      <c r="D54" s="831">
        <v>4</v>
      </c>
      <c r="E54" s="831">
        <v>34</v>
      </c>
      <c r="F54" s="732">
        <v>136</v>
      </c>
      <c r="G54" s="674"/>
      <c r="H54" s="796">
        <v>395</v>
      </c>
      <c r="I54" s="680"/>
      <c r="J54" s="680"/>
      <c r="K54" s="817"/>
      <c r="L54" s="668"/>
      <c r="M54" s="676"/>
      <c r="N54" s="668"/>
      <c r="O54" s="668"/>
      <c r="P54" s="668"/>
      <c r="Q54" s="668"/>
      <c r="R54" s="668"/>
      <c r="S54" s="668"/>
      <c r="T54" s="668"/>
      <c r="U54" s="1146"/>
      <c r="V54" s="1146"/>
      <c r="W54" s="1146"/>
      <c r="X54" s="682"/>
      <c r="Y54" s="682"/>
    </row>
    <row r="55" spans="1:25" s="681" customFormat="1" ht="12" x14ac:dyDescent="0.2">
      <c r="A55" s="1021"/>
      <c r="B55" s="831" t="s">
        <v>1429</v>
      </c>
      <c r="C55" s="831" t="s">
        <v>1079</v>
      </c>
      <c r="D55" s="831">
        <v>4</v>
      </c>
      <c r="E55" s="831">
        <v>42</v>
      </c>
      <c r="F55" s="732">
        <v>168</v>
      </c>
      <c r="G55" s="674"/>
      <c r="H55" s="796">
        <v>100</v>
      </c>
      <c r="I55" s="680"/>
      <c r="J55" s="680"/>
      <c r="K55" s="817"/>
      <c r="L55" s="668"/>
      <c r="M55" s="676"/>
      <c r="N55" s="668"/>
      <c r="O55" s="668"/>
      <c r="P55" s="668"/>
      <c r="Q55" s="668"/>
      <c r="R55" s="668"/>
      <c r="S55" s="668"/>
      <c r="T55" s="668"/>
      <c r="U55" s="1146"/>
      <c r="V55" s="1146"/>
      <c r="W55" s="1146"/>
      <c r="X55" s="682"/>
      <c r="Y55" s="682"/>
    </row>
    <row r="56" spans="1:25" s="681" customFormat="1" ht="12" x14ac:dyDescent="0.2">
      <c r="A56" s="1021"/>
      <c r="B56" s="831" t="s">
        <v>1430</v>
      </c>
      <c r="C56" s="831" t="s">
        <v>1079</v>
      </c>
      <c r="D56" s="831">
        <v>4</v>
      </c>
      <c r="E56" s="831">
        <v>24</v>
      </c>
      <c r="F56" s="732">
        <v>96</v>
      </c>
      <c r="G56" s="674"/>
      <c r="H56" s="796">
        <v>1500.375</v>
      </c>
      <c r="I56" s="680"/>
      <c r="J56" s="680"/>
      <c r="K56" s="817"/>
      <c r="L56" s="668"/>
      <c r="M56" s="676"/>
      <c r="N56" s="668"/>
      <c r="O56" s="668"/>
      <c r="P56" s="668"/>
      <c r="Q56" s="668"/>
      <c r="R56" s="668"/>
      <c r="S56" s="668"/>
      <c r="T56" s="668"/>
      <c r="U56" s="1146"/>
      <c r="V56" s="1146"/>
      <c r="W56" s="1146"/>
      <c r="X56" s="682"/>
      <c r="Y56" s="682"/>
    </row>
    <row r="57" spans="1:25" s="681" customFormat="1" ht="12" x14ac:dyDescent="0.2">
      <c r="A57" s="1021"/>
      <c r="B57" s="831" t="s">
        <v>1431</v>
      </c>
      <c r="C57" s="831" t="s">
        <v>1079</v>
      </c>
      <c r="D57" s="831">
        <v>4</v>
      </c>
      <c r="E57" s="831">
        <v>27</v>
      </c>
      <c r="F57" s="732">
        <v>108</v>
      </c>
      <c r="G57" s="674"/>
      <c r="H57" s="796">
        <v>1820</v>
      </c>
      <c r="I57" s="680"/>
      <c r="J57" s="680"/>
      <c r="K57" s="817"/>
      <c r="L57" s="668"/>
      <c r="M57" s="676"/>
      <c r="N57" s="668"/>
      <c r="O57" s="668"/>
      <c r="P57" s="668"/>
      <c r="Q57" s="668"/>
      <c r="R57" s="668"/>
      <c r="S57" s="668"/>
      <c r="T57" s="668"/>
      <c r="U57" s="1146"/>
      <c r="V57" s="1146"/>
      <c r="W57" s="1146"/>
      <c r="X57" s="682"/>
      <c r="Y57" s="682"/>
    </row>
    <row r="58" spans="1:25" s="681" customFormat="1" ht="12" x14ac:dyDescent="0.2">
      <c r="A58" s="1021"/>
      <c r="B58" s="831" t="s">
        <v>1432</v>
      </c>
      <c r="C58" s="831" t="s">
        <v>1079</v>
      </c>
      <c r="D58" s="831">
        <v>6</v>
      </c>
      <c r="E58" s="831">
        <v>44</v>
      </c>
      <c r="F58" s="732">
        <v>264</v>
      </c>
      <c r="G58" s="674"/>
      <c r="H58" s="796">
        <v>705</v>
      </c>
      <c r="I58" s="680"/>
      <c r="J58" s="680"/>
      <c r="K58" s="817"/>
      <c r="L58" s="668"/>
      <c r="M58" s="676"/>
      <c r="N58" s="668"/>
      <c r="O58" s="668"/>
      <c r="P58" s="668"/>
      <c r="Q58" s="668"/>
      <c r="R58" s="668"/>
      <c r="S58" s="668"/>
      <c r="T58" s="668"/>
      <c r="U58" s="1146"/>
      <c r="V58" s="1146"/>
      <c r="W58" s="1146"/>
      <c r="X58" s="682"/>
      <c r="Y58" s="682"/>
    </row>
    <row r="59" spans="1:25" s="681" customFormat="1" ht="12" x14ac:dyDescent="0.2">
      <c r="A59" s="1021"/>
      <c r="B59" s="831" t="s">
        <v>1433</v>
      </c>
      <c r="C59" s="831" t="s">
        <v>1079</v>
      </c>
      <c r="D59" s="831">
        <v>6</v>
      </c>
      <c r="E59" s="831">
        <v>66</v>
      </c>
      <c r="F59" s="732">
        <v>396</v>
      </c>
      <c r="G59" s="674"/>
      <c r="H59" s="796">
        <v>1350</v>
      </c>
      <c r="I59" s="680"/>
      <c r="J59" s="680"/>
      <c r="K59" s="817"/>
      <c r="L59" s="668"/>
      <c r="M59" s="676"/>
      <c r="N59" s="668"/>
      <c r="O59" s="668"/>
      <c r="P59" s="668"/>
      <c r="Q59" s="668"/>
      <c r="R59" s="668"/>
      <c r="S59" s="668"/>
      <c r="T59" s="668"/>
      <c r="U59" s="1146"/>
      <c r="V59" s="1146"/>
      <c r="W59" s="1146"/>
      <c r="X59" s="682"/>
      <c r="Y59" s="682"/>
    </row>
    <row r="60" spans="1:25" s="681" customFormat="1" ht="12" x14ac:dyDescent="0.2">
      <c r="A60" s="1021"/>
      <c r="B60" s="831" t="s">
        <v>1434</v>
      </c>
      <c r="C60" s="831" t="s">
        <v>1079</v>
      </c>
      <c r="D60" s="831">
        <v>6</v>
      </c>
      <c r="E60" s="831">
        <v>124.46</v>
      </c>
      <c r="F60" s="732">
        <v>746.76</v>
      </c>
      <c r="G60" s="674"/>
      <c r="H60" s="796">
        <v>1685</v>
      </c>
      <c r="I60" s="680"/>
      <c r="J60" s="680"/>
      <c r="K60" s="817"/>
      <c r="L60" s="668"/>
      <c r="M60" s="676"/>
      <c r="N60" s="668"/>
      <c r="O60" s="668"/>
      <c r="P60" s="668"/>
      <c r="Q60" s="668"/>
      <c r="R60" s="668"/>
      <c r="S60" s="668"/>
      <c r="T60" s="668"/>
      <c r="U60" s="1146"/>
      <c r="V60" s="1146"/>
      <c r="W60" s="1146"/>
      <c r="X60" s="682"/>
      <c r="Y60" s="682"/>
    </row>
    <row r="61" spans="1:25" s="681" customFormat="1" ht="12" hidden="1" x14ac:dyDescent="0.2">
      <c r="A61" s="1021"/>
      <c r="B61" s="831" t="s">
        <v>1352</v>
      </c>
      <c r="C61" s="831" t="s">
        <v>1079</v>
      </c>
      <c r="D61" s="831">
        <v>0</v>
      </c>
      <c r="E61" s="831">
        <v>92.4</v>
      </c>
      <c r="F61" s="732">
        <v>0</v>
      </c>
      <c r="G61" s="674"/>
      <c r="H61" s="796">
        <v>225</v>
      </c>
      <c r="I61" s="680"/>
      <c r="J61" s="680"/>
      <c r="K61" s="817"/>
      <c r="L61" s="668"/>
      <c r="M61" s="676"/>
      <c r="N61" s="668"/>
      <c r="O61" s="668"/>
      <c r="P61" s="668"/>
      <c r="Q61" s="668"/>
      <c r="R61" s="668"/>
      <c r="S61" s="668"/>
      <c r="T61" s="668"/>
      <c r="U61" s="1146"/>
      <c r="V61" s="1146"/>
      <c r="W61" s="1146"/>
      <c r="X61" s="682"/>
      <c r="Y61" s="682"/>
    </row>
    <row r="62" spans="1:25" s="681" customFormat="1" ht="12" x14ac:dyDescent="0.2">
      <c r="A62" s="1021"/>
      <c r="B62" s="831" t="s">
        <v>1353</v>
      </c>
      <c r="C62" s="831" t="s">
        <v>1079</v>
      </c>
      <c r="D62" s="831">
        <v>20</v>
      </c>
      <c r="E62" s="831">
        <v>85</v>
      </c>
      <c r="F62" s="732">
        <v>1700</v>
      </c>
      <c r="G62" s="674"/>
      <c r="H62" s="796">
        <v>520</v>
      </c>
      <c r="I62" s="680"/>
      <c r="J62" s="680"/>
      <c r="K62" s="817"/>
      <c r="L62" s="668"/>
      <c r="M62" s="676"/>
      <c r="N62" s="668"/>
      <c r="O62" s="668"/>
      <c r="P62" s="668"/>
      <c r="Q62" s="668"/>
      <c r="R62" s="668"/>
      <c r="S62" s="668"/>
      <c r="T62" s="668"/>
      <c r="U62" s="1146"/>
      <c r="V62" s="1146"/>
      <c r="W62" s="1146"/>
      <c r="X62" s="682"/>
      <c r="Y62" s="682"/>
    </row>
    <row r="63" spans="1:25" s="681" customFormat="1" ht="11.25" customHeight="1" x14ac:dyDescent="0.2">
      <c r="A63" s="1021"/>
      <c r="B63" s="831" t="s">
        <v>1354</v>
      </c>
      <c r="C63" s="831" t="s">
        <v>1079</v>
      </c>
      <c r="D63" s="831">
        <v>20</v>
      </c>
      <c r="E63" s="831">
        <v>120</v>
      </c>
      <c r="F63" s="732">
        <v>2400</v>
      </c>
      <c r="G63" s="818"/>
      <c r="H63" s="796">
        <v>125.19166666666666</v>
      </c>
      <c r="I63" s="680"/>
      <c r="J63" s="680"/>
      <c r="K63" s="668"/>
      <c r="L63" s="668"/>
      <c r="M63" s="676"/>
      <c r="N63" s="668"/>
      <c r="O63" s="668"/>
      <c r="P63" s="668"/>
      <c r="Q63" s="668"/>
      <c r="R63" s="668"/>
      <c r="S63" s="668"/>
      <c r="T63" s="668"/>
      <c r="U63" s="1146"/>
      <c r="V63" s="1146"/>
      <c r="W63" s="1146"/>
      <c r="X63" s="679"/>
      <c r="Y63" s="682"/>
    </row>
    <row r="64" spans="1:25" s="1044" customFormat="1" ht="12" x14ac:dyDescent="0.2">
      <c r="A64" s="1021"/>
      <c r="B64" s="831" t="s">
        <v>1355</v>
      </c>
      <c r="C64" s="831" t="s">
        <v>1079</v>
      </c>
      <c r="D64" s="831">
        <v>20</v>
      </c>
      <c r="E64" s="831">
        <v>100</v>
      </c>
      <c r="F64" s="732">
        <v>2000</v>
      </c>
      <c r="G64" s="818"/>
      <c r="H64" s="796">
        <v>2933.3333333333335</v>
      </c>
      <c r="I64" s="680"/>
      <c r="J64" s="680"/>
      <c r="K64" s="668"/>
      <c r="L64" s="668"/>
      <c r="M64" s="676"/>
      <c r="N64" s="668"/>
      <c r="O64" s="668"/>
      <c r="P64" s="668"/>
      <c r="Q64" s="668"/>
      <c r="R64" s="668"/>
      <c r="S64" s="668"/>
      <c r="T64" s="668"/>
      <c r="U64" s="1146"/>
      <c r="V64" s="1146"/>
      <c r="W64" s="1146"/>
      <c r="X64" s="682"/>
      <c r="Y64" s="682"/>
    </row>
    <row r="65" spans="1:25" s="680" customFormat="1" ht="12" x14ac:dyDescent="0.2">
      <c r="A65" s="1021"/>
      <c r="B65" s="831" t="s">
        <v>1356</v>
      </c>
      <c r="C65" s="831" t="s">
        <v>1079</v>
      </c>
      <c r="D65" s="831">
        <v>30</v>
      </c>
      <c r="E65" s="831">
        <v>125</v>
      </c>
      <c r="F65" s="732">
        <v>3750</v>
      </c>
      <c r="G65" s="818"/>
      <c r="H65" s="796">
        <v>816.66666666666674</v>
      </c>
      <c r="K65" s="668"/>
      <c r="L65" s="668"/>
      <c r="M65" s="676"/>
      <c r="N65" s="668"/>
      <c r="O65" s="668"/>
      <c r="P65" s="668"/>
      <c r="Q65" s="668"/>
      <c r="R65" s="668"/>
      <c r="S65" s="668"/>
      <c r="T65" s="668"/>
      <c r="U65" s="1146"/>
      <c r="V65" s="1146"/>
      <c r="W65" s="1146"/>
      <c r="X65" s="682"/>
      <c r="Y65" s="682"/>
    </row>
    <row r="66" spans="1:25" s="681" customFormat="1" ht="12" x14ac:dyDescent="0.2">
      <c r="A66" s="1021"/>
      <c r="B66" s="831" t="s">
        <v>1353</v>
      </c>
      <c r="C66" s="831" t="s">
        <v>1079</v>
      </c>
      <c r="D66" s="831">
        <v>20</v>
      </c>
      <c r="E66" s="831">
        <v>85</v>
      </c>
      <c r="F66" s="732">
        <v>1700</v>
      </c>
      <c r="G66" s="818"/>
      <c r="H66" s="796">
        <v>4200</v>
      </c>
      <c r="I66" s="680"/>
      <c r="J66" s="680"/>
      <c r="K66" s="668"/>
      <c r="L66" s="668"/>
      <c r="M66" s="676"/>
      <c r="N66" s="668"/>
      <c r="O66" s="668"/>
      <c r="P66" s="668"/>
      <c r="Q66" s="668"/>
      <c r="R66" s="668"/>
      <c r="S66" s="668"/>
      <c r="T66" s="668"/>
      <c r="U66" s="1149"/>
      <c r="V66" s="1146"/>
      <c r="W66" s="1146"/>
      <c r="X66" s="682"/>
      <c r="Y66" s="682"/>
    </row>
    <row r="67" spans="1:25" ht="12" customHeight="1" x14ac:dyDescent="0.2">
      <c r="A67" s="1021"/>
      <c r="B67" s="831" t="s">
        <v>1354</v>
      </c>
      <c r="C67" s="831" t="s">
        <v>1079</v>
      </c>
      <c r="D67" s="831">
        <v>20</v>
      </c>
      <c r="E67" s="831">
        <v>120</v>
      </c>
      <c r="F67" s="732">
        <v>2400</v>
      </c>
      <c r="G67" s="818"/>
      <c r="H67" s="796">
        <v>789</v>
      </c>
      <c r="I67" s="680"/>
      <c r="J67" s="680"/>
      <c r="K67" s="668"/>
      <c r="L67" s="668"/>
      <c r="M67" s="676"/>
      <c r="N67" s="668"/>
      <c r="O67" s="668"/>
      <c r="P67" s="668"/>
      <c r="Q67" s="668"/>
      <c r="R67" s="668"/>
      <c r="S67" s="668"/>
      <c r="T67" s="668"/>
      <c r="U67" s="1149"/>
      <c r="V67" s="1146"/>
      <c r="W67" s="1146"/>
      <c r="X67" s="682"/>
      <c r="Y67" s="682"/>
    </row>
    <row r="68" spans="1:25" x14ac:dyDescent="0.2">
      <c r="A68" s="1021"/>
      <c r="B68" s="831" t="s">
        <v>1435</v>
      </c>
      <c r="C68" s="831" t="s">
        <v>1079</v>
      </c>
      <c r="D68" s="831">
        <v>2</v>
      </c>
      <c r="E68" s="831">
        <v>400.1</v>
      </c>
      <c r="F68" s="732">
        <v>800.2</v>
      </c>
      <c r="G68" s="818"/>
      <c r="H68" s="796">
        <v>380</v>
      </c>
      <c r="I68" s="680"/>
      <c r="J68" s="680"/>
      <c r="K68" s="668"/>
      <c r="L68" s="668"/>
      <c r="M68" s="676"/>
      <c r="N68" s="668"/>
      <c r="O68" s="668"/>
      <c r="P68" s="668"/>
      <c r="Q68" s="668"/>
      <c r="R68" s="668"/>
      <c r="S68" s="668"/>
      <c r="T68" s="668"/>
      <c r="U68" s="680"/>
      <c r="V68" s="681"/>
      <c r="W68" s="681"/>
      <c r="X68" s="681"/>
      <c r="Y68" s="1144"/>
    </row>
    <row r="69" spans="1:25" x14ac:dyDescent="0.2">
      <c r="A69" s="1021"/>
      <c r="B69" s="831" t="s">
        <v>1357</v>
      </c>
      <c r="C69" s="831" t="s">
        <v>1079</v>
      </c>
      <c r="D69" s="831">
        <v>20</v>
      </c>
      <c r="E69" s="831">
        <v>48.3</v>
      </c>
      <c r="F69" s="732">
        <v>966</v>
      </c>
      <c r="G69" s="818"/>
      <c r="H69" s="796">
        <v>380</v>
      </c>
      <c r="I69" s="680"/>
      <c r="J69" s="680"/>
      <c r="K69" s="668"/>
      <c r="L69" s="668"/>
      <c r="M69" s="676"/>
      <c r="N69" s="668"/>
      <c r="O69" s="668"/>
      <c r="P69" s="668"/>
      <c r="Q69" s="668"/>
      <c r="R69" s="668"/>
      <c r="S69" s="668"/>
      <c r="T69" s="668"/>
      <c r="U69" s="680"/>
      <c r="V69" s="681"/>
      <c r="W69" s="681"/>
      <c r="X69" s="681"/>
      <c r="Y69" s="1144"/>
    </row>
    <row r="70" spans="1:25" x14ac:dyDescent="0.2">
      <c r="A70" s="1021"/>
      <c r="B70" s="831" t="s">
        <v>1358</v>
      </c>
      <c r="C70" s="831" t="s">
        <v>1079</v>
      </c>
      <c r="D70" s="831">
        <v>20</v>
      </c>
      <c r="E70" s="831">
        <v>39.9</v>
      </c>
      <c r="F70" s="732">
        <v>798</v>
      </c>
      <c r="G70" s="818"/>
      <c r="H70" s="796">
        <v>380</v>
      </c>
      <c r="I70" s="680"/>
      <c r="J70" s="680"/>
      <c r="K70" s="668"/>
      <c r="L70" s="668"/>
      <c r="M70" s="676"/>
      <c r="N70" s="668"/>
      <c r="O70" s="668"/>
      <c r="P70" s="668"/>
      <c r="Q70" s="668"/>
      <c r="R70" s="668"/>
      <c r="S70" s="668"/>
      <c r="T70" s="668"/>
      <c r="U70" s="680"/>
      <c r="V70" s="681"/>
      <c r="W70" s="681"/>
      <c r="X70" s="681"/>
      <c r="Y70" s="1144"/>
    </row>
    <row r="71" spans="1:25" x14ac:dyDescent="0.2">
      <c r="A71" s="1021"/>
      <c r="B71" s="831" t="s">
        <v>1436</v>
      </c>
      <c r="C71" s="831" t="s">
        <v>1079</v>
      </c>
      <c r="D71" s="831">
        <v>5</v>
      </c>
      <c r="E71" s="831">
        <v>940</v>
      </c>
      <c r="F71" s="732">
        <v>4700</v>
      </c>
      <c r="G71" s="818"/>
      <c r="H71" s="796">
        <v>380</v>
      </c>
      <c r="I71" s="680"/>
      <c r="J71" s="680"/>
      <c r="K71" s="668"/>
      <c r="L71" s="668"/>
      <c r="M71" s="676"/>
      <c r="N71" s="668"/>
      <c r="O71" s="668"/>
      <c r="P71" s="668"/>
      <c r="Q71" s="668"/>
      <c r="R71" s="668"/>
      <c r="S71" s="668"/>
      <c r="T71" s="668"/>
      <c r="U71" s="680"/>
      <c r="V71" s="681"/>
      <c r="W71" s="681"/>
      <c r="X71" s="681"/>
      <c r="Y71" s="1144"/>
    </row>
    <row r="72" spans="1:25" x14ac:dyDescent="0.2">
      <c r="A72" s="1021"/>
      <c r="B72" s="831" t="s">
        <v>1364</v>
      </c>
      <c r="C72" s="831" t="s">
        <v>1365</v>
      </c>
      <c r="D72" s="831">
        <v>20</v>
      </c>
      <c r="E72" s="831">
        <v>175</v>
      </c>
      <c r="F72" s="732">
        <v>3500</v>
      </c>
      <c r="G72" s="818"/>
      <c r="H72" s="796">
        <v>380</v>
      </c>
      <c r="I72" s="680"/>
      <c r="J72" s="680"/>
      <c r="K72" s="668"/>
      <c r="L72" s="668"/>
      <c r="M72" s="676"/>
      <c r="N72" s="668"/>
      <c r="O72" s="668"/>
      <c r="P72" s="668"/>
      <c r="Q72" s="668"/>
      <c r="R72" s="668"/>
      <c r="S72" s="668"/>
      <c r="T72" s="668"/>
      <c r="U72" s="680"/>
      <c r="V72" s="681"/>
      <c r="W72" s="681"/>
      <c r="X72" s="681"/>
      <c r="Y72" s="1144"/>
    </row>
    <row r="73" spans="1:25" x14ac:dyDescent="0.2">
      <c r="A73" s="1021"/>
      <c r="B73" s="831" t="s">
        <v>1367</v>
      </c>
      <c r="C73" s="831" t="s">
        <v>1079</v>
      </c>
      <c r="D73" s="831">
        <v>20</v>
      </c>
      <c r="E73" s="831">
        <v>150.5</v>
      </c>
      <c r="F73" s="732">
        <v>3010</v>
      </c>
      <c r="G73" s="818"/>
      <c r="H73" s="796">
        <v>380</v>
      </c>
      <c r="I73" s="680"/>
      <c r="J73" s="680"/>
      <c r="K73" s="668"/>
      <c r="L73" s="668"/>
      <c r="M73" s="676"/>
      <c r="N73" s="668"/>
      <c r="O73" s="668"/>
      <c r="P73" s="668"/>
      <c r="Q73" s="668"/>
      <c r="R73" s="668"/>
      <c r="S73" s="668"/>
      <c r="T73" s="668"/>
      <c r="U73" s="680"/>
      <c r="V73" s="681"/>
      <c r="W73" s="681"/>
      <c r="X73" s="681"/>
      <c r="Y73" s="1144"/>
    </row>
    <row r="74" spans="1:25" x14ac:dyDescent="0.2">
      <c r="A74" s="1021"/>
      <c r="B74" s="831" t="s">
        <v>1368</v>
      </c>
      <c r="C74" s="831" t="s">
        <v>1079</v>
      </c>
      <c r="D74" s="831">
        <v>5</v>
      </c>
      <c r="E74" s="831">
        <v>193</v>
      </c>
      <c r="F74" s="732">
        <v>965</v>
      </c>
      <c r="G74" s="818"/>
      <c r="H74" s="796">
        <v>380</v>
      </c>
      <c r="I74" s="680"/>
      <c r="J74" s="680"/>
      <c r="K74" s="668"/>
      <c r="L74" s="668"/>
      <c r="M74" s="676"/>
      <c r="N74" s="668"/>
      <c r="O74" s="668"/>
      <c r="P74" s="668"/>
      <c r="Q74" s="668"/>
      <c r="R74" s="668"/>
      <c r="S74" s="668"/>
      <c r="T74" s="668"/>
      <c r="U74" s="680"/>
      <c r="V74" s="681"/>
      <c r="W74" s="681"/>
      <c r="X74" s="681"/>
      <c r="Y74" s="1144"/>
    </row>
    <row r="75" spans="1:25" x14ac:dyDescent="0.2">
      <c r="A75" s="1021"/>
      <c r="B75" s="831" t="s">
        <v>1370</v>
      </c>
      <c r="C75" s="831" t="s">
        <v>1217</v>
      </c>
      <c r="D75" s="831">
        <v>20</v>
      </c>
      <c r="E75" s="831">
        <v>13</v>
      </c>
      <c r="F75" s="732">
        <v>260</v>
      </c>
      <c r="G75" s="818"/>
      <c r="H75" s="796">
        <v>380</v>
      </c>
      <c r="I75" s="680"/>
      <c r="J75" s="680"/>
      <c r="K75" s="668"/>
      <c r="L75" s="668"/>
      <c r="M75" s="676"/>
      <c r="N75" s="668"/>
      <c r="O75" s="668"/>
      <c r="P75" s="668"/>
      <c r="Q75" s="668"/>
      <c r="R75" s="668"/>
      <c r="S75" s="668"/>
      <c r="T75" s="668"/>
      <c r="U75" s="680"/>
      <c r="V75" s="681"/>
      <c r="W75" s="681"/>
      <c r="X75" s="681"/>
      <c r="Y75" s="1144"/>
    </row>
    <row r="76" spans="1:25" x14ac:dyDescent="0.2">
      <c r="A76" s="1021"/>
      <c r="B76" s="831" t="s">
        <v>1373</v>
      </c>
      <c r="C76" s="831" t="s">
        <v>1374</v>
      </c>
      <c r="D76" s="831">
        <v>2</v>
      </c>
      <c r="E76" s="831">
        <v>48.9</v>
      </c>
      <c r="F76" s="732">
        <v>97.8</v>
      </c>
      <c r="G76" s="818"/>
      <c r="H76" s="796">
        <v>380</v>
      </c>
      <c r="I76" s="680"/>
      <c r="J76" s="680"/>
      <c r="K76" s="668"/>
      <c r="L76" s="668"/>
      <c r="M76" s="676"/>
      <c r="N76" s="668"/>
      <c r="O76" s="668"/>
      <c r="P76" s="668"/>
      <c r="Q76" s="668"/>
      <c r="R76" s="668"/>
      <c r="S76" s="668"/>
      <c r="T76" s="668"/>
      <c r="U76" s="680"/>
      <c r="V76" s="681"/>
      <c r="W76" s="681"/>
      <c r="X76" s="681"/>
      <c r="Y76" s="1144"/>
    </row>
    <row r="77" spans="1:25" x14ac:dyDescent="0.2">
      <c r="A77" s="1021"/>
      <c r="B77" s="831" t="s">
        <v>1437</v>
      </c>
      <c r="C77" s="831" t="s">
        <v>1217</v>
      </c>
      <c r="D77" s="831">
        <v>200</v>
      </c>
      <c r="E77" s="831">
        <v>5.67</v>
      </c>
      <c r="F77" s="732">
        <v>1134</v>
      </c>
      <c r="G77" s="818"/>
      <c r="H77" s="796">
        <v>380</v>
      </c>
      <c r="I77" s="680"/>
      <c r="J77" s="680"/>
      <c r="K77" s="668"/>
      <c r="L77" s="668"/>
      <c r="M77" s="676"/>
      <c r="N77" s="668"/>
      <c r="O77" s="668"/>
      <c r="P77" s="668"/>
      <c r="Q77" s="668"/>
      <c r="R77" s="668"/>
      <c r="S77" s="668"/>
      <c r="T77" s="668"/>
      <c r="U77" s="680"/>
      <c r="V77" s="681"/>
      <c r="W77" s="681"/>
      <c r="X77" s="681"/>
      <c r="Y77" s="1144"/>
    </row>
    <row r="78" spans="1:25" x14ac:dyDescent="0.2">
      <c r="A78" s="1021"/>
      <c r="B78" s="831" t="s">
        <v>1438</v>
      </c>
      <c r="C78" s="831" t="s">
        <v>1217</v>
      </c>
      <c r="D78" s="831">
        <v>200</v>
      </c>
      <c r="E78" s="831">
        <v>9.4600000000000009</v>
      </c>
      <c r="F78" s="732">
        <v>1892.0000000000002</v>
      </c>
      <c r="G78" s="818"/>
      <c r="H78" s="796">
        <v>380</v>
      </c>
      <c r="I78" s="680"/>
      <c r="J78" s="680"/>
      <c r="K78" s="668"/>
      <c r="L78" s="668"/>
      <c r="M78" s="676"/>
      <c r="N78" s="668"/>
      <c r="O78" s="668"/>
      <c r="P78" s="668"/>
      <c r="Q78" s="668"/>
      <c r="R78" s="668"/>
      <c r="S78" s="668"/>
      <c r="T78" s="668"/>
      <c r="U78" s="680"/>
      <c r="V78" s="681"/>
      <c r="W78" s="681"/>
      <c r="X78" s="681"/>
      <c r="Y78" s="1144"/>
    </row>
    <row r="79" spans="1:25" x14ac:dyDescent="0.2">
      <c r="A79" s="1021"/>
      <c r="B79" s="831" t="s">
        <v>1439</v>
      </c>
      <c r="C79" s="831" t="s">
        <v>1079</v>
      </c>
      <c r="D79" s="831">
        <v>4</v>
      </c>
      <c r="E79" s="831">
        <v>336</v>
      </c>
      <c r="F79" s="732">
        <v>1344</v>
      </c>
      <c r="G79" s="818"/>
      <c r="H79" s="796">
        <v>380</v>
      </c>
      <c r="I79" s="680"/>
      <c r="J79" s="680"/>
      <c r="K79" s="668"/>
      <c r="L79" s="668"/>
      <c r="M79" s="676"/>
      <c r="N79" s="668"/>
      <c r="O79" s="668"/>
      <c r="P79" s="668"/>
      <c r="Q79" s="668"/>
      <c r="R79" s="668"/>
      <c r="S79" s="668"/>
      <c r="T79" s="668"/>
      <c r="U79" s="680"/>
      <c r="V79" s="681"/>
      <c r="W79" s="681"/>
      <c r="X79" s="681"/>
      <c r="Y79" s="1144"/>
    </row>
    <row r="80" spans="1:25" x14ac:dyDescent="0.2">
      <c r="A80" s="1021"/>
      <c r="B80" s="831" t="s">
        <v>1440</v>
      </c>
      <c r="C80" s="831" t="s">
        <v>1079</v>
      </c>
      <c r="D80" s="831">
        <v>2</v>
      </c>
      <c r="E80" s="831">
        <v>180</v>
      </c>
      <c r="F80" s="732">
        <v>360</v>
      </c>
      <c r="G80" s="818"/>
      <c r="H80" s="796">
        <v>380</v>
      </c>
      <c r="I80" s="680"/>
      <c r="J80" s="680"/>
      <c r="K80" s="668"/>
      <c r="L80" s="668"/>
      <c r="M80" s="676"/>
      <c r="N80" s="668"/>
      <c r="O80" s="668"/>
      <c r="P80" s="668"/>
      <c r="Q80" s="668"/>
      <c r="R80" s="668"/>
      <c r="S80" s="668"/>
      <c r="T80" s="668"/>
      <c r="U80" s="680"/>
      <c r="V80" s="681"/>
      <c r="W80" s="681"/>
      <c r="X80" s="681"/>
      <c r="Y80" s="1144"/>
    </row>
    <row r="81" spans="1:25" x14ac:dyDescent="0.2">
      <c r="A81" s="1021"/>
      <c r="B81" s="831" t="s">
        <v>1441</v>
      </c>
      <c r="C81" s="831" t="s">
        <v>1079</v>
      </c>
      <c r="D81" s="831">
        <v>2</v>
      </c>
      <c r="E81" s="831">
        <v>180</v>
      </c>
      <c r="F81" s="732">
        <v>360</v>
      </c>
      <c r="G81" s="818"/>
      <c r="H81" s="796">
        <v>380</v>
      </c>
      <c r="I81" s="680"/>
      <c r="J81" s="680"/>
      <c r="K81" s="668"/>
      <c r="L81" s="668"/>
      <c r="M81" s="676"/>
      <c r="N81" s="668"/>
      <c r="O81" s="668"/>
      <c r="P81" s="668"/>
      <c r="Q81" s="668"/>
      <c r="R81" s="668"/>
      <c r="S81" s="668"/>
      <c r="T81" s="668"/>
      <c r="U81" s="680"/>
      <c r="V81" s="681"/>
      <c r="W81" s="681"/>
      <c r="X81" s="681"/>
      <c r="Y81" s="1144"/>
    </row>
    <row r="82" spans="1:25" x14ac:dyDescent="0.2">
      <c r="A82" s="1021"/>
      <c r="B82" s="831" t="s">
        <v>1442</v>
      </c>
      <c r="C82" s="831" t="s">
        <v>1079</v>
      </c>
      <c r="D82" s="831">
        <v>4</v>
      </c>
      <c r="E82" s="831">
        <v>180</v>
      </c>
      <c r="F82" s="732">
        <v>720</v>
      </c>
      <c r="G82" s="818"/>
      <c r="H82" s="796">
        <v>380</v>
      </c>
      <c r="I82" s="680"/>
      <c r="J82" s="680"/>
      <c r="K82" s="668"/>
      <c r="L82" s="668"/>
      <c r="M82" s="676"/>
      <c r="N82" s="668"/>
      <c r="O82" s="668"/>
      <c r="P82" s="668"/>
      <c r="Q82" s="668"/>
      <c r="R82" s="668"/>
      <c r="S82" s="668"/>
      <c r="T82" s="668"/>
      <c r="U82" s="680"/>
      <c r="V82" s="681"/>
      <c r="W82" s="681"/>
      <c r="X82" s="681"/>
      <c r="Y82" s="1144"/>
    </row>
    <row r="83" spans="1:25" x14ac:dyDescent="0.2">
      <c r="A83" s="1021"/>
      <c r="B83" s="831" t="s">
        <v>1443</v>
      </c>
      <c r="C83" s="831" t="s">
        <v>1079</v>
      </c>
      <c r="D83" s="831">
        <v>4</v>
      </c>
      <c r="E83" s="831">
        <v>180</v>
      </c>
      <c r="F83" s="732">
        <v>720</v>
      </c>
      <c r="G83" s="818"/>
      <c r="H83" s="796">
        <v>380</v>
      </c>
      <c r="I83" s="680"/>
      <c r="J83" s="680"/>
      <c r="K83" s="668"/>
      <c r="L83" s="668"/>
      <c r="M83" s="676"/>
      <c r="N83" s="668"/>
      <c r="O83" s="668"/>
      <c r="P83" s="668"/>
      <c r="Q83" s="668"/>
      <c r="R83" s="668"/>
      <c r="S83" s="668"/>
      <c r="T83" s="668"/>
      <c r="U83" s="680"/>
      <c r="V83" s="681"/>
      <c r="W83" s="681"/>
      <c r="X83" s="681"/>
      <c r="Y83" s="1144"/>
    </row>
    <row r="84" spans="1:25" x14ac:dyDescent="0.2">
      <c r="A84" s="1021"/>
      <c r="B84" s="831" t="s">
        <v>1380</v>
      </c>
      <c r="C84" s="831" t="s">
        <v>1079</v>
      </c>
      <c r="D84" s="831">
        <v>20</v>
      </c>
      <c r="E84" s="831">
        <v>108.33333333333334</v>
      </c>
      <c r="F84" s="732">
        <v>2166.666666666667</v>
      </c>
      <c r="G84" s="818"/>
      <c r="H84" s="796">
        <v>380</v>
      </c>
      <c r="I84" s="680"/>
      <c r="J84" s="680"/>
      <c r="K84" s="668"/>
      <c r="L84" s="668"/>
      <c r="M84" s="676"/>
      <c r="N84" s="668"/>
      <c r="O84" s="668"/>
      <c r="P84" s="668"/>
      <c r="Q84" s="668"/>
      <c r="R84" s="668"/>
      <c r="S84" s="668"/>
      <c r="T84" s="668"/>
      <c r="U84" s="680"/>
      <c r="V84" s="681"/>
      <c r="W84" s="681"/>
      <c r="X84" s="681"/>
      <c r="Y84" s="1144"/>
    </row>
    <row r="85" spans="1:25" x14ac:dyDescent="0.2">
      <c r="A85" s="1021"/>
      <c r="B85" s="831" t="s">
        <v>1384</v>
      </c>
      <c r="C85" s="831" t="s">
        <v>1079</v>
      </c>
      <c r="D85" s="831">
        <v>2</v>
      </c>
      <c r="E85" s="831">
        <v>1579.9</v>
      </c>
      <c r="F85" s="732">
        <v>3159.8</v>
      </c>
      <c r="G85" s="818"/>
      <c r="H85" s="796">
        <v>380</v>
      </c>
      <c r="I85" s="680"/>
      <c r="J85" s="680"/>
      <c r="K85" s="668"/>
      <c r="L85" s="668"/>
      <c r="M85" s="676"/>
      <c r="N85" s="668"/>
      <c r="O85" s="668"/>
      <c r="P85" s="668"/>
      <c r="Q85" s="668"/>
      <c r="R85" s="668"/>
      <c r="S85" s="668"/>
      <c r="T85" s="668"/>
      <c r="U85" s="680"/>
      <c r="V85" s="681"/>
      <c r="W85" s="681"/>
      <c r="X85" s="681"/>
      <c r="Y85" s="1144"/>
    </row>
    <row r="86" spans="1:25" x14ac:dyDescent="0.2">
      <c r="A86" s="1021"/>
      <c r="B86" s="831" t="s">
        <v>1385</v>
      </c>
      <c r="C86" s="831" t="s">
        <v>1079</v>
      </c>
      <c r="D86" s="831">
        <v>2</v>
      </c>
      <c r="E86" s="831">
        <v>1916.5</v>
      </c>
      <c r="F86" s="732">
        <v>3833</v>
      </c>
      <c r="G86" s="818"/>
      <c r="H86" s="796">
        <v>380</v>
      </c>
      <c r="I86" s="680"/>
      <c r="J86" s="680"/>
      <c r="K86" s="668"/>
      <c r="L86" s="668"/>
      <c r="M86" s="676"/>
      <c r="N86" s="668"/>
      <c r="O86" s="668"/>
      <c r="P86" s="668"/>
      <c r="Q86" s="668"/>
      <c r="R86" s="668"/>
      <c r="S86" s="668"/>
      <c r="T86" s="668"/>
      <c r="U86" s="680"/>
      <c r="V86" s="681"/>
      <c r="W86" s="681"/>
      <c r="X86" s="681"/>
      <c r="Y86" s="1144"/>
    </row>
    <row r="87" spans="1:25" x14ac:dyDescent="0.2">
      <c r="A87" s="1021"/>
      <c r="B87" s="831" t="s">
        <v>1386</v>
      </c>
      <c r="C87" s="831" t="s">
        <v>1079</v>
      </c>
      <c r="D87" s="831">
        <v>2</v>
      </c>
      <c r="E87" s="831">
        <v>742.4</v>
      </c>
      <c r="F87" s="732">
        <v>1484.8</v>
      </c>
      <c r="G87" s="818"/>
      <c r="H87" s="796">
        <v>380</v>
      </c>
      <c r="I87" s="680"/>
      <c r="J87" s="680"/>
      <c r="K87" s="668"/>
      <c r="L87" s="668"/>
      <c r="M87" s="676"/>
      <c r="N87" s="668"/>
      <c r="O87" s="668"/>
      <c r="P87" s="668"/>
      <c r="Q87" s="668"/>
      <c r="R87" s="668"/>
      <c r="S87" s="668"/>
      <c r="T87" s="668"/>
      <c r="U87" s="680"/>
      <c r="V87" s="681"/>
      <c r="W87" s="681"/>
      <c r="X87" s="681"/>
      <c r="Y87" s="1144"/>
    </row>
    <row r="88" spans="1:25" x14ac:dyDescent="0.2">
      <c r="A88" s="1021"/>
      <c r="B88" s="831" t="s">
        <v>1387</v>
      </c>
      <c r="C88" s="831" t="s">
        <v>1079</v>
      </c>
      <c r="D88" s="831">
        <v>2</v>
      </c>
      <c r="E88" s="831">
        <v>1421.6</v>
      </c>
      <c r="F88" s="732">
        <v>2843.2</v>
      </c>
      <c r="G88" s="818"/>
      <c r="H88" s="796">
        <v>380</v>
      </c>
      <c r="I88" s="680"/>
      <c r="J88" s="680"/>
      <c r="K88" s="668"/>
      <c r="L88" s="668"/>
      <c r="M88" s="676"/>
      <c r="N88" s="668"/>
      <c r="O88" s="668"/>
      <c r="P88" s="668"/>
      <c r="Q88" s="668"/>
      <c r="R88" s="668"/>
      <c r="S88" s="668"/>
      <c r="T88" s="668"/>
      <c r="U88" s="680"/>
      <c r="V88" s="681"/>
      <c r="W88" s="681"/>
      <c r="X88" s="681"/>
      <c r="Y88" s="1144"/>
    </row>
    <row r="89" spans="1:25" x14ac:dyDescent="0.2">
      <c r="A89" s="1021"/>
      <c r="B89" s="831" t="s">
        <v>1388</v>
      </c>
      <c r="C89" s="831" t="s">
        <v>1079</v>
      </c>
      <c r="D89" s="831">
        <v>2</v>
      </c>
      <c r="E89" s="831">
        <v>1774.3</v>
      </c>
      <c r="F89" s="732">
        <v>3548.6</v>
      </c>
      <c r="G89" s="818"/>
      <c r="H89" s="796">
        <v>380</v>
      </c>
      <c r="I89" s="680"/>
      <c r="J89" s="680"/>
      <c r="K89" s="668"/>
      <c r="L89" s="668"/>
      <c r="M89" s="676"/>
      <c r="N89" s="668"/>
      <c r="O89" s="668"/>
      <c r="P89" s="668"/>
      <c r="Q89" s="668"/>
      <c r="R89" s="668"/>
      <c r="S89" s="668"/>
      <c r="T89" s="668"/>
      <c r="U89" s="680"/>
      <c r="V89" s="681"/>
      <c r="W89" s="681"/>
      <c r="X89" s="681"/>
      <c r="Y89" s="1144"/>
    </row>
    <row r="90" spans="1:25" x14ac:dyDescent="0.2">
      <c r="A90" s="1021"/>
      <c r="B90" s="831" t="s">
        <v>1444</v>
      </c>
      <c r="C90" s="831" t="s">
        <v>1079</v>
      </c>
      <c r="D90" s="831">
        <v>5</v>
      </c>
      <c r="E90" s="831">
        <v>225</v>
      </c>
      <c r="F90" s="732">
        <v>1125</v>
      </c>
      <c r="G90" s="818"/>
      <c r="H90" s="796">
        <v>380</v>
      </c>
      <c r="I90" s="680"/>
      <c r="J90" s="680"/>
      <c r="K90" s="668"/>
      <c r="L90" s="668"/>
      <c r="M90" s="676"/>
      <c r="N90" s="668"/>
      <c r="O90" s="668"/>
      <c r="P90" s="668"/>
      <c r="Q90" s="668"/>
      <c r="R90" s="668"/>
      <c r="S90" s="668"/>
      <c r="T90" s="668"/>
      <c r="U90" s="680"/>
      <c r="V90" s="681"/>
      <c r="W90" s="681"/>
      <c r="X90" s="681"/>
      <c r="Y90" s="1144"/>
    </row>
    <row r="91" spans="1:25" hidden="1" x14ac:dyDescent="0.2">
      <c r="A91" s="1021"/>
      <c r="B91" s="831" t="s">
        <v>1445</v>
      </c>
      <c r="C91" s="831" t="s">
        <v>1079</v>
      </c>
      <c r="D91" s="831">
        <v>0</v>
      </c>
      <c r="E91" s="831">
        <v>342.2</v>
      </c>
      <c r="F91" s="732">
        <v>0</v>
      </c>
      <c r="G91" s="818"/>
      <c r="H91" s="796">
        <v>380</v>
      </c>
      <c r="I91" s="680"/>
      <c r="J91" s="680"/>
      <c r="K91" s="668"/>
      <c r="L91" s="668"/>
      <c r="M91" s="676"/>
      <c r="N91" s="668"/>
      <c r="O91" s="668"/>
      <c r="P91" s="668"/>
      <c r="Q91" s="668"/>
      <c r="R91" s="668"/>
      <c r="S91" s="668"/>
      <c r="T91" s="668"/>
      <c r="U91" s="680"/>
      <c r="V91" s="681"/>
      <c r="W91" s="681"/>
      <c r="X91" s="681"/>
      <c r="Y91" s="1144"/>
    </row>
    <row r="92" spans="1:25" x14ac:dyDescent="0.2">
      <c r="A92" s="1021"/>
      <c r="B92" s="831" t="s">
        <v>1390</v>
      </c>
      <c r="C92" s="831" t="s">
        <v>1079</v>
      </c>
      <c r="D92" s="831">
        <v>10</v>
      </c>
      <c r="E92" s="831">
        <v>105.3</v>
      </c>
      <c r="F92" s="732">
        <v>1053</v>
      </c>
      <c r="G92" s="818"/>
      <c r="H92" s="796">
        <v>380</v>
      </c>
      <c r="I92" s="680"/>
      <c r="J92" s="680"/>
      <c r="K92" s="668"/>
      <c r="L92" s="668"/>
      <c r="M92" s="676"/>
      <c r="N92" s="668"/>
      <c r="O92" s="668"/>
      <c r="P92" s="668"/>
      <c r="Q92" s="668"/>
      <c r="R92" s="668"/>
      <c r="S92" s="668"/>
      <c r="T92" s="668"/>
      <c r="U92" s="680"/>
      <c r="V92" s="681"/>
      <c r="W92" s="681"/>
      <c r="X92" s="681"/>
      <c r="Y92" s="1144"/>
    </row>
    <row r="93" spans="1:25" x14ac:dyDescent="0.2">
      <c r="A93" s="1021"/>
      <c r="B93" s="831" t="s">
        <v>1446</v>
      </c>
      <c r="C93" s="831" t="s">
        <v>1217</v>
      </c>
      <c r="D93" s="831">
        <v>10</v>
      </c>
      <c r="E93" s="831">
        <v>202.2</v>
      </c>
      <c r="F93" s="732">
        <v>2022</v>
      </c>
      <c r="G93" s="818"/>
      <c r="H93" s="796">
        <v>380</v>
      </c>
      <c r="I93" s="680"/>
      <c r="J93" s="680"/>
      <c r="K93" s="668"/>
      <c r="L93" s="668"/>
      <c r="M93" s="676"/>
      <c r="N93" s="668"/>
      <c r="O93" s="668"/>
      <c r="P93" s="668"/>
      <c r="Q93" s="668"/>
      <c r="R93" s="668"/>
      <c r="S93" s="668"/>
      <c r="T93" s="668"/>
      <c r="U93" s="680"/>
      <c r="V93" s="681"/>
      <c r="W93" s="681"/>
      <c r="X93" s="681"/>
      <c r="Y93" s="1144"/>
    </row>
    <row r="94" spans="1:25" x14ac:dyDescent="0.2">
      <c r="A94" s="1021"/>
      <c r="B94" s="831" t="s">
        <v>1447</v>
      </c>
      <c r="C94" s="831" t="s">
        <v>1079</v>
      </c>
      <c r="D94" s="831">
        <v>5</v>
      </c>
      <c r="E94" s="831">
        <v>228.4</v>
      </c>
      <c r="F94" s="732">
        <v>1142</v>
      </c>
      <c r="G94" s="818"/>
      <c r="H94" s="796">
        <v>380</v>
      </c>
      <c r="I94" s="680"/>
      <c r="J94" s="680"/>
      <c r="K94" s="668"/>
      <c r="L94" s="668"/>
      <c r="M94" s="676"/>
      <c r="N94" s="668"/>
      <c r="O94" s="668"/>
      <c r="P94" s="668"/>
      <c r="Q94" s="668"/>
      <c r="R94" s="668"/>
      <c r="S94" s="668"/>
      <c r="T94" s="668"/>
      <c r="U94" s="680"/>
      <c r="V94" s="681"/>
      <c r="W94" s="681"/>
      <c r="X94" s="681"/>
      <c r="Y94" s="1144"/>
    </row>
    <row r="95" spans="1:25" x14ac:dyDescent="0.2">
      <c r="A95" s="1021"/>
      <c r="B95" s="831" t="s">
        <v>1448</v>
      </c>
      <c r="C95" s="831" t="s">
        <v>1398</v>
      </c>
      <c r="D95" s="831">
        <v>6</v>
      </c>
      <c r="E95" s="831">
        <v>150</v>
      </c>
      <c r="F95" s="732">
        <v>900</v>
      </c>
      <c r="G95" s="818"/>
      <c r="H95" s="796">
        <v>380</v>
      </c>
      <c r="I95" s="680"/>
      <c r="J95" s="680"/>
      <c r="K95" s="668"/>
      <c r="L95" s="668"/>
      <c r="M95" s="676"/>
      <c r="N95" s="668"/>
      <c r="O95" s="668"/>
      <c r="P95" s="668"/>
      <c r="Q95" s="668"/>
      <c r="R95" s="668"/>
      <c r="S95" s="668"/>
      <c r="T95" s="668"/>
      <c r="U95" s="680"/>
      <c r="V95" s="681"/>
      <c r="W95" s="681"/>
      <c r="X95" s="681"/>
      <c r="Y95" s="1144"/>
    </row>
    <row r="96" spans="1:25" x14ac:dyDescent="0.2">
      <c r="A96" s="1021"/>
      <c r="B96" s="831" t="s">
        <v>1401</v>
      </c>
      <c r="C96" s="831" t="s">
        <v>1398</v>
      </c>
      <c r="D96" s="831">
        <v>1</v>
      </c>
      <c r="E96" s="831">
        <v>72.400000000000006</v>
      </c>
      <c r="F96" s="732">
        <v>72.400000000000006</v>
      </c>
      <c r="G96" s="818"/>
      <c r="H96" s="796">
        <v>380</v>
      </c>
      <c r="I96" s="680"/>
      <c r="J96" s="680"/>
      <c r="K96" s="668"/>
      <c r="L96" s="668"/>
      <c r="M96" s="676"/>
      <c r="N96" s="668"/>
      <c r="O96" s="668"/>
      <c r="P96" s="668"/>
      <c r="Q96" s="668"/>
      <c r="R96" s="668"/>
      <c r="S96" s="668"/>
      <c r="T96" s="668"/>
      <c r="U96" s="680"/>
      <c r="V96" s="681"/>
      <c r="W96" s="681"/>
      <c r="X96" s="681"/>
      <c r="Y96" s="1144"/>
    </row>
    <row r="97" spans="1:25" s="681" customFormat="1" ht="12" hidden="1" x14ac:dyDescent="0.2">
      <c r="A97" s="1021"/>
      <c r="B97" s="831"/>
      <c r="C97" s="831"/>
      <c r="D97" s="831"/>
      <c r="E97" s="732"/>
      <c r="F97" s="831"/>
      <c r="G97" s="817"/>
      <c r="H97" s="815"/>
      <c r="I97" s="680"/>
      <c r="J97" s="680"/>
      <c r="K97" s="668"/>
      <c r="L97" s="668"/>
      <c r="M97" s="676"/>
      <c r="N97" s="668"/>
      <c r="O97" s="668"/>
      <c r="P97" s="668"/>
      <c r="Q97" s="668"/>
      <c r="R97" s="678"/>
      <c r="S97" s="678"/>
      <c r="T97" s="678"/>
      <c r="U97" s="677"/>
      <c r="V97" s="739"/>
      <c r="W97" s="739"/>
      <c r="X97" s="739"/>
      <c r="Y97" s="739"/>
    </row>
    <row r="98" spans="1:25" x14ac:dyDescent="0.2">
      <c r="A98" s="680"/>
      <c r="B98" s="1150"/>
      <c r="C98" s="638"/>
      <c r="D98" s="638"/>
      <c r="E98" s="1151"/>
      <c r="F98" s="1026"/>
      <c r="G98" s="735"/>
      <c r="H98" s="681"/>
      <c r="I98" s="681"/>
      <c r="J98" s="681"/>
      <c r="K98" s="681"/>
      <c r="L98" s="681"/>
      <c r="M98" s="681"/>
      <c r="N98" s="681"/>
      <c r="O98" s="678"/>
      <c r="P98" s="678"/>
      <c r="Q98" s="678"/>
      <c r="V98" s="148"/>
    </row>
    <row r="99" spans="1:25" x14ac:dyDescent="0.2">
      <c r="A99" s="680"/>
      <c r="B99" s="878" t="s">
        <v>826</v>
      </c>
      <c r="C99" s="920"/>
      <c r="D99" s="920"/>
      <c r="E99" s="920"/>
      <c r="F99" s="1152">
        <v>111.58272666666667</v>
      </c>
      <c r="G99" s="735"/>
      <c r="H99" s="681"/>
      <c r="I99" s="681"/>
      <c r="J99" s="681"/>
      <c r="K99" s="681"/>
      <c r="L99" s="681"/>
      <c r="M99" s="681"/>
      <c r="N99" s="681"/>
      <c r="O99" s="678"/>
      <c r="P99" s="678"/>
      <c r="Q99" s="678"/>
      <c r="R99" s="677"/>
      <c r="S99" s="677"/>
      <c r="T99" s="677"/>
      <c r="V99" s="148"/>
    </row>
    <row r="100" spans="1:25" s="964" customFormat="1" ht="11.25" customHeight="1" x14ac:dyDescent="0.2">
      <c r="A100" s="955"/>
      <c r="B100" s="1051"/>
      <c r="F100" s="1017"/>
      <c r="H100" s="1153"/>
      <c r="P100" s="966"/>
      <c r="Q100" s="966"/>
      <c r="R100" s="966"/>
      <c r="S100" s="966"/>
      <c r="T100" s="966"/>
      <c r="U100" s="966"/>
      <c r="V100" s="966"/>
    </row>
    <row r="101" spans="1:25" s="955" customFormat="1" x14ac:dyDescent="0.2">
      <c r="A101" s="955" t="s">
        <v>827</v>
      </c>
      <c r="B101" s="955" t="s">
        <v>670</v>
      </c>
      <c r="C101" s="148"/>
      <c r="E101" s="148" t="s">
        <v>828</v>
      </c>
      <c r="I101" s="1140">
        <v>0.83379999999999999</v>
      </c>
      <c r="J101" s="998" t="s">
        <v>617</v>
      </c>
      <c r="K101" s="998"/>
      <c r="P101" s="1091"/>
      <c r="Q101" s="1091"/>
      <c r="R101" s="1091"/>
      <c r="S101" s="1091"/>
      <c r="T101" s="1091"/>
      <c r="U101" s="1091"/>
      <c r="V101" s="1091"/>
    </row>
    <row r="102" spans="1:25" s="668" customFormat="1" ht="22.5" x14ac:dyDescent="0.2">
      <c r="A102" s="1021"/>
      <c r="B102" s="1037" t="s">
        <v>672</v>
      </c>
      <c r="C102" s="888" t="s">
        <v>663</v>
      </c>
      <c r="D102" s="1037" t="s">
        <v>673</v>
      </c>
      <c r="E102" s="888" t="s">
        <v>674</v>
      </c>
      <c r="F102" s="1038" t="s">
        <v>675</v>
      </c>
      <c r="M102" s="676"/>
    </row>
    <row r="103" spans="1:25" s="668" customFormat="1" ht="11.25" x14ac:dyDescent="0.2">
      <c r="A103" s="1021"/>
      <c r="B103" s="1039" t="s">
        <v>1449</v>
      </c>
      <c r="C103" s="1039" t="s">
        <v>1079</v>
      </c>
      <c r="D103" s="1039">
        <v>4</v>
      </c>
      <c r="E103" s="1039">
        <v>51.6</v>
      </c>
      <c r="F103" s="1040">
        <v>206.4</v>
      </c>
      <c r="M103" s="676"/>
    </row>
    <row r="104" spans="1:25" s="668" customFormat="1" ht="11.25" x14ac:dyDescent="0.2">
      <c r="A104" s="1021"/>
      <c r="B104" s="1039" t="s">
        <v>1403</v>
      </c>
      <c r="C104" s="1039" t="s">
        <v>1079</v>
      </c>
      <c r="D104" s="1039">
        <v>10</v>
      </c>
      <c r="E104" s="1039">
        <v>17</v>
      </c>
      <c r="F104" s="1040">
        <v>170</v>
      </c>
      <c r="M104" s="676"/>
    </row>
    <row r="105" spans="1:25" s="668" customFormat="1" ht="11.25" x14ac:dyDescent="0.2">
      <c r="A105" s="1021"/>
      <c r="B105" s="1039" t="s">
        <v>1404</v>
      </c>
      <c r="C105" s="1039" t="s">
        <v>1079</v>
      </c>
      <c r="D105" s="1039">
        <v>10</v>
      </c>
      <c r="E105" s="1039">
        <v>6.5</v>
      </c>
      <c r="F105" s="1040">
        <v>65</v>
      </c>
      <c r="M105" s="676"/>
    </row>
    <row r="106" spans="1:25" s="668" customFormat="1" ht="12.6" customHeight="1" x14ac:dyDescent="0.2">
      <c r="A106" s="1021"/>
      <c r="B106" s="1039" t="s">
        <v>1405</v>
      </c>
      <c r="C106" s="1039" t="s">
        <v>1406</v>
      </c>
      <c r="D106" s="1039">
        <v>2</v>
      </c>
      <c r="E106" s="1039">
        <v>196.2</v>
      </c>
      <c r="F106" s="1040">
        <v>392.4</v>
      </c>
      <c r="I106" s="1029"/>
      <c r="M106" s="676"/>
    </row>
    <row r="107" spans="1:25" s="668" customFormat="1" ht="11.25" x14ac:dyDescent="0.2">
      <c r="A107" s="1021"/>
      <c r="B107" s="1041" t="s">
        <v>676</v>
      </c>
      <c r="C107" s="1041"/>
      <c r="D107" s="638"/>
      <c r="E107" s="1042"/>
      <c r="F107" s="1154">
        <v>833.8</v>
      </c>
      <c r="M107" s="676"/>
    </row>
    <row r="108" spans="1:25" x14ac:dyDescent="0.2">
      <c r="O108" s="4"/>
      <c r="R108" s="678"/>
      <c r="S108" s="678"/>
      <c r="T108" s="678"/>
      <c r="V108" s="148"/>
    </row>
    <row r="109" spans="1:25" s="680" customFormat="1" ht="13.9" customHeight="1" x14ac:dyDescent="0.2">
      <c r="A109" s="955" t="s">
        <v>829</v>
      </c>
      <c r="B109" s="1033" t="s">
        <v>830</v>
      </c>
      <c r="C109" s="998"/>
      <c r="D109" s="998"/>
      <c r="E109" s="998"/>
      <c r="F109" s="955"/>
      <c r="G109" s="955"/>
      <c r="H109" s="998"/>
      <c r="I109" s="974">
        <v>418.50554000000005</v>
      </c>
      <c r="J109" s="1155" t="s">
        <v>617</v>
      </c>
      <c r="K109" s="677"/>
      <c r="O109" s="677"/>
      <c r="P109" s="677"/>
      <c r="Q109" s="677"/>
      <c r="R109" s="677"/>
      <c r="S109" s="677"/>
      <c r="T109" s="677"/>
      <c r="U109" s="677"/>
    </row>
    <row r="110" spans="1:25" s="955" customFormat="1" x14ac:dyDescent="0.2">
      <c r="C110" s="148"/>
      <c r="E110" s="148"/>
      <c r="I110" s="1140"/>
      <c r="J110" s="998"/>
      <c r="K110" s="998"/>
      <c r="P110" s="1091"/>
      <c r="Q110" s="1091"/>
      <c r="R110" s="1091"/>
      <c r="S110" s="1091"/>
      <c r="T110" s="1091"/>
      <c r="U110" s="1091"/>
      <c r="V110" s="1091"/>
    </row>
    <row r="111" spans="1:25" s="680" customFormat="1" x14ac:dyDescent="0.2">
      <c r="A111" s="955" t="s">
        <v>831</v>
      </c>
      <c r="B111" s="680" t="s">
        <v>832</v>
      </c>
      <c r="D111" s="148" t="s">
        <v>828</v>
      </c>
      <c r="I111" s="1144">
        <v>15.5556</v>
      </c>
      <c r="J111" s="680" t="s">
        <v>661</v>
      </c>
      <c r="L111" s="677"/>
      <c r="P111" s="677"/>
      <c r="Q111" s="677"/>
      <c r="R111" s="677"/>
      <c r="S111" s="677"/>
      <c r="T111" s="677"/>
      <c r="U111" s="677"/>
      <c r="V111" s="677"/>
    </row>
    <row r="112" spans="1:25" s="680" customFormat="1" ht="8.25" customHeight="1" x14ac:dyDescent="0.2">
      <c r="D112" s="148"/>
      <c r="I112" s="1144"/>
      <c r="L112" s="677"/>
      <c r="P112" s="677"/>
      <c r="Q112" s="677"/>
      <c r="R112" s="677"/>
      <c r="S112" s="677"/>
      <c r="T112" s="677"/>
      <c r="U112" s="677"/>
      <c r="V112" s="677"/>
    </row>
    <row r="113" spans="1:22" s="998" customFormat="1" ht="12" x14ac:dyDescent="0.2">
      <c r="A113" s="955" t="s">
        <v>833</v>
      </c>
      <c r="B113" s="999" t="s">
        <v>683</v>
      </c>
      <c r="I113" s="1917">
        <v>284.31646447777331</v>
      </c>
      <c r="J113" s="998" t="s">
        <v>617</v>
      </c>
      <c r="P113" s="983"/>
      <c r="Q113" s="983"/>
      <c r="R113" s="983"/>
      <c r="S113" s="983"/>
      <c r="T113" s="983"/>
      <c r="U113" s="983"/>
      <c r="V113" s="983"/>
    </row>
    <row r="114" spans="1:22" s="964" customFormat="1" ht="12" x14ac:dyDescent="0.2">
      <c r="A114" s="955"/>
      <c r="B114" s="1048" t="s">
        <v>509</v>
      </c>
      <c r="C114" s="967"/>
      <c r="D114" s="979">
        <v>29692</v>
      </c>
      <c r="E114" s="964" t="s">
        <v>834</v>
      </c>
      <c r="F114" s="967">
        <v>8.9062855699999997</v>
      </c>
      <c r="G114" s="964" t="s">
        <v>835</v>
      </c>
      <c r="I114" s="1153">
        <v>264.44543114443997</v>
      </c>
      <c r="J114" s="964" t="s">
        <v>15</v>
      </c>
      <c r="L114" s="998"/>
      <c r="O114" s="979"/>
      <c r="P114" s="966"/>
      <c r="Q114" s="966"/>
      <c r="R114" s="966"/>
      <c r="S114" s="966"/>
      <c r="T114" s="966"/>
      <c r="U114" s="966"/>
      <c r="V114" s="966"/>
    </row>
    <row r="115" spans="1:22" s="964" customFormat="1" ht="11.25" customHeight="1" x14ac:dyDescent="0.2">
      <c r="A115" s="955"/>
      <c r="B115" s="1051" t="s">
        <v>686</v>
      </c>
      <c r="D115" s="152">
        <v>26.400000000000002</v>
      </c>
      <c r="E115" s="964" t="s">
        <v>687</v>
      </c>
      <c r="F115" s="1017">
        <v>186.75</v>
      </c>
      <c r="G115" s="964" t="s">
        <v>836</v>
      </c>
      <c r="I115" s="1153">
        <v>4.930200000000001</v>
      </c>
      <c r="J115" s="964" t="s">
        <v>15</v>
      </c>
      <c r="L115" s="998"/>
      <c r="P115" s="966"/>
      <c r="Q115" s="966"/>
      <c r="R115" s="966"/>
      <c r="S115" s="966"/>
      <c r="T115" s="966"/>
      <c r="U115" s="966"/>
      <c r="V115" s="966"/>
    </row>
    <row r="116" spans="1:22" s="964" customFormat="1" ht="11.25" customHeight="1" x14ac:dyDescent="0.2">
      <c r="A116" s="955"/>
      <c r="B116" s="1051"/>
      <c r="F116" s="1017"/>
      <c r="H116" s="1153"/>
      <c r="L116" s="998"/>
      <c r="P116" s="966"/>
      <c r="Q116" s="966"/>
      <c r="R116" s="966"/>
      <c r="S116" s="966"/>
      <c r="T116" s="966"/>
      <c r="U116" s="966"/>
      <c r="V116" s="966"/>
    </row>
    <row r="117" spans="1:22" s="681" customFormat="1" ht="13.15" customHeight="1" x14ac:dyDescent="0.2">
      <c r="A117" s="680"/>
      <c r="B117" s="1072" t="s">
        <v>688</v>
      </c>
      <c r="C117" s="1072"/>
      <c r="D117" s="1072"/>
      <c r="F117" s="961"/>
      <c r="I117" s="961">
        <v>14.940833333333332</v>
      </c>
      <c r="J117" s="1072" t="s">
        <v>617</v>
      </c>
      <c r="M117" s="678"/>
    </row>
    <row r="118" spans="1:22" s="668" customFormat="1" ht="22.5" x14ac:dyDescent="0.2">
      <c r="A118" s="1021"/>
      <c r="B118" s="1037" t="s">
        <v>689</v>
      </c>
      <c r="C118" s="888" t="s">
        <v>663</v>
      </c>
      <c r="D118" s="1037" t="s">
        <v>673</v>
      </c>
      <c r="E118" s="888" t="s">
        <v>674</v>
      </c>
      <c r="F118" s="1038" t="s">
        <v>675</v>
      </c>
      <c r="M118" s="676"/>
    </row>
    <row r="119" spans="1:22" s="668" customFormat="1" ht="11.25" x14ac:dyDescent="0.2">
      <c r="A119" s="1021"/>
      <c r="B119" s="1039" t="s">
        <v>1407</v>
      </c>
      <c r="C119" s="1039" t="s">
        <v>1079</v>
      </c>
      <c r="D119" s="1039">
        <v>10</v>
      </c>
      <c r="E119" s="1056">
        <v>291.66666666666669</v>
      </c>
      <c r="F119" s="1040">
        <v>2916.666666666667</v>
      </c>
      <c r="M119" s="676"/>
    </row>
    <row r="120" spans="1:22" s="668" customFormat="1" ht="11.25" x14ac:dyDescent="0.2">
      <c r="A120" s="1021"/>
      <c r="B120" s="1039" t="s">
        <v>1408</v>
      </c>
      <c r="C120" s="1039" t="s">
        <v>1079</v>
      </c>
      <c r="D120" s="1039">
        <v>5</v>
      </c>
      <c r="E120" s="1056">
        <v>54.166666666666671</v>
      </c>
      <c r="F120" s="1040">
        <v>270.83333333333337</v>
      </c>
      <c r="M120" s="676"/>
    </row>
    <row r="121" spans="1:22" s="668" customFormat="1" ht="11.25" x14ac:dyDescent="0.2">
      <c r="A121" s="1021"/>
      <c r="B121" s="1039" t="s">
        <v>1409</v>
      </c>
      <c r="C121" s="1039" t="s">
        <v>1079</v>
      </c>
      <c r="D121" s="1039">
        <v>2</v>
      </c>
      <c r="E121" s="1056">
        <v>250</v>
      </c>
      <c r="F121" s="1040">
        <v>500</v>
      </c>
      <c r="M121" s="676"/>
    </row>
    <row r="122" spans="1:22" s="668" customFormat="1" ht="12.6" customHeight="1" x14ac:dyDescent="0.2">
      <c r="A122" s="1021"/>
      <c r="B122" s="1039" t="s">
        <v>1410</v>
      </c>
      <c r="C122" s="1039" t="s">
        <v>1079</v>
      </c>
      <c r="D122" s="1039">
        <v>5</v>
      </c>
      <c r="E122" s="1056">
        <v>208</v>
      </c>
      <c r="F122" s="1040">
        <v>1040</v>
      </c>
      <c r="I122" s="1029"/>
      <c r="M122" s="676"/>
    </row>
    <row r="123" spans="1:22" s="668" customFormat="1" ht="11.25" x14ac:dyDescent="0.2">
      <c r="A123" s="1021"/>
      <c r="B123" s="1039" t="s">
        <v>1411</v>
      </c>
      <c r="C123" s="1039" t="s">
        <v>1079</v>
      </c>
      <c r="D123" s="1039">
        <v>4</v>
      </c>
      <c r="E123" s="1056">
        <v>83.333333333333343</v>
      </c>
      <c r="F123" s="1040">
        <v>333.33333333333337</v>
      </c>
      <c r="M123" s="676"/>
    </row>
    <row r="124" spans="1:22" s="668" customFormat="1" ht="11.25" x14ac:dyDescent="0.2">
      <c r="A124" s="1021"/>
      <c r="B124" s="1039" t="s">
        <v>1412</v>
      </c>
      <c r="C124" s="1039" t="s">
        <v>1217</v>
      </c>
      <c r="D124" s="1039">
        <v>100</v>
      </c>
      <c r="E124" s="1056">
        <v>98.8</v>
      </c>
      <c r="F124" s="1040">
        <v>9880</v>
      </c>
      <c r="M124" s="676"/>
    </row>
    <row r="125" spans="1:22" s="668" customFormat="1" ht="11.25" x14ac:dyDescent="0.2">
      <c r="A125" s="1021"/>
      <c r="B125" s="1041" t="s">
        <v>676</v>
      </c>
      <c r="C125" s="1041"/>
      <c r="D125" s="638"/>
      <c r="E125" s="1042"/>
      <c r="F125" s="1154">
        <v>14940.833333333332</v>
      </c>
      <c r="M125" s="676"/>
    </row>
    <row r="126" spans="1:22" s="668" customFormat="1" ht="11.25" x14ac:dyDescent="0.2">
      <c r="A126" s="1021"/>
      <c r="B126" s="1156"/>
      <c r="C126" s="1156"/>
      <c r="F126" s="817"/>
      <c r="M126" s="676"/>
    </row>
    <row r="127" spans="1:22" s="680" customFormat="1" ht="12" x14ac:dyDescent="0.2">
      <c r="A127" s="680" t="s">
        <v>837</v>
      </c>
      <c r="B127" s="999" t="s">
        <v>694</v>
      </c>
      <c r="I127" s="1140">
        <v>77.243411760000001</v>
      </c>
      <c r="J127" s="680" t="s">
        <v>617</v>
      </c>
      <c r="O127" s="677"/>
      <c r="P127" s="677"/>
      <c r="Q127" s="677"/>
      <c r="R127" s="677"/>
      <c r="S127" s="677"/>
      <c r="T127" s="677"/>
      <c r="U127" s="677"/>
    </row>
    <row r="128" spans="1:22" s="1072" customFormat="1" ht="12" x14ac:dyDescent="0.2">
      <c r="A128" s="681"/>
      <c r="B128" s="681" t="s">
        <v>695</v>
      </c>
      <c r="C128" s="1062">
        <v>1197.2548999999999</v>
      </c>
      <c r="D128" s="1061" t="s">
        <v>696</v>
      </c>
      <c r="E128" s="1062">
        <v>5</v>
      </c>
      <c r="F128" s="1060" t="s">
        <v>637</v>
      </c>
      <c r="G128" s="1062">
        <v>12</v>
      </c>
      <c r="H128" s="681"/>
      <c r="I128" s="1283">
        <v>2.8734117599999998</v>
      </c>
      <c r="J128" s="961" t="s">
        <v>617</v>
      </c>
      <c r="K128" s="961"/>
      <c r="L128" s="960" t="s">
        <v>838</v>
      </c>
      <c r="P128" s="747"/>
      <c r="Q128" s="747"/>
      <c r="R128" s="747"/>
      <c r="S128" s="747"/>
      <c r="T128" s="747"/>
      <c r="U128" s="747"/>
      <c r="V128" s="747"/>
    </row>
    <row r="129" spans="1:22" s="990" customFormat="1" hidden="1" x14ac:dyDescent="0.2">
      <c r="A129" s="964"/>
      <c r="B129" s="1157" t="s">
        <v>699</v>
      </c>
      <c r="C129" s="148"/>
      <c r="D129" s="986" t="s">
        <v>698</v>
      </c>
      <c r="E129" s="967"/>
      <c r="F129" s="964"/>
      <c r="G129" s="964"/>
      <c r="H129" s="976">
        <v>3.42</v>
      </c>
      <c r="I129" s="682"/>
      <c r="J129" s="961" t="s">
        <v>617</v>
      </c>
      <c r="K129" s="961"/>
      <c r="L129" s="960" t="s">
        <v>839</v>
      </c>
      <c r="N129" s="964" t="s">
        <v>840</v>
      </c>
      <c r="O129" s="964"/>
      <c r="P129" s="1158"/>
      <c r="Q129" s="966"/>
      <c r="R129" s="966"/>
      <c r="S129" s="966"/>
      <c r="T129" s="966"/>
      <c r="U129" s="966"/>
      <c r="V129" s="966"/>
    </row>
    <row r="130" spans="1:22" s="681" customFormat="1" ht="12" x14ac:dyDescent="0.2">
      <c r="A130" s="964"/>
      <c r="B130" s="2070" t="s">
        <v>841</v>
      </c>
      <c r="C130" s="2070"/>
      <c r="D130" s="986" t="s">
        <v>698</v>
      </c>
      <c r="E130" s="967"/>
      <c r="F130" s="681">
        <v>33</v>
      </c>
      <c r="G130" s="681" t="s">
        <v>842</v>
      </c>
      <c r="H130" s="1159">
        <v>2150</v>
      </c>
      <c r="I130" s="682">
        <v>70.95</v>
      </c>
      <c r="J130" s="961" t="s">
        <v>617</v>
      </c>
      <c r="N130" s="964"/>
      <c r="P130" s="678"/>
      <c r="Q130" s="678"/>
      <c r="R130" s="678"/>
      <c r="S130" s="678"/>
      <c r="T130" s="678"/>
      <c r="U130" s="678"/>
      <c r="V130" s="678"/>
    </row>
    <row r="131" spans="1:22" s="990" customFormat="1" x14ac:dyDescent="0.2">
      <c r="A131" s="964"/>
      <c r="B131" s="1157" t="s">
        <v>843</v>
      </c>
      <c r="C131" s="148"/>
      <c r="E131" s="148" t="s">
        <v>828</v>
      </c>
      <c r="F131" s="964"/>
      <c r="G131" s="964"/>
      <c r="H131" s="967"/>
      <c r="I131" s="682">
        <v>3.42</v>
      </c>
      <c r="J131" s="986" t="s">
        <v>617</v>
      </c>
      <c r="K131" s="986"/>
      <c r="N131" s="964"/>
      <c r="O131" s="964"/>
      <c r="P131" s="1158"/>
      <c r="Q131" s="966"/>
      <c r="R131" s="966"/>
      <c r="S131" s="966"/>
      <c r="T131" s="966"/>
      <c r="U131" s="966"/>
      <c r="V131" s="966"/>
    </row>
    <row r="132" spans="1:22" s="681" customFormat="1" x14ac:dyDescent="0.2">
      <c r="A132" s="964"/>
      <c r="B132" s="1157" t="s">
        <v>844</v>
      </c>
      <c r="C132" s="148"/>
      <c r="D132" s="990"/>
      <c r="E132" s="967"/>
      <c r="F132" s="964"/>
      <c r="G132" s="986" t="s">
        <v>698</v>
      </c>
      <c r="H132" s="967"/>
      <c r="I132" s="682">
        <v>0</v>
      </c>
      <c r="J132" s="986" t="s">
        <v>617</v>
      </c>
      <c r="L132" s="682"/>
      <c r="P132" s="678"/>
      <c r="Q132" s="678"/>
      <c r="R132" s="678"/>
      <c r="S132" s="678"/>
      <c r="T132" s="678"/>
      <c r="U132" s="678"/>
      <c r="V132" s="678"/>
    </row>
    <row r="133" spans="1:22" s="681" customFormat="1" ht="12" x14ac:dyDescent="0.2">
      <c r="A133" s="680"/>
      <c r="P133" s="678"/>
      <c r="Q133" s="678"/>
      <c r="R133" s="678"/>
      <c r="S133" s="678"/>
      <c r="T133" s="678"/>
      <c r="U133" s="678"/>
      <c r="V133" s="678"/>
    </row>
    <row r="134" spans="1:22" s="964" customFormat="1" hidden="1" x14ac:dyDescent="0.2">
      <c r="A134" s="955"/>
      <c r="B134" s="999" t="s">
        <v>714</v>
      </c>
      <c r="C134" s="148"/>
      <c r="D134" s="960"/>
      <c r="E134" s="148" t="s">
        <v>828</v>
      </c>
      <c r="F134" s="960"/>
      <c r="G134" s="960"/>
      <c r="H134" s="960"/>
      <c r="I134" s="958"/>
      <c r="J134" s="998" t="s">
        <v>617</v>
      </c>
      <c r="K134" s="998"/>
      <c r="P134" s="966"/>
      <c r="Q134" s="966"/>
      <c r="R134" s="966"/>
      <c r="S134" s="966"/>
      <c r="T134" s="966"/>
      <c r="U134" s="966"/>
      <c r="V134" s="966"/>
    </row>
    <row r="135" spans="1:22" hidden="1" x14ac:dyDescent="0.2"/>
    <row r="136" spans="1:22" s="955" customFormat="1" ht="12" x14ac:dyDescent="0.2">
      <c r="A136" s="955" t="s">
        <v>845</v>
      </c>
      <c r="B136" s="999" t="s">
        <v>704</v>
      </c>
      <c r="I136" s="989">
        <v>159.90412444894335</v>
      </c>
      <c r="J136" s="998" t="s">
        <v>617</v>
      </c>
      <c r="K136" s="998">
        <v>159904.12444894333</v>
      </c>
      <c r="O136" s="989"/>
      <c r="Q136" s="1091"/>
      <c r="R136" s="1091"/>
      <c r="S136" s="1091"/>
      <c r="T136" s="1091"/>
      <c r="U136" s="1091"/>
      <c r="V136" s="1091"/>
    </row>
    <row r="137" spans="1:22" s="964" customFormat="1" ht="12" x14ac:dyDescent="0.2">
      <c r="A137" s="955"/>
      <c r="B137" s="1059" t="s">
        <v>705</v>
      </c>
      <c r="G137" s="967"/>
      <c r="I137" s="1058">
        <v>24.8358825</v>
      </c>
      <c r="J137" s="964" t="s">
        <v>15</v>
      </c>
      <c r="L137" s="956" t="s">
        <v>846</v>
      </c>
      <c r="P137" s="966"/>
      <c r="Q137" s="966"/>
      <c r="R137" s="966"/>
      <c r="S137" s="966"/>
      <c r="T137" s="966"/>
      <c r="U137" s="966"/>
      <c r="V137" s="966"/>
    </row>
    <row r="138" spans="1:22" s="964" customFormat="1" ht="12" x14ac:dyDescent="0.2">
      <c r="A138" s="955"/>
      <c r="B138" s="978" t="s">
        <v>706</v>
      </c>
      <c r="I138" s="1058">
        <v>22.659702383528792</v>
      </c>
      <c r="J138" s="964" t="s">
        <v>15</v>
      </c>
      <c r="L138" s="956" t="s">
        <v>847</v>
      </c>
      <c r="P138" s="966"/>
      <c r="Q138" s="966"/>
      <c r="R138" s="966"/>
      <c r="S138" s="966"/>
      <c r="T138" s="966"/>
      <c r="U138" s="966"/>
      <c r="V138" s="966"/>
    </row>
    <row r="139" spans="1:22" s="964" customFormat="1" ht="12" x14ac:dyDescent="0.2">
      <c r="A139" s="955"/>
      <c r="B139" s="978" t="s">
        <v>707</v>
      </c>
      <c r="I139" s="1058">
        <v>12.262332960618883</v>
      </c>
      <c r="J139" s="964" t="s">
        <v>15</v>
      </c>
      <c r="L139" s="956" t="s">
        <v>848</v>
      </c>
      <c r="P139" s="966"/>
      <c r="Q139" s="966"/>
      <c r="R139" s="966"/>
      <c r="S139" s="966"/>
      <c r="T139" s="966"/>
      <c r="U139" s="966"/>
      <c r="V139" s="966"/>
    </row>
    <row r="140" spans="1:22" s="964" customFormat="1" ht="12" x14ac:dyDescent="0.2">
      <c r="A140" s="955"/>
      <c r="B140" s="978" t="s">
        <v>708</v>
      </c>
      <c r="I140" s="1058">
        <v>79.819231978995063</v>
      </c>
      <c r="J140" s="964" t="s">
        <v>15</v>
      </c>
      <c r="L140" s="956" t="s">
        <v>847</v>
      </c>
      <c r="P140" s="966"/>
      <c r="Q140" s="966"/>
      <c r="R140" s="966"/>
      <c r="S140" s="966"/>
      <c r="T140" s="966"/>
      <c r="U140" s="966"/>
      <c r="V140" s="966"/>
    </row>
    <row r="141" spans="1:22" s="964" customFormat="1" ht="12" x14ac:dyDescent="0.2">
      <c r="A141" s="955"/>
      <c r="B141" s="978" t="s">
        <v>709</v>
      </c>
      <c r="I141" s="1058">
        <v>0</v>
      </c>
      <c r="J141" s="964" t="s">
        <v>15</v>
      </c>
      <c r="L141" s="956"/>
      <c r="P141" s="966"/>
      <c r="Q141" s="966"/>
      <c r="R141" s="966"/>
      <c r="S141" s="966"/>
      <c r="T141" s="966"/>
      <c r="U141" s="966"/>
      <c r="V141" s="966"/>
    </row>
    <row r="142" spans="1:22" s="964" customFormat="1" ht="12" x14ac:dyDescent="0.2">
      <c r="A142" s="955"/>
      <c r="B142" s="978" t="s">
        <v>710</v>
      </c>
      <c r="I142" s="967">
        <v>20.326974625800595</v>
      </c>
      <c r="J142" s="964" t="s">
        <v>15</v>
      </c>
      <c r="L142" s="956" t="s">
        <v>849</v>
      </c>
      <c r="P142" s="966"/>
      <c r="Q142" s="966"/>
      <c r="R142" s="966"/>
      <c r="S142" s="966"/>
      <c r="T142" s="966"/>
      <c r="U142" s="966"/>
      <c r="V142" s="966"/>
    </row>
    <row r="143" spans="1:22" s="964" customFormat="1" ht="12" x14ac:dyDescent="0.2">
      <c r="A143" s="955"/>
      <c r="B143" s="978"/>
      <c r="I143" s="967"/>
      <c r="L143" s="956"/>
      <c r="P143" s="966"/>
      <c r="Q143" s="966"/>
      <c r="R143" s="966"/>
      <c r="S143" s="966"/>
      <c r="T143" s="966"/>
      <c r="U143" s="966"/>
      <c r="V143" s="966"/>
    </row>
    <row r="144" spans="1:22" s="964" customFormat="1" ht="13.9" customHeight="1" x14ac:dyDescent="0.2">
      <c r="A144" s="955" t="s">
        <v>850</v>
      </c>
      <c r="B144" s="999" t="s">
        <v>715</v>
      </c>
      <c r="I144" s="1000">
        <v>210.47805380000003</v>
      </c>
      <c r="J144" s="998" t="s">
        <v>617</v>
      </c>
      <c r="K144" s="998"/>
      <c r="P144" s="966"/>
      <c r="Q144" s="966"/>
      <c r="R144" s="966"/>
      <c r="S144" s="966"/>
      <c r="T144" s="966"/>
      <c r="U144" s="966"/>
      <c r="V144" s="966"/>
    </row>
    <row r="145" spans="1:22" s="964" customFormat="1" ht="12" x14ac:dyDescent="0.2">
      <c r="A145" s="955"/>
      <c r="B145" s="964" t="s">
        <v>722</v>
      </c>
      <c r="C145" s="960">
        <v>4.1269999999999998</v>
      </c>
      <c r="D145" s="960" t="s">
        <v>723</v>
      </c>
      <c r="E145" s="748">
        <v>1194.98</v>
      </c>
      <c r="F145" s="960" t="s">
        <v>724</v>
      </c>
      <c r="I145" s="1067">
        <v>210.47805380000003</v>
      </c>
      <c r="J145" s="964" t="s">
        <v>15</v>
      </c>
      <c r="L145" s="956" t="s">
        <v>851</v>
      </c>
      <c r="N145" s="967">
        <v>1011.982895</v>
      </c>
      <c r="P145" s="966"/>
      <c r="Q145" s="966"/>
      <c r="R145" s="966"/>
      <c r="S145" s="966"/>
      <c r="T145" s="966"/>
      <c r="U145" s="966"/>
      <c r="V145" s="966"/>
    </row>
    <row r="146" spans="1:22" s="964" customFormat="1" ht="12" x14ac:dyDescent="0.2">
      <c r="A146" s="955"/>
      <c r="B146" s="964" t="s">
        <v>725</v>
      </c>
      <c r="C146" s="960">
        <v>3.3319999999999999</v>
      </c>
      <c r="D146" s="960" t="s">
        <v>723</v>
      </c>
      <c r="E146" s="749">
        <v>1639.38</v>
      </c>
      <c r="F146" s="960" t="s">
        <v>724</v>
      </c>
      <c r="P146" s="966"/>
      <c r="Q146" s="966"/>
      <c r="R146" s="966"/>
      <c r="S146" s="966"/>
      <c r="T146" s="966"/>
      <c r="U146" s="966"/>
      <c r="V146" s="966"/>
    </row>
    <row r="147" spans="1:22" s="964" customFormat="1" ht="12" x14ac:dyDescent="0.2">
      <c r="A147" s="955"/>
      <c r="C147" s="959">
        <v>0.223</v>
      </c>
      <c r="D147" s="960" t="s">
        <v>723</v>
      </c>
      <c r="E147" s="748">
        <v>582.09</v>
      </c>
      <c r="F147" s="960" t="s">
        <v>724</v>
      </c>
      <c r="P147" s="966"/>
      <c r="Q147" s="966"/>
      <c r="R147" s="966"/>
      <c r="S147" s="966"/>
      <c r="T147" s="966"/>
      <c r="U147" s="966"/>
      <c r="V147" s="966"/>
    </row>
    <row r="148" spans="1:22" s="964" customFormat="1" ht="12" hidden="1" x14ac:dyDescent="0.2">
      <c r="A148" s="955"/>
      <c r="C148" s="960">
        <v>0</v>
      </c>
      <c r="D148" s="960" t="s">
        <v>723</v>
      </c>
      <c r="E148" s="748">
        <v>611.20000000000005</v>
      </c>
      <c r="F148" s="960" t="s">
        <v>724</v>
      </c>
      <c r="P148" s="966"/>
      <c r="Q148" s="966"/>
      <c r="R148" s="966"/>
      <c r="S148" s="966"/>
      <c r="T148" s="966"/>
      <c r="U148" s="966"/>
      <c r="V148" s="966"/>
    </row>
    <row r="149" spans="1:22" s="964" customFormat="1" ht="12" hidden="1" x14ac:dyDescent="0.2">
      <c r="A149" s="955"/>
      <c r="C149" s="959">
        <v>0</v>
      </c>
      <c r="D149" s="960" t="s">
        <v>723</v>
      </c>
      <c r="E149" s="748">
        <v>590.34</v>
      </c>
      <c r="F149" s="960" t="s">
        <v>724</v>
      </c>
      <c r="P149" s="966"/>
      <c r="Q149" s="966"/>
      <c r="R149" s="966"/>
      <c r="S149" s="966"/>
      <c r="T149" s="966"/>
      <c r="U149" s="966"/>
      <c r="V149" s="966"/>
    </row>
    <row r="150" spans="1:22" s="964" customFormat="1" ht="12" x14ac:dyDescent="0.2">
      <c r="A150" s="955"/>
      <c r="C150" s="960"/>
      <c r="D150" s="960"/>
      <c r="E150" s="1160"/>
      <c r="F150" s="960"/>
      <c r="P150" s="966"/>
      <c r="Q150" s="966"/>
      <c r="R150" s="966"/>
      <c r="S150" s="966"/>
      <c r="T150" s="966"/>
      <c r="U150" s="966"/>
      <c r="V150" s="966"/>
    </row>
    <row r="151" spans="1:22" s="964" customFormat="1" ht="12" x14ac:dyDescent="0.2">
      <c r="A151" s="955" t="s">
        <v>852</v>
      </c>
      <c r="B151" s="998" t="s">
        <v>730</v>
      </c>
      <c r="H151" s="1080"/>
      <c r="I151" s="958">
        <v>5334.6408806286709</v>
      </c>
      <c r="J151" s="964" t="s">
        <v>15</v>
      </c>
      <c r="L151" s="967">
        <v>12322.846026680374</v>
      </c>
      <c r="M151" s="967">
        <v>12322.846026680378</v>
      </c>
      <c r="P151" s="966"/>
      <c r="Q151" s="966"/>
      <c r="R151" s="966"/>
      <c r="S151" s="966"/>
      <c r="T151" s="966"/>
      <c r="U151" s="966"/>
      <c r="V151" s="966"/>
    </row>
    <row r="152" spans="1:22" s="964" customFormat="1" ht="12" x14ac:dyDescent="0.2">
      <c r="A152" s="955"/>
      <c r="B152" s="998"/>
      <c r="G152" s="966"/>
      <c r="H152" s="966"/>
      <c r="I152" s="958"/>
      <c r="P152" s="966"/>
      <c r="Q152" s="966"/>
      <c r="R152" s="966"/>
      <c r="S152" s="966"/>
      <c r="T152" s="966"/>
      <c r="U152" s="966"/>
      <c r="V152" s="966"/>
    </row>
    <row r="153" spans="1:22" s="941" customFormat="1" ht="18.600000000000001" customHeight="1" x14ac:dyDescent="0.3">
      <c r="A153" s="942"/>
      <c r="B153" s="1087" t="s">
        <v>853</v>
      </c>
      <c r="G153" s="1161">
        <v>128.5244285515578</v>
      </c>
      <c r="H153" s="1162">
        <v>2198.875406014844</v>
      </c>
      <c r="I153" s="1163">
        <v>7533.5162866435148</v>
      </c>
      <c r="J153" s="998" t="s">
        <v>617</v>
      </c>
      <c r="L153" s="1164">
        <v>7533.5162866435157</v>
      </c>
      <c r="N153" s="1096">
        <v>1278.4197211533833</v>
      </c>
      <c r="O153" s="1096">
        <v>24201.132204480433</v>
      </c>
      <c r="P153" s="944"/>
      <c r="Q153" s="944"/>
      <c r="R153" s="944"/>
      <c r="S153" s="944"/>
      <c r="T153" s="944"/>
      <c r="U153" s="944"/>
      <c r="V153" s="944"/>
    </row>
    <row r="154" spans="1:22" x14ac:dyDescent="0.2">
      <c r="G154" s="4"/>
      <c r="H154" s="1166">
        <v>0</v>
      </c>
      <c r="N154" s="1460">
        <v>1278.4197211533835</v>
      </c>
      <c r="O154" s="564">
        <v>24201.132204480436</v>
      </c>
      <c r="P154" s="1166">
        <v>1278.4197211533835</v>
      </c>
    </row>
    <row r="155" spans="1:22" ht="18.75" x14ac:dyDescent="0.3">
      <c r="B155" s="1087" t="s">
        <v>854</v>
      </c>
      <c r="C155" s="1087"/>
      <c r="D155" s="1087"/>
      <c r="E155" s="1087"/>
      <c r="F155" s="1087"/>
      <c r="G155" s="1167"/>
      <c r="H155" s="1168">
        <v>2800.6544066355673</v>
      </c>
      <c r="I155" s="952">
        <v>24201.132204480433</v>
      </c>
      <c r="J155" s="998" t="s">
        <v>617</v>
      </c>
      <c r="K155" s="998"/>
      <c r="L155" s="790">
        <v>0</v>
      </c>
      <c r="N155" s="564">
        <v>0</v>
      </c>
      <c r="O155" s="564">
        <v>0</v>
      </c>
    </row>
    <row r="156" spans="1:22" ht="18.75" x14ac:dyDescent="0.3">
      <c r="B156" s="1087"/>
      <c r="C156" s="1087"/>
      <c r="D156" s="1087"/>
      <c r="E156" s="1087"/>
      <c r="F156" s="1087"/>
      <c r="G156" s="1167"/>
      <c r="H156" s="1170">
        <v>18866.491323851762</v>
      </c>
      <c r="I156" s="1170">
        <v>1278.4197211533833</v>
      </c>
      <c r="J156" s="998"/>
      <c r="K156" s="998"/>
      <c r="L156" s="790"/>
      <c r="N156" s="1077"/>
      <c r="O156" s="564"/>
    </row>
    <row r="157" spans="1:22" ht="15.75" x14ac:dyDescent="0.25">
      <c r="B157" s="964" t="s">
        <v>218</v>
      </c>
      <c r="C157" s="964"/>
      <c r="D157" s="964"/>
      <c r="E157" s="964"/>
      <c r="F157" s="964"/>
      <c r="G157" s="964"/>
      <c r="H157" s="967" t="s">
        <v>148</v>
      </c>
      <c r="I157" s="952"/>
      <c r="J157" s="998"/>
      <c r="K157" s="998"/>
      <c r="L157" s="790"/>
      <c r="N157" s="564"/>
      <c r="O157" s="564"/>
    </row>
    <row r="158" spans="1:22" ht="228" hidden="1" customHeight="1" x14ac:dyDescent="0.3">
      <c r="B158" s="1087"/>
      <c r="C158" s="1087"/>
      <c r="D158" s="1087"/>
      <c r="E158" s="1087"/>
      <c r="F158" s="1087"/>
      <c r="G158" s="1167"/>
      <c r="H158" s="1168"/>
      <c r="I158" s="952"/>
      <c r="J158" s="998"/>
      <c r="K158" s="998"/>
      <c r="L158" s="790"/>
      <c r="N158" s="564"/>
      <c r="O158" s="564"/>
    </row>
    <row r="159" spans="1:22" ht="18.75" hidden="1" customHeight="1" x14ac:dyDescent="0.3">
      <c r="B159" s="1087"/>
      <c r="C159" s="1087"/>
      <c r="D159" s="1087"/>
      <c r="E159" s="1087"/>
      <c r="F159" s="1087"/>
      <c r="G159" s="1167"/>
      <c r="H159" s="1168"/>
      <c r="I159" s="952">
        <v>18866.491323851762</v>
      </c>
      <c r="J159" s="998"/>
      <c r="K159" s="998"/>
      <c r="L159" s="790"/>
      <c r="N159" s="564"/>
      <c r="O159" s="564"/>
    </row>
    <row r="160" spans="1:22" ht="18.75" hidden="1" customHeight="1" x14ac:dyDescent="0.3">
      <c r="B160" s="1087"/>
      <c r="C160" s="1087"/>
      <c r="D160" s="1087"/>
      <c r="E160" s="1087"/>
      <c r="F160" s="1087"/>
      <c r="G160" s="1167"/>
      <c r="H160" s="1168"/>
      <c r="I160" s="952"/>
      <c r="J160" s="998"/>
      <c r="K160" s="998"/>
      <c r="L160" s="790"/>
      <c r="N160" s="564"/>
      <c r="O160" s="564"/>
    </row>
    <row r="161" spans="1:17" ht="12.75" hidden="1" customHeight="1" x14ac:dyDescent="0.2"/>
    <row r="162" spans="1:17" ht="12.75" hidden="1" customHeight="1" x14ac:dyDescent="0.2">
      <c r="I162" s="564">
        <v>2198.875406014844</v>
      </c>
      <c r="N162" s="564"/>
    </row>
    <row r="163" spans="1:17" ht="12.75" hidden="1" customHeight="1" x14ac:dyDescent="0.2">
      <c r="I163" s="564">
        <v>18866.491323851762</v>
      </c>
    </row>
    <row r="164" spans="1:17" ht="12.75" hidden="1" customHeight="1" x14ac:dyDescent="0.2">
      <c r="I164" s="564">
        <v>14.940833333330374</v>
      </c>
    </row>
    <row r="165" spans="1:17" ht="12.75" hidden="1" customHeight="1" x14ac:dyDescent="0.2">
      <c r="I165" s="564"/>
    </row>
    <row r="166" spans="1:17" ht="12.75" hidden="1" customHeight="1" x14ac:dyDescent="0.2"/>
    <row r="167" spans="1:17" ht="12.75" hidden="1" customHeight="1" x14ac:dyDescent="0.2"/>
    <row r="168" spans="1:17" ht="12.75" hidden="1" customHeight="1" x14ac:dyDescent="0.2"/>
    <row r="169" spans="1:17" ht="12.75" hidden="1" customHeight="1" x14ac:dyDescent="0.2"/>
    <row r="170" spans="1:17" s="941" customFormat="1" ht="12.75" hidden="1" customHeight="1" x14ac:dyDescent="0.2">
      <c r="G170" s="1096"/>
    </row>
    <row r="171" spans="1:17" s="941" customFormat="1" ht="18.75" hidden="1" customHeight="1" x14ac:dyDescent="0.3">
      <c r="F171" s="1097" t="s">
        <v>855</v>
      </c>
      <c r="G171" s="1096"/>
      <c r="I171" s="825" t="s">
        <v>856</v>
      </c>
      <c r="J171" s="825"/>
    </row>
    <row r="172" spans="1:17" s="941" customFormat="1" ht="19.899999999999999" hidden="1" customHeight="1" x14ac:dyDescent="0.3">
      <c r="F172" s="1097"/>
      <c r="G172" s="1096"/>
    </row>
    <row r="173" spans="1:17" s="941" customFormat="1" ht="58.9" hidden="1" customHeight="1" x14ac:dyDescent="0.2">
      <c r="A173" s="1098" t="s">
        <v>737</v>
      </c>
      <c r="B173" s="2066" t="s">
        <v>738</v>
      </c>
      <c r="C173" s="2067"/>
      <c r="D173" s="2068"/>
      <c r="E173" s="1098" t="s">
        <v>739</v>
      </c>
      <c r="F173" s="1098" t="s">
        <v>740</v>
      </c>
      <c r="G173" s="1098" t="s">
        <v>741</v>
      </c>
      <c r="H173" s="1098" t="s">
        <v>742</v>
      </c>
      <c r="I173" s="1098" t="s">
        <v>743</v>
      </c>
      <c r="J173" s="1171"/>
      <c r="K173" s="941" t="s">
        <v>744</v>
      </c>
      <c r="N173" s="941">
        <v>0.56709344017781582</v>
      </c>
      <c r="O173" s="941">
        <v>0.43290655982218407</v>
      </c>
    </row>
    <row r="174" spans="1:17" s="941" customFormat="1" ht="13.9" hidden="1" customHeight="1" x14ac:dyDescent="0.25">
      <c r="A174" s="1100"/>
      <c r="B174" s="1101"/>
      <c r="C174" s="1102"/>
      <c r="D174" s="1103"/>
      <c r="E174" s="1104"/>
      <c r="F174" s="1105"/>
      <c r="G174" s="1106"/>
      <c r="H174" s="1107"/>
      <c r="I174" s="1107"/>
      <c r="J174" s="1096"/>
    </row>
    <row r="175" spans="1:17" s="680" customFormat="1" ht="22.9" hidden="1" customHeight="1" x14ac:dyDescent="0.2">
      <c r="A175" s="1109">
        <v>1</v>
      </c>
      <c r="B175" s="2057" t="s">
        <v>745</v>
      </c>
      <c r="C175" s="2058"/>
      <c r="D175" s="2059"/>
      <c r="E175" s="1104" t="s">
        <v>617</v>
      </c>
      <c r="F175" s="1110">
        <v>0</v>
      </c>
      <c r="G175" s="1110">
        <v>0</v>
      </c>
      <c r="H175" s="1110">
        <v>0</v>
      </c>
      <c r="I175" s="1110">
        <v>24186.191371147102</v>
      </c>
      <c r="J175" s="1074"/>
      <c r="K175" s="1074">
        <v>24186.191371147102</v>
      </c>
      <c r="L175" s="1074"/>
      <c r="M175" s="1074"/>
      <c r="N175" s="1074"/>
      <c r="O175" s="1074"/>
      <c r="P175" s="1113"/>
      <c r="Q175" s="1113"/>
    </row>
    <row r="176" spans="1:17" s="681" customFormat="1" ht="23.45" hidden="1" customHeight="1" x14ac:dyDescent="0.2">
      <c r="A176" s="1114" t="s">
        <v>746</v>
      </c>
      <c r="B176" s="2057" t="s">
        <v>747</v>
      </c>
      <c r="C176" s="2058"/>
      <c r="D176" s="2059"/>
      <c r="E176" s="1104" t="s">
        <v>617</v>
      </c>
      <c r="F176" s="1110">
        <v>0</v>
      </c>
      <c r="G176" s="1110">
        <v>0</v>
      </c>
      <c r="H176" s="1110">
        <v>0</v>
      </c>
      <c r="I176" s="1110">
        <v>11305.322674747147</v>
      </c>
      <c r="J176" s="1074"/>
      <c r="K176" s="1074">
        <v>11305.322674747147</v>
      </c>
      <c r="L176" s="1074"/>
      <c r="M176" s="1074"/>
      <c r="N176" s="1074"/>
      <c r="O176" s="1074"/>
      <c r="P176" s="1113"/>
      <c r="Q176" s="1113"/>
    </row>
    <row r="177" spans="1:17" s="1044" customFormat="1" ht="12.75" hidden="1" customHeight="1" x14ac:dyDescent="0.2">
      <c r="A177" s="1114" t="s">
        <v>748</v>
      </c>
      <c r="B177" s="2057" t="s">
        <v>749</v>
      </c>
      <c r="C177" s="2058"/>
      <c r="D177" s="2059"/>
      <c r="E177" s="1104" t="s">
        <v>617</v>
      </c>
      <c r="F177" s="1172"/>
      <c r="G177" s="1172"/>
      <c r="H177" s="1117"/>
      <c r="I177" s="1117">
        <v>3200.0154947471478</v>
      </c>
      <c r="J177" s="1115"/>
      <c r="K177" s="1074">
        <v>3200.0154947471478</v>
      </c>
      <c r="L177" s="825"/>
      <c r="M177" s="825"/>
      <c r="N177" s="1115">
        <v>1095.0519838897935</v>
      </c>
      <c r="O177" s="825"/>
      <c r="P177" s="1113"/>
      <c r="Q177" s="1113"/>
    </row>
    <row r="178" spans="1:17" s="1044" customFormat="1" ht="25.15" hidden="1" customHeight="1" x14ac:dyDescent="0.2">
      <c r="A178" s="1114" t="s">
        <v>750</v>
      </c>
      <c r="B178" s="2057" t="s">
        <v>857</v>
      </c>
      <c r="C178" s="2058"/>
      <c r="D178" s="2059"/>
      <c r="E178" s="1104" t="s">
        <v>617</v>
      </c>
      <c r="F178" s="1172"/>
      <c r="G178" s="1172"/>
      <c r="H178" s="1117"/>
      <c r="I178" s="1117">
        <v>8105.3071799999998</v>
      </c>
      <c r="J178" s="1115"/>
      <c r="K178" s="1074">
        <v>8105.3071799999998</v>
      </c>
      <c r="L178" s="825"/>
      <c r="M178" s="825"/>
      <c r="N178" s="1115">
        <v>81.333175200001278</v>
      </c>
      <c r="O178" s="825"/>
      <c r="P178" s="1113"/>
      <c r="Q178" s="1113"/>
    </row>
    <row r="179" spans="1:17" s="1044" customFormat="1" ht="21.6" hidden="1" customHeight="1" x14ac:dyDescent="0.2">
      <c r="A179" s="1114" t="s">
        <v>752</v>
      </c>
      <c r="B179" s="2057" t="s">
        <v>858</v>
      </c>
      <c r="C179" s="2058"/>
      <c r="D179" s="2059"/>
      <c r="E179" s="1104" t="s">
        <v>617</v>
      </c>
      <c r="F179" s="1117"/>
      <c r="G179" s="1117"/>
      <c r="H179" s="1117"/>
      <c r="I179" s="1117">
        <v>0</v>
      </c>
      <c r="J179" s="1115"/>
      <c r="K179" s="1074">
        <v>0</v>
      </c>
      <c r="L179" s="1115"/>
      <c r="M179" s="1115"/>
      <c r="N179" s="1115">
        <v>10.905864352308299</v>
      </c>
      <c r="O179" s="1115"/>
      <c r="P179" s="1113"/>
      <c r="Q179" s="1113"/>
    </row>
    <row r="180" spans="1:17" s="1044" customFormat="1" ht="21" hidden="1" customHeight="1" x14ac:dyDescent="0.2">
      <c r="A180" s="1114" t="s">
        <v>758</v>
      </c>
      <c r="B180" s="2057" t="s">
        <v>759</v>
      </c>
      <c r="C180" s="2058"/>
      <c r="D180" s="2059"/>
      <c r="E180" s="1104" t="s">
        <v>617</v>
      </c>
      <c r="F180" s="1117"/>
      <c r="G180" s="1117"/>
      <c r="H180" s="1117"/>
      <c r="I180" s="1117">
        <v>3187.3704615489946</v>
      </c>
      <c r="J180" s="1115"/>
      <c r="K180" s="1074">
        <v>3187.3704615489946</v>
      </c>
      <c r="L180" s="1115"/>
      <c r="M180" s="1115"/>
      <c r="N180" s="1115">
        <v>90.979158788021167</v>
      </c>
      <c r="O180" s="1115"/>
      <c r="P180" s="1113"/>
      <c r="Q180" s="1113"/>
    </row>
    <row r="181" spans="1:17" s="1044" customFormat="1" ht="12.75" hidden="1" customHeight="1" x14ac:dyDescent="0.2">
      <c r="A181" s="1114" t="s">
        <v>760</v>
      </c>
      <c r="B181" s="2057" t="s">
        <v>761</v>
      </c>
      <c r="C181" s="2058"/>
      <c r="D181" s="2059"/>
      <c r="E181" s="1104" t="s">
        <v>617</v>
      </c>
      <c r="F181" s="1117"/>
      <c r="G181" s="1117"/>
      <c r="H181" s="1117"/>
      <c r="I181" s="1117">
        <v>2174.9227815407794</v>
      </c>
      <c r="J181" s="1115"/>
      <c r="K181" s="1074">
        <v>2174.9227815407794</v>
      </c>
      <c r="L181" s="1115"/>
      <c r="M181" s="1115"/>
      <c r="N181" s="1115"/>
      <c r="O181" s="1115"/>
      <c r="P181" s="1113"/>
      <c r="Q181" s="1113"/>
    </row>
    <row r="182" spans="1:17" s="1044" customFormat="1" ht="22.5" hidden="1" customHeight="1" x14ac:dyDescent="0.2">
      <c r="A182" s="1114" t="s">
        <v>762</v>
      </c>
      <c r="B182" s="2057" t="s">
        <v>859</v>
      </c>
      <c r="C182" s="2058"/>
      <c r="D182" s="2059"/>
      <c r="E182" s="1104" t="s">
        <v>617</v>
      </c>
      <c r="F182" s="1172"/>
      <c r="G182" s="1172"/>
      <c r="H182" s="1117"/>
      <c r="I182" s="1117">
        <v>701.22150154077883</v>
      </c>
      <c r="J182" s="1115"/>
      <c r="K182" s="1074">
        <v>701.22150154077883</v>
      </c>
      <c r="L182" s="1115"/>
      <c r="M182" s="1115"/>
      <c r="N182" s="1115">
        <v>19.966607213023597</v>
      </c>
      <c r="O182" s="1115"/>
      <c r="P182" s="1113"/>
      <c r="Q182" s="1113"/>
    </row>
    <row r="183" spans="1:17" s="1044" customFormat="1" ht="20.45" hidden="1" customHeight="1" x14ac:dyDescent="0.2">
      <c r="A183" s="1114" t="s">
        <v>764</v>
      </c>
      <c r="B183" s="2057" t="s">
        <v>765</v>
      </c>
      <c r="C183" s="2058"/>
      <c r="D183" s="2059"/>
      <c r="E183" s="1104" t="s">
        <v>617</v>
      </c>
      <c r="F183" s="1172"/>
      <c r="G183" s="1172"/>
      <c r="H183" s="1117"/>
      <c r="I183" s="1117">
        <v>1473.7012800000007</v>
      </c>
      <c r="J183" s="1115"/>
      <c r="K183" s="1074">
        <v>1473.7012800000007</v>
      </c>
      <c r="L183" s="1115"/>
      <c r="M183" s="1115"/>
      <c r="N183" s="1115">
        <v>950.2909199999998</v>
      </c>
      <c r="O183" s="1115"/>
      <c r="P183" s="1113"/>
      <c r="Q183" s="1113"/>
    </row>
    <row r="184" spans="1:17" s="1044" customFormat="1" ht="12.75" hidden="1" customHeight="1" x14ac:dyDescent="0.2">
      <c r="A184" s="1114" t="s">
        <v>766</v>
      </c>
      <c r="B184" s="2057" t="s">
        <v>767</v>
      </c>
      <c r="C184" s="2058"/>
      <c r="D184" s="2059"/>
      <c r="E184" s="1104" t="s">
        <v>617</v>
      </c>
      <c r="F184" s="1117"/>
      <c r="G184" s="1117"/>
      <c r="H184" s="1117"/>
      <c r="I184" s="1117">
        <v>0</v>
      </c>
      <c r="J184" s="1115"/>
      <c r="K184" s="1074">
        <v>0</v>
      </c>
      <c r="L184" s="1115"/>
      <c r="M184" s="1115"/>
      <c r="N184" s="1115">
        <v>0</v>
      </c>
      <c r="O184" s="1115"/>
      <c r="P184" s="1113"/>
      <c r="Q184" s="1113"/>
    </row>
    <row r="185" spans="1:17" s="1044" customFormat="1" ht="12.75" hidden="1" customHeight="1" x14ac:dyDescent="0.2">
      <c r="A185" s="1114"/>
      <c r="B185" s="1121" t="s">
        <v>768</v>
      </c>
      <c r="C185" s="1900"/>
      <c r="D185" s="1901"/>
      <c r="E185" s="1104" t="s">
        <v>617</v>
      </c>
      <c r="F185" s="1117"/>
      <c r="G185" s="1117"/>
      <c r="H185" s="1117"/>
      <c r="I185" s="1117">
        <v>16667.61591783692</v>
      </c>
      <c r="J185" s="1115"/>
      <c r="K185" s="1074">
        <v>16667.61591783692</v>
      </c>
      <c r="L185" s="1115"/>
      <c r="M185" s="1115"/>
      <c r="N185" s="1115">
        <v>2248.527709443149</v>
      </c>
      <c r="O185" s="1115">
        <v>2248.5277094431476</v>
      </c>
      <c r="P185" s="1113"/>
      <c r="Q185" s="1113"/>
    </row>
    <row r="186" spans="1:17" s="681" customFormat="1" ht="22.15" hidden="1" customHeight="1" x14ac:dyDescent="0.2">
      <c r="A186" s="1114" t="s">
        <v>769</v>
      </c>
      <c r="B186" s="2057" t="s">
        <v>770</v>
      </c>
      <c r="C186" s="2058"/>
      <c r="D186" s="2059"/>
      <c r="E186" s="1104" t="s">
        <v>617</v>
      </c>
      <c r="F186" s="1110">
        <v>0</v>
      </c>
      <c r="G186" s="1110">
        <v>0</v>
      </c>
      <c r="H186" s="1110">
        <v>0</v>
      </c>
      <c r="I186" s="1110">
        <v>7518.5754533101826</v>
      </c>
      <c r="J186" s="1074">
        <v>7533.5162866435148</v>
      </c>
      <c r="K186" s="1074">
        <v>7518.5754533101826</v>
      </c>
      <c r="L186" s="1110">
        <v>521.98438085931332</v>
      </c>
      <c r="M186" s="1110">
        <v>398.47130400214741</v>
      </c>
      <c r="N186" s="1115" t="e">
        <v>#DIV/0!</v>
      </c>
      <c r="O186" s="1074" t="e">
        <v>#DIV/0!</v>
      </c>
      <c r="P186" s="1113"/>
      <c r="Q186" s="1113"/>
    </row>
    <row r="187" spans="1:17" s="1044" customFormat="1" ht="12.75" hidden="1" customHeight="1" x14ac:dyDescent="0.2">
      <c r="A187" s="1122"/>
      <c r="B187" s="2057" t="s">
        <v>771</v>
      </c>
      <c r="C187" s="2058"/>
      <c r="D187" s="2059"/>
      <c r="E187" s="1104" t="s">
        <v>617</v>
      </c>
      <c r="F187" s="1172"/>
      <c r="G187" s="1172"/>
      <c r="H187" s="1117"/>
      <c r="I187" s="1117">
        <v>754.47187283726294</v>
      </c>
      <c r="J187" s="1115">
        <v>14.940833333332193</v>
      </c>
      <c r="K187" s="1074">
        <v>754.47187283726294</v>
      </c>
      <c r="L187" s="1115">
        <v>427.85604988468305</v>
      </c>
      <c r="M187" s="1115">
        <v>326.61582295257983</v>
      </c>
      <c r="N187" s="1115"/>
      <c r="O187" s="1115"/>
      <c r="P187" s="1113"/>
      <c r="Q187" s="1113"/>
    </row>
    <row r="188" spans="1:17" s="1044" customFormat="1" ht="12.75" hidden="1" customHeight="1" x14ac:dyDescent="0.2">
      <c r="A188" s="1122"/>
      <c r="B188" s="2057" t="s">
        <v>772</v>
      </c>
      <c r="C188" s="2058"/>
      <c r="D188" s="2059"/>
      <c r="E188" s="1104" t="s">
        <v>617</v>
      </c>
      <c r="F188" s="1117"/>
      <c r="G188" s="1117"/>
      <c r="H188" s="1117"/>
      <c r="I188" s="1117">
        <v>165.98381202419785</v>
      </c>
      <c r="J188" s="1115"/>
      <c r="K188" s="1074">
        <v>165.98381202419785</v>
      </c>
      <c r="L188" s="1115">
        <v>94.128330974630273</v>
      </c>
      <c r="M188" s="1115">
        <v>71.855481049567558</v>
      </c>
      <c r="N188" s="1115"/>
      <c r="O188" s="1115"/>
      <c r="P188" s="1113"/>
      <c r="Q188" s="1113"/>
    </row>
    <row r="189" spans="1:17" s="1044" customFormat="1" ht="12.75" hidden="1" customHeight="1" x14ac:dyDescent="0.2">
      <c r="A189" s="1122"/>
      <c r="B189" s="2057" t="s">
        <v>860</v>
      </c>
      <c r="C189" s="2058"/>
      <c r="D189" s="2059"/>
      <c r="E189" s="1104" t="s">
        <v>617</v>
      </c>
      <c r="F189" s="1117"/>
      <c r="G189" s="1117"/>
      <c r="H189" s="1117"/>
      <c r="I189" s="1117">
        <v>0</v>
      </c>
      <c r="J189" s="1115"/>
      <c r="K189" s="1074">
        <v>0</v>
      </c>
      <c r="L189" s="1115">
        <v>0</v>
      </c>
      <c r="M189" s="1115">
        <v>0</v>
      </c>
      <c r="N189" s="1115"/>
      <c r="O189" s="1115"/>
      <c r="P189" s="1113"/>
      <c r="Q189" s="1113"/>
    </row>
    <row r="190" spans="1:17" s="1044" customFormat="1" ht="12.75" hidden="1" customHeight="1" x14ac:dyDescent="0.2">
      <c r="A190" s="1122"/>
      <c r="B190" s="2057" t="s">
        <v>773</v>
      </c>
      <c r="C190" s="2058"/>
      <c r="D190" s="2059"/>
      <c r="E190" s="1104" t="s">
        <v>617</v>
      </c>
      <c r="F190" s="1117"/>
      <c r="G190" s="1117"/>
      <c r="H190" s="1117"/>
      <c r="I190" s="1117">
        <v>1263.4788878200502</v>
      </c>
      <c r="J190" s="1115">
        <v>1278.4197211533835</v>
      </c>
      <c r="K190" s="1074">
        <v>1263.4788878200502</v>
      </c>
      <c r="L190" s="1115">
        <v>716.5105890859129</v>
      </c>
      <c r="M190" s="1115">
        <v>546.96829873413719</v>
      </c>
      <c r="N190" s="1115"/>
      <c r="O190" s="1115"/>
      <c r="P190" s="1113"/>
      <c r="Q190" s="1113"/>
    </row>
    <row r="191" spans="1:17" s="681" customFormat="1" ht="12.75" hidden="1" customHeight="1" x14ac:dyDescent="0.2">
      <c r="A191" s="1123"/>
      <c r="B191" s="2051" t="s">
        <v>861</v>
      </c>
      <c r="C191" s="2052"/>
      <c r="D191" s="2053"/>
      <c r="E191" s="1104" t="s">
        <v>617</v>
      </c>
      <c r="F191" s="1173"/>
      <c r="G191" s="1173"/>
      <c r="H191" s="1124"/>
      <c r="I191" s="1124">
        <v>0</v>
      </c>
      <c r="J191" s="1125">
        <v>14.94083333333333</v>
      </c>
      <c r="K191" s="1074">
        <v>0</v>
      </c>
      <c r="L191" s="1125"/>
      <c r="M191" s="1125"/>
      <c r="N191" s="1125"/>
      <c r="O191" s="1125"/>
      <c r="P191" s="1113"/>
      <c r="Q191" s="1113"/>
    </row>
    <row r="192" spans="1:17" s="681" customFormat="1" ht="12.75" hidden="1" customHeight="1" x14ac:dyDescent="0.2">
      <c r="A192" s="1123"/>
      <c r="B192" s="2051" t="s">
        <v>794</v>
      </c>
      <c r="C192" s="2052"/>
      <c r="D192" s="2053"/>
      <c r="E192" s="1104" t="s">
        <v>617</v>
      </c>
      <c r="F192" s="1173"/>
      <c r="G192" s="1173"/>
      <c r="H192" s="1124"/>
      <c r="I192" s="1124">
        <v>15.5556</v>
      </c>
      <c r="J192" s="1125">
        <v>1278.4197211533833</v>
      </c>
      <c r="K192" s="1074">
        <v>15.5556</v>
      </c>
      <c r="L192" s="1125"/>
      <c r="M192" s="1125"/>
      <c r="N192" s="1125"/>
      <c r="O192" s="1125"/>
      <c r="P192" s="1113"/>
      <c r="Q192" s="1113"/>
    </row>
    <row r="193" spans="1:17" s="681" customFormat="1" ht="12.75" hidden="1" customHeight="1" x14ac:dyDescent="0.2">
      <c r="A193" s="1123"/>
      <c r="B193" s="2051" t="s">
        <v>774</v>
      </c>
      <c r="C193" s="2052"/>
      <c r="D193" s="2053"/>
      <c r="E193" s="1104" t="s">
        <v>617</v>
      </c>
      <c r="F193" s="1173"/>
      <c r="G193" s="1173"/>
      <c r="H193" s="1124"/>
      <c r="I193" s="1124">
        <v>111.58272666666667</v>
      </c>
      <c r="J193" s="1125">
        <v>0</v>
      </c>
      <c r="K193" s="1074">
        <v>111.58272666666667</v>
      </c>
      <c r="L193" s="1125"/>
      <c r="M193" s="1125"/>
      <c r="N193" s="1125">
        <v>107.67832666666665</v>
      </c>
      <c r="O193" s="1125"/>
      <c r="P193" s="1113"/>
      <c r="Q193" s="1113"/>
    </row>
    <row r="194" spans="1:17" s="681" customFormat="1" ht="12.75" hidden="1" customHeight="1" x14ac:dyDescent="0.2">
      <c r="A194" s="1123"/>
      <c r="B194" s="2051" t="s">
        <v>775</v>
      </c>
      <c r="C194" s="2052"/>
      <c r="D194" s="2053"/>
      <c r="E194" s="1104" t="s">
        <v>617</v>
      </c>
      <c r="F194" s="1173"/>
      <c r="G194" s="1173"/>
      <c r="H194" s="1124"/>
      <c r="I194" s="1124">
        <v>418.50554000000005</v>
      </c>
      <c r="J194" s="1125"/>
      <c r="K194" s="1074">
        <v>418.50554000000005</v>
      </c>
      <c r="L194" s="1125"/>
      <c r="M194" s="1125"/>
      <c r="N194" s="1126"/>
      <c r="O194" s="1125"/>
      <c r="P194" s="1113"/>
      <c r="Q194" s="1113"/>
    </row>
    <row r="195" spans="1:17" s="681" customFormat="1" ht="12.75" hidden="1" customHeight="1" x14ac:dyDescent="0.2">
      <c r="A195" s="1123"/>
      <c r="B195" s="2051" t="s">
        <v>539</v>
      </c>
      <c r="C195" s="2052"/>
      <c r="D195" s="2053"/>
      <c r="E195" s="1104" t="s">
        <v>617</v>
      </c>
      <c r="F195" s="1173"/>
      <c r="G195" s="1173"/>
      <c r="H195" s="1124"/>
      <c r="I195" s="1124">
        <v>0.83379999999999999</v>
      </c>
      <c r="J195" s="1125"/>
      <c r="K195" s="1074">
        <v>0.83379999999999999</v>
      </c>
      <c r="L195" s="1125"/>
      <c r="M195" s="1125"/>
      <c r="N195" s="1126"/>
      <c r="O195" s="1125"/>
      <c r="P195" s="1113"/>
      <c r="Q195" s="1113"/>
    </row>
    <row r="196" spans="1:17" s="681" customFormat="1" ht="12.75" hidden="1" customHeight="1" x14ac:dyDescent="0.2">
      <c r="A196" s="1123"/>
      <c r="B196" s="2051" t="s">
        <v>776</v>
      </c>
      <c r="C196" s="2052"/>
      <c r="D196" s="2053"/>
      <c r="E196" s="1104" t="s">
        <v>617</v>
      </c>
      <c r="F196" s="1124"/>
      <c r="G196" s="1124"/>
      <c r="H196" s="1124"/>
      <c r="I196" s="1124">
        <v>269.37563114443998</v>
      </c>
      <c r="J196" s="1125"/>
      <c r="K196" s="1074">
        <v>269.37563114443998</v>
      </c>
      <c r="L196" s="1125"/>
      <c r="M196" s="1125"/>
      <c r="N196" s="1125"/>
      <c r="O196" s="1125"/>
      <c r="P196" s="1113"/>
      <c r="Q196" s="1113"/>
    </row>
    <row r="197" spans="1:17" s="1072" customFormat="1" ht="13.15" hidden="1" customHeight="1" x14ac:dyDescent="0.2">
      <c r="A197" s="1122"/>
      <c r="B197" s="2060" t="s">
        <v>862</v>
      </c>
      <c r="C197" s="2061"/>
      <c r="D197" s="2062"/>
      <c r="E197" s="1103" t="s">
        <v>617</v>
      </c>
      <c r="F197" s="1174"/>
      <c r="G197" s="1174"/>
      <c r="H197" s="1127"/>
      <c r="I197" s="1127">
        <v>264.44543114443997</v>
      </c>
      <c r="J197" s="1060"/>
      <c r="K197" s="1115">
        <v>264.44543114443997</v>
      </c>
      <c r="L197" s="1060"/>
      <c r="M197" s="1060"/>
      <c r="N197" s="1060"/>
      <c r="O197" s="1060"/>
      <c r="P197" s="1175"/>
      <c r="Q197" s="1175"/>
    </row>
    <row r="198" spans="1:17" s="1072" customFormat="1" ht="13.15" hidden="1" customHeight="1" x14ac:dyDescent="0.2">
      <c r="A198" s="1122"/>
      <c r="B198" s="2060" t="s">
        <v>863</v>
      </c>
      <c r="C198" s="2061"/>
      <c r="D198" s="2062"/>
      <c r="E198" s="1103" t="s">
        <v>617</v>
      </c>
      <c r="F198" s="1174"/>
      <c r="G198" s="1174"/>
      <c r="H198" s="1127"/>
      <c r="I198" s="1127">
        <v>4.930200000000001</v>
      </c>
      <c r="J198" s="1060"/>
      <c r="K198" s="1115">
        <v>4.930200000000001</v>
      </c>
      <c r="L198" s="1060"/>
      <c r="M198" s="1060"/>
      <c r="N198" s="1060"/>
      <c r="O198" s="1060"/>
      <c r="P198" s="1175"/>
      <c r="Q198" s="1175"/>
    </row>
    <row r="199" spans="1:17" s="1072" customFormat="1" ht="13.15" hidden="1" customHeight="1" x14ac:dyDescent="0.2">
      <c r="A199" s="1122"/>
      <c r="B199" s="2060" t="s">
        <v>864</v>
      </c>
      <c r="C199" s="2061"/>
      <c r="D199" s="2062"/>
      <c r="E199" s="1103" t="s">
        <v>617</v>
      </c>
      <c r="F199" s="1174"/>
      <c r="G199" s="1174"/>
      <c r="H199" s="1127"/>
      <c r="I199" s="1176">
        <v>0</v>
      </c>
      <c r="J199" s="1177"/>
      <c r="K199" s="1115">
        <v>0</v>
      </c>
      <c r="L199" s="1060"/>
      <c r="M199" s="1060"/>
      <c r="N199" s="1060"/>
      <c r="O199" s="1060"/>
      <c r="P199" s="1175"/>
      <c r="Q199" s="1175"/>
    </row>
    <row r="200" spans="1:17" s="681" customFormat="1" ht="12.75" hidden="1" customHeight="1" x14ac:dyDescent="0.2">
      <c r="A200" s="1123"/>
      <c r="B200" s="2051" t="s">
        <v>782</v>
      </c>
      <c r="C200" s="2052"/>
      <c r="D200" s="2053"/>
      <c r="E200" s="1104" t="s">
        <v>617</v>
      </c>
      <c r="F200" s="1124"/>
      <c r="G200" s="1124"/>
      <c r="H200" s="1124"/>
      <c r="I200" s="1124">
        <v>159.90412444894335</v>
      </c>
      <c r="J200" s="1125"/>
      <c r="K200" s="1074">
        <v>159.90412444894335</v>
      </c>
      <c r="L200" s="1125"/>
      <c r="M200" s="1125"/>
      <c r="N200" s="1125"/>
      <c r="O200" s="1125"/>
      <c r="P200" s="1113"/>
      <c r="Q200" s="1113"/>
    </row>
    <row r="201" spans="1:17" s="1072" customFormat="1" ht="13.15" hidden="1" customHeight="1" x14ac:dyDescent="0.2">
      <c r="A201" s="1122"/>
      <c r="B201" s="2060" t="s">
        <v>865</v>
      </c>
      <c r="C201" s="2061"/>
      <c r="D201" s="2062"/>
      <c r="E201" s="1103" t="s">
        <v>617</v>
      </c>
      <c r="F201" s="1174"/>
      <c r="G201" s="1174"/>
      <c r="H201" s="1127"/>
      <c r="I201" s="1127">
        <v>24.8358825</v>
      </c>
      <c r="J201" s="1060"/>
      <c r="K201" s="1115">
        <v>24.8358825</v>
      </c>
      <c r="L201" s="1060"/>
      <c r="M201" s="1060"/>
      <c r="N201" s="1060"/>
      <c r="O201" s="1060"/>
      <c r="P201" s="1175"/>
      <c r="Q201" s="1175"/>
    </row>
    <row r="202" spans="1:17" s="1072" customFormat="1" ht="13.15" hidden="1" customHeight="1" x14ac:dyDescent="0.2">
      <c r="A202" s="1122"/>
      <c r="B202" s="2060" t="s">
        <v>866</v>
      </c>
      <c r="C202" s="2061"/>
      <c r="D202" s="2062"/>
      <c r="E202" s="1103" t="s">
        <v>617</v>
      </c>
      <c r="F202" s="1174"/>
      <c r="G202" s="1174"/>
      <c r="H202" s="1127"/>
      <c r="I202" s="1127">
        <v>22.659702383528792</v>
      </c>
      <c r="J202" s="1060"/>
      <c r="K202" s="1115">
        <v>22.659702383528792</v>
      </c>
      <c r="L202" s="1060"/>
      <c r="M202" s="1060"/>
      <c r="N202" s="1060"/>
      <c r="O202" s="1060"/>
      <c r="P202" s="1175"/>
      <c r="Q202" s="1175"/>
    </row>
    <row r="203" spans="1:17" s="1072" customFormat="1" ht="13.15" hidden="1" customHeight="1" x14ac:dyDescent="0.2">
      <c r="A203" s="1122"/>
      <c r="B203" s="2060" t="s">
        <v>867</v>
      </c>
      <c r="C203" s="2061"/>
      <c r="D203" s="2062"/>
      <c r="E203" s="1103" t="s">
        <v>617</v>
      </c>
      <c r="F203" s="1174"/>
      <c r="G203" s="1174"/>
      <c r="H203" s="1127"/>
      <c r="I203" s="1127">
        <v>12.262332960618883</v>
      </c>
      <c r="J203" s="1060"/>
      <c r="K203" s="1115">
        <v>12.262332960618883</v>
      </c>
      <c r="L203" s="1060"/>
      <c r="M203" s="1060"/>
      <c r="N203" s="1060"/>
      <c r="O203" s="1060"/>
      <c r="P203" s="1175"/>
      <c r="Q203" s="1175"/>
    </row>
    <row r="204" spans="1:17" s="1072" customFormat="1" ht="13.15" hidden="1" customHeight="1" x14ac:dyDescent="0.2">
      <c r="A204" s="1122"/>
      <c r="B204" s="2060" t="s">
        <v>868</v>
      </c>
      <c r="C204" s="2061"/>
      <c r="D204" s="2062"/>
      <c r="E204" s="1103" t="s">
        <v>617</v>
      </c>
      <c r="F204" s="1174"/>
      <c r="G204" s="1174"/>
      <c r="H204" s="1127"/>
      <c r="I204" s="1127">
        <v>79.819231978995063</v>
      </c>
      <c r="J204" s="1060"/>
      <c r="K204" s="1115">
        <v>79.819231978995063</v>
      </c>
      <c r="L204" s="1060"/>
      <c r="M204" s="1060"/>
      <c r="N204" s="1060"/>
      <c r="O204" s="1060"/>
      <c r="P204" s="1175"/>
      <c r="Q204" s="1175"/>
    </row>
    <row r="205" spans="1:17" s="1072" customFormat="1" ht="13.15" hidden="1" customHeight="1" x14ac:dyDescent="0.2">
      <c r="A205" s="1122"/>
      <c r="B205" s="2060" t="s">
        <v>869</v>
      </c>
      <c r="C205" s="2061"/>
      <c r="D205" s="2062"/>
      <c r="E205" s="1103" t="s">
        <v>617</v>
      </c>
      <c r="F205" s="1174"/>
      <c r="G205" s="1174"/>
      <c r="H205" s="1127"/>
      <c r="I205" s="1127">
        <v>20.326974625800595</v>
      </c>
      <c r="J205" s="1060"/>
      <c r="K205" s="1115"/>
      <c r="L205" s="1060"/>
      <c r="M205" s="1060"/>
      <c r="N205" s="1060"/>
      <c r="O205" s="1060"/>
      <c r="P205" s="1175"/>
      <c r="Q205" s="1175"/>
    </row>
    <row r="206" spans="1:17" s="681" customFormat="1" ht="12.75" hidden="1" customHeight="1" x14ac:dyDescent="0.2">
      <c r="A206" s="1123"/>
      <c r="B206" s="2051" t="s">
        <v>788</v>
      </c>
      <c r="C206" s="2052"/>
      <c r="D206" s="2053"/>
      <c r="E206" s="1104" t="s">
        <v>617</v>
      </c>
      <c r="F206" s="1124"/>
      <c r="G206" s="1124"/>
      <c r="H206" s="1124"/>
      <c r="I206" s="1124">
        <v>77.243411760000001</v>
      </c>
      <c r="J206" s="1125"/>
      <c r="K206" s="1074">
        <v>77.243411760000001</v>
      </c>
      <c r="L206" s="1125"/>
      <c r="M206" s="1125"/>
      <c r="N206" s="1125"/>
      <c r="O206" s="1125"/>
      <c r="P206" s="1113"/>
      <c r="Q206" s="1113"/>
    </row>
    <row r="207" spans="1:17" s="1072" customFormat="1" ht="13.15" hidden="1" customHeight="1" x14ac:dyDescent="0.2">
      <c r="A207" s="1122"/>
      <c r="B207" s="2060" t="s">
        <v>870</v>
      </c>
      <c r="C207" s="2061"/>
      <c r="D207" s="2062"/>
      <c r="E207" s="1103" t="s">
        <v>617</v>
      </c>
      <c r="F207" s="1174"/>
      <c r="G207" s="1174"/>
      <c r="H207" s="1127"/>
      <c r="I207" s="1127">
        <v>2.8734117599999998</v>
      </c>
      <c r="J207" s="1060"/>
      <c r="K207" s="1115">
        <v>2.8734117599999998</v>
      </c>
      <c r="L207" s="1060"/>
      <c r="M207" s="1060"/>
      <c r="N207" s="1060"/>
      <c r="O207" s="1060"/>
      <c r="P207" s="1175"/>
      <c r="Q207" s="1175"/>
    </row>
    <row r="208" spans="1:17" s="1072" customFormat="1" ht="13.15" hidden="1" customHeight="1" x14ac:dyDescent="0.2">
      <c r="A208" s="1122"/>
      <c r="B208" s="2060" t="s">
        <v>791</v>
      </c>
      <c r="C208" s="2061"/>
      <c r="D208" s="2062"/>
      <c r="E208" s="1103" t="s">
        <v>617</v>
      </c>
      <c r="F208" s="1174"/>
      <c r="G208" s="1174"/>
      <c r="H208" s="1127"/>
      <c r="I208" s="1127">
        <v>74.37</v>
      </c>
      <c r="J208" s="1060"/>
      <c r="K208" s="1115">
        <v>74.37</v>
      </c>
      <c r="L208" s="1060"/>
      <c r="M208" s="1060"/>
      <c r="N208" s="1060"/>
      <c r="O208" s="1060"/>
      <c r="P208" s="1175"/>
      <c r="Q208" s="1175"/>
    </row>
    <row r="209" spans="1:22" s="681" customFormat="1" ht="12.75" hidden="1" customHeight="1" x14ac:dyDescent="0.2">
      <c r="A209" s="1123"/>
      <c r="B209" s="2051" t="s">
        <v>871</v>
      </c>
      <c r="C209" s="2052"/>
      <c r="D209" s="2053"/>
      <c r="E209" s="1104" t="s">
        <v>617</v>
      </c>
      <c r="F209" s="1173"/>
      <c r="G209" s="1173"/>
      <c r="H209" s="1124"/>
      <c r="I209" s="1124">
        <v>0</v>
      </c>
      <c r="J209" s="1125"/>
      <c r="K209" s="1074">
        <v>0</v>
      </c>
      <c r="L209" s="1125"/>
      <c r="M209" s="1125"/>
      <c r="N209" s="1125"/>
      <c r="O209" s="1125"/>
      <c r="P209" s="1113"/>
      <c r="Q209" s="1113"/>
    </row>
    <row r="210" spans="1:22" s="681" customFormat="1" ht="12.75" hidden="1" customHeight="1" x14ac:dyDescent="0.2">
      <c r="A210" s="1123"/>
      <c r="B210" s="2051" t="s">
        <v>793</v>
      </c>
      <c r="C210" s="2052"/>
      <c r="D210" s="2053"/>
      <c r="E210" s="1104" t="s">
        <v>617</v>
      </c>
      <c r="F210" s="1173"/>
      <c r="G210" s="1173"/>
      <c r="H210" s="1124"/>
      <c r="I210" s="1124">
        <v>210.47805380000003</v>
      </c>
      <c r="J210" s="1125"/>
      <c r="K210" s="1074">
        <v>210.47805380000003</v>
      </c>
      <c r="L210" s="1125"/>
      <c r="M210" s="1125"/>
      <c r="N210" s="1125"/>
      <c r="O210" s="1125"/>
      <c r="P210" s="1113"/>
      <c r="Q210" s="1113"/>
    </row>
    <row r="211" spans="1:22" s="681" customFormat="1" ht="12.75" hidden="1" customHeight="1" x14ac:dyDescent="0.2">
      <c r="A211" s="1178"/>
      <c r="B211" s="1896"/>
      <c r="C211" s="1897"/>
      <c r="D211" s="1898"/>
      <c r="E211" s="1104"/>
      <c r="F211" s="1173"/>
      <c r="G211" s="1173"/>
      <c r="H211" s="1124"/>
      <c r="I211" s="1124"/>
      <c r="J211" s="1125"/>
      <c r="K211" s="1074">
        <v>0</v>
      </c>
      <c r="L211" s="1125"/>
      <c r="M211" s="1125"/>
      <c r="N211" s="1125"/>
      <c r="O211" s="1125"/>
      <c r="P211" s="1113"/>
      <c r="Q211" s="1113"/>
    </row>
    <row r="212" spans="1:22" s="681" customFormat="1" ht="12.75" hidden="1" customHeight="1" x14ac:dyDescent="0.2">
      <c r="A212" s="1123"/>
      <c r="B212" s="2051" t="s">
        <v>795</v>
      </c>
      <c r="C212" s="2052"/>
      <c r="D212" s="2053"/>
      <c r="E212" s="1104" t="s">
        <v>617</v>
      </c>
      <c r="F212" s="1124"/>
      <c r="G212" s="1124"/>
      <c r="H212" s="1124"/>
      <c r="I212" s="1124">
        <v>5334.6408806286718</v>
      </c>
      <c r="J212" s="1125"/>
      <c r="K212" s="1074">
        <v>5334.6408806286718</v>
      </c>
      <c r="L212" s="1125"/>
      <c r="M212" s="1125"/>
      <c r="N212" s="1125" t="e">
        <v>#DIV/0!</v>
      </c>
      <c r="O212" s="1125"/>
      <c r="P212" s="1113"/>
      <c r="Q212" s="1113"/>
    </row>
    <row r="213" spans="1:22" s="416" customFormat="1" ht="12" hidden="1" customHeight="1" x14ac:dyDescent="0.25">
      <c r="A213" s="1130"/>
      <c r="B213" s="2060" t="s">
        <v>796</v>
      </c>
      <c r="C213" s="2061"/>
      <c r="D213" s="2062"/>
      <c r="E213" s="1103" t="s">
        <v>617</v>
      </c>
      <c r="F213" s="1179"/>
      <c r="G213" s="1179"/>
      <c r="H213" s="1127"/>
      <c r="I213" s="1127">
        <v>3086.2987206424059</v>
      </c>
      <c r="J213" s="1060"/>
      <c r="K213" s="1115">
        <v>3086.2987206424059</v>
      </c>
    </row>
    <row r="214" spans="1:22" s="416" customFormat="1" ht="12" hidden="1" customHeight="1" x14ac:dyDescent="0.25">
      <c r="A214" s="1130"/>
      <c r="B214" s="2060" t="s">
        <v>797</v>
      </c>
      <c r="C214" s="2061"/>
      <c r="D214" s="2062"/>
      <c r="E214" s="1103" t="s">
        <v>617</v>
      </c>
      <c r="F214" s="1179"/>
      <c r="G214" s="1179"/>
      <c r="H214" s="1127"/>
      <c r="I214" s="1127">
        <v>678.98571854132933</v>
      </c>
      <c r="J214" s="1060"/>
      <c r="K214" s="1115">
        <v>678.98571854132933</v>
      </c>
    </row>
    <row r="215" spans="1:22" s="416" customFormat="1" ht="12" hidden="1" customHeight="1" x14ac:dyDescent="0.25">
      <c r="A215" s="1130"/>
      <c r="B215" s="2060" t="s">
        <v>872</v>
      </c>
      <c r="C215" s="2061"/>
      <c r="D215" s="2062"/>
      <c r="E215" s="1103" t="s">
        <v>617</v>
      </c>
      <c r="F215" s="1179"/>
      <c r="G215" s="1179"/>
      <c r="H215" s="1127"/>
      <c r="I215" s="1127">
        <v>154.30467737888512</v>
      </c>
      <c r="J215" s="1060"/>
      <c r="K215" s="1115">
        <v>154.30467737888512</v>
      </c>
    </row>
    <row r="216" spans="1:22" s="1072" customFormat="1" ht="12" hidden="1" customHeight="1" x14ac:dyDescent="0.2">
      <c r="A216" s="1122"/>
      <c r="B216" s="2060" t="s">
        <v>799</v>
      </c>
      <c r="C216" s="2061"/>
      <c r="D216" s="2062"/>
      <c r="E216" s="1103" t="s">
        <v>617</v>
      </c>
      <c r="F216" s="1174"/>
      <c r="G216" s="1174"/>
      <c r="H216" s="1127"/>
      <c r="I216" s="1127">
        <v>1415.0517640660512</v>
      </c>
      <c r="J216" s="1060"/>
      <c r="K216" s="1115">
        <v>1415.0517640660512</v>
      </c>
      <c r="L216" s="1060"/>
      <c r="M216" s="1060"/>
      <c r="N216" s="1060"/>
      <c r="O216" s="1060"/>
      <c r="P216" s="1175"/>
      <c r="Q216" s="1175"/>
    </row>
    <row r="217" spans="1:22" s="941" customFormat="1" ht="12.75" hidden="1" customHeight="1" x14ac:dyDescent="0.2">
      <c r="A217" s="1105"/>
      <c r="B217" s="2051"/>
      <c r="C217" s="2052"/>
      <c r="D217" s="2053"/>
      <c r="E217" s="1104"/>
      <c r="F217" s="1105"/>
      <c r="G217" s="1105"/>
      <c r="H217" s="1105"/>
      <c r="I217" s="1105"/>
      <c r="K217" s="1074">
        <v>0</v>
      </c>
    </row>
    <row r="218" spans="1:22" s="941" customFormat="1" ht="13.15" hidden="1" customHeight="1" x14ac:dyDescent="0.2">
      <c r="A218" s="1105"/>
      <c r="B218" s="2054" t="s">
        <v>873</v>
      </c>
      <c r="C218" s="2055"/>
      <c r="D218" s="2056"/>
      <c r="E218" s="1104" t="s">
        <v>617</v>
      </c>
      <c r="F218" s="1134">
        <v>0</v>
      </c>
      <c r="G218" s="1134">
        <v>0</v>
      </c>
      <c r="H218" s="1134">
        <v>0</v>
      </c>
      <c r="I218" s="1134">
        <v>24186.191371147102</v>
      </c>
      <c r="J218" s="954"/>
      <c r="K218" s="1074">
        <v>24186.191371147102</v>
      </c>
      <c r="N218" s="1096" t="e">
        <v>#DIV/0!</v>
      </c>
    </row>
    <row r="219" spans="1:22" s="941" customFormat="1" ht="13.15" hidden="1" customHeight="1" x14ac:dyDescent="0.2">
      <c r="B219" s="1180"/>
      <c r="C219" s="1180"/>
      <c r="D219" s="1180"/>
      <c r="E219" s="1181"/>
      <c r="F219" s="954"/>
      <c r="G219" s="954"/>
      <c r="H219" s="954"/>
      <c r="I219" s="954">
        <v>18851.550490518432</v>
      </c>
      <c r="J219" s="954"/>
      <c r="K219" s="1074"/>
    </row>
    <row r="220" spans="1:22" s="4" customFormat="1" ht="12.75" hidden="1" customHeight="1" x14ac:dyDescent="0.2">
      <c r="F220" s="660" t="e">
        <v>#REF!</v>
      </c>
      <c r="H220" s="564"/>
      <c r="I220" s="139">
        <v>18866.491323851762</v>
      </c>
      <c r="J220" s="1"/>
    </row>
    <row r="221" spans="1:22" s="941" customFormat="1" ht="12.75" hidden="1" customHeight="1" x14ac:dyDescent="0.2">
      <c r="B221" s="148" t="s">
        <v>801</v>
      </c>
      <c r="C221" s="148"/>
      <c r="D221" s="148"/>
      <c r="E221" s="148"/>
      <c r="F221" s="148"/>
      <c r="G221" s="148"/>
      <c r="H221" s="148"/>
      <c r="I221" s="148"/>
      <c r="J221" s="148"/>
    </row>
    <row r="222" spans="1:22" ht="12.75" hidden="1" customHeight="1" x14ac:dyDescent="0.2">
      <c r="A222" s="148"/>
      <c r="H222" s="564"/>
      <c r="K222" s="564"/>
      <c r="P222" s="148"/>
      <c r="Q222" s="148"/>
      <c r="R222" s="148"/>
      <c r="S222" s="148"/>
      <c r="T222" s="148"/>
      <c r="U222" s="148"/>
      <c r="V222" s="148"/>
    </row>
    <row r="223" spans="1:22" ht="12.75" hidden="1" customHeight="1" x14ac:dyDescent="0.2">
      <c r="A223" s="148"/>
      <c r="P223" s="148"/>
      <c r="Q223" s="148"/>
      <c r="R223" s="148"/>
      <c r="S223" s="148"/>
      <c r="T223" s="148"/>
      <c r="U223" s="148"/>
      <c r="V223" s="148"/>
    </row>
  </sheetData>
  <mergeCells count="44">
    <mergeCell ref="B184:D184"/>
    <mergeCell ref="B130:C130"/>
    <mergeCell ref="B173:D173"/>
    <mergeCell ref="B175:D175"/>
    <mergeCell ref="B176:D176"/>
    <mergeCell ref="B177:D177"/>
    <mergeCell ref="B178:D178"/>
    <mergeCell ref="B179:D179"/>
    <mergeCell ref="B180:D180"/>
    <mergeCell ref="B181:D181"/>
    <mergeCell ref="B182:D182"/>
    <mergeCell ref="B183:D183"/>
    <mergeCell ref="B197:D197"/>
    <mergeCell ref="B186:D186"/>
    <mergeCell ref="B187:D187"/>
    <mergeCell ref="B188:D188"/>
    <mergeCell ref="B189:D189"/>
    <mergeCell ref="B190:D190"/>
    <mergeCell ref="B191:D191"/>
    <mergeCell ref="B192:D192"/>
    <mergeCell ref="B193:D193"/>
    <mergeCell ref="B194:D194"/>
    <mergeCell ref="B195:D195"/>
    <mergeCell ref="B196:D196"/>
    <mergeCell ref="B209:D209"/>
    <mergeCell ref="B198:D198"/>
    <mergeCell ref="B199:D199"/>
    <mergeCell ref="B200:D200"/>
    <mergeCell ref="B201:D201"/>
    <mergeCell ref="B202:D202"/>
    <mergeCell ref="B203:D203"/>
    <mergeCell ref="B204:D204"/>
    <mergeCell ref="B205:D205"/>
    <mergeCell ref="B206:D206"/>
    <mergeCell ref="B207:D207"/>
    <mergeCell ref="B208:D208"/>
    <mergeCell ref="B217:D217"/>
    <mergeCell ref="B218:D218"/>
    <mergeCell ref="B210:D210"/>
    <mergeCell ref="B212:D212"/>
    <mergeCell ref="B213:D213"/>
    <mergeCell ref="B214:D214"/>
    <mergeCell ref="B215:D215"/>
    <mergeCell ref="B216:D216"/>
  </mergeCells>
  <pageMargins left="0.70866141732283472" right="0.51181102362204722" top="0.35433070866141736" bottom="0.35433070866141736"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06"/>
  <sheetViews>
    <sheetView view="pageBreakPreview" zoomScale="96" zoomScaleNormal="100" zoomScaleSheetLayoutView="96" workbookViewId="0">
      <selection activeCell="AH24" sqref="AH24"/>
    </sheetView>
  </sheetViews>
  <sheetFormatPr defaultColWidth="9.140625" defaultRowHeight="12.75" x14ac:dyDescent="0.2"/>
  <cols>
    <col min="1" max="1" width="3.42578125" style="941" customWidth="1"/>
    <col min="2" max="2" width="33.28515625" style="941" customWidth="1"/>
    <col min="3" max="3" width="5.5703125" style="941" customWidth="1"/>
    <col min="4" max="4" width="5.7109375" style="941" customWidth="1"/>
    <col min="5" max="7" width="8.85546875" style="1096" customWidth="1"/>
    <col min="8" max="9" width="8.42578125" style="941" customWidth="1"/>
    <col min="10" max="10" width="7.85546875" style="941" customWidth="1"/>
    <col min="11" max="11" width="8.7109375" style="941" hidden="1" customWidth="1"/>
    <col min="12" max="12" width="7.140625" style="941" hidden="1" customWidth="1"/>
    <col min="13" max="13" width="7.85546875" style="941" hidden="1" customWidth="1"/>
    <col min="14" max="14" width="11.42578125" style="944" hidden="1" customWidth="1"/>
    <col min="15" max="15" width="12.42578125" style="946" hidden="1" customWidth="1"/>
    <col min="16" max="16" width="12.42578125" style="944" hidden="1" customWidth="1"/>
    <col min="17" max="17" width="12" style="944" hidden="1" customWidth="1"/>
    <col min="18" max="18" width="11.85546875" style="944" hidden="1" customWidth="1"/>
    <col min="19" max="19" width="9.42578125" style="944" hidden="1" customWidth="1"/>
    <col min="20" max="20" width="7.85546875" style="944" hidden="1" customWidth="1"/>
    <col min="21" max="21" width="11.28515625" style="944" hidden="1" customWidth="1"/>
    <col min="22" max="22" width="7" style="944" hidden="1" customWidth="1"/>
    <col min="23" max="23" width="7.28515625" style="944" hidden="1" customWidth="1"/>
    <col min="24" max="24" width="0" style="941" hidden="1" customWidth="1"/>
    <col min="25" max="16384" width="9.140625" style="941"/>
  </cols>
  <sheetData>
    <row r="1" spans="1:23" ht="18.75" x14ac:dyDescent="0.3">
      <c r="B1" s="1182" t="s">
        <v>874</v>
      </c>
      <c r="D1" s="1097"/>
      <c r="G1" s="941"/>
      <c r="I1" s="825" t="s">
        <v>875</v>
      </c>
      <c r="M1" s="944"/>
      <c r="N1" s="946"/>
      <c r="O1" s="944"/>
      <c r="W1" s="941"/>
    </row>
    <row r="2" spans="1:23" s="964" customFormat="1" ht="20.25" customHeight="1" x14ac:dyDescent="0.2">
      <c r="D2" s="1019"/>
      <c r="E2" s="967"/>
      <c r="F2" s="967"/>
      <c r="M2" s="966"/>
      <c r="N2" s="990"/>
      <c r="O2" s="966"/>
      <c r="P2" s="966"/>
      <c r="Q2" s="966"/>
      <c r="R2" s="966"/>
      <c r="S2" s="966"/>
      <c r="T2" s="966"/>
      <c r="U2" s="966"/>
      <c r="V2" s="966"/>
    </row>
    <row r="3" spans="1:23" s="964" customFormat="1" ht="16.899999999999999" customHeight="1" x14ac:dyDescent="0.2">
      <c r="A3" s="998">
        <v>1</v>
      </c>
      <c r="B3" s="956" t="s">
        <v>876</v>
      </c>
      <c r="E3" s="967"/>
      <c r="F3" s="967"/>
      <c r="G3" s="1917">
        <v>6805.6451430716597</v>
      </c>
      <c r="H3" s="964" t="s">
        <v>617</v>
      </c>
      <c r="K3" s="967">
        <v>7129.24914307166</v>
      </c>
      <c r="L3" s="967">
        <v>6830.1181247135673</v>
      </c>
      <c r="M3" s="958"/>
      <c r="N3" s="1183">
        <v>8872.0545030716603</v>
      </c>
      <c r="O3" s="1017">
        <v>8872.0545030716585</v>
      </c>
      <c r="P3" s="967"/>
      <c r="Q3" s="967">
        <v>0</v>
      </c>
      <c r="R3" s="966"/>
      <c r="S3" s="966"/>
      <c r="T3" s="966"/>
      <c r="U3" s="966"/>
      <c r="V3" s="966"/>
    </row>
    <row r="4" spans="1:23" s="964" customFormat="1" ht="16.899999999999999" customHeight="1" x14ac:dyDescent="0.2">
      <c r="A4" s="998">
        <v>2</v>
      </c>
      <c r="B4" s="1184" t="s">
        <v>818</v>
      </c>
      <c r="E4" s="967"/>
      <c r="F4" s="967"/>
      <c r="G4" s="958">
        <v>1497.2419314757651</v>
      </c>
      <c r="H4" s="964" t="s">
        <v>617</v>
      </c>
      <c r="L4" s="979">
        <v>313188.40000000002</v>
      </c>
      <c r="M4" s="956"/>
      <c r="N4" s="1183">
        <v>1951.8519906757649</v>
      </c>
      <c r="O4" s="1017">
        <v>1951.8519906757649</v>
      </c>
      <c r="P4" s="967"/>
      <c r="Q4" s="967"/>
      <c r="R4" s="966"/>
      <c r="S4" s="966"/>
      <c r="T4" s="966"/>
      <c r="U4" s="966"/>
      <c r="V4" s="966"/>
    </row>
    <row r="5" spans="1:23" s="964" customFormat="1" ht="16.899999999999999" customHeight="1" x14ac:dyDescent="0.2">
      <c r="A5" s="998">
        <v>3</v>
      </c>
      <c r="B5" s="1184" t="s">
        <v>877</v>
      </c>
      <c r="E5" s="967"/>
      <c r="F5" s="967"/>
      <c r="G5" s="1917">
        <v>323.60399999999998</v>
      </c>
      <c r="H5" s="964" t="s">
        <v>617</v>
      </c>
      <c r="I5" s="966"/>
      <c r="L5" s="964">
        <v>341.43200000000007</v>
      </c>
      <c r="M5" s="966"/>
      <c r="N5" s="1183">
        <v>10823.906493747425</v>
      </c>
      <c r="O5" s="1017">
        <v>10823.906493747423</v>
      </c>
      <c r="P5" s="1017">
        <v>0</v>
      </c>
      <c r="Q5" s="967"/>
      <c r="R5" s="966"/>
      <c r="S5" s="966"/>
      <c r="T5" s="966"/>
      <c r="U5" s="966"/>
      <c r="V5" s="966"/>
    </row>
    <row r="6" spans="1:23" s="964" customFormat="1" ht="16.899999999999999" customHeight="1" x14ac:dyDescent="0.2">
      <c r="A6" s="998">
        <v>4</v>
      </c>
      <c r="B6" s="1184" t="s">
        <v>818</v>
      </c>
      <c r="E6" s="967"/>
      <c r="F6" s="967"/>
      <c r="G6" s="958">
        <v>71.192880000000002</v>
      </c>
      <c r="H6" s="964" t="s">
        <v>617</v>
      </c>
      <c r="M6" s="975"/>
      <c r="N6" s="990"/>
      <c r="O6" s="966"/>
      <c r="P6" s="967">
        <v>0</v>
      </c>
      <c r="Q6" s="966"/>
      <c r="R6" s="966"/>
      <c r="S6" s="966"/>
      <c r="T6" s="966"/>
      <c r="U6" s="966"/>
      <c r="V6" s="966"/>
    </row>
    <row r="7" spans="1:23" s="964" customFormat="1" ht="16.899999999999999" customHeight="1" x14ac:dyDescent="0.2">
      <c r="A7" s="998">
        <v>5</v>
      </c>
      <c r="B7" s="956" t="s">
        <v>649</v>
      </c>
      <c r="E7" s="967"/>
      <c r="F7" s="967"/>
      <c r="G7" s="958">
        <v>356.43876</v>
      </c>
      <c r="H7" s="964" t="s">
        <v>617</v>
      </c>
      <c r="M7" s="956"/>
      <c r="N7" s="990"/>
      <c r="O7" s="966"/>
      <c r="P7" s="1017">
        <v>0</v>
      </c>
      <c r="Q7" s="966"/>
      <c r="R7" s="966"/>
      <c r="S7" s="966"/>
      <c r="T7" s="966"/>
      <c r="U7" s="966"/>
      <c r="V7" s="966"/>
    </row>
    <row r="8" spans="1:23" s="964" customFormat="1" ht="17.45" customHeight="1" x14ac:dyDescent="0.2">
      <c r="A8" s="998">
        <v>6</v>
      </c>
      <c r="B8" s="956" t="s">
        <v>878</v>
      </c>
      <c r="E8" s="967"/>
      <c r="F8" s="967"/>
      <c r="G8" s="958">
        <v>1847.1048000000001</v>
      </c>
      <c r="H8" s="964" t="s">
        <v>617</v>
      </c>
      <c r="M8" s="966"/>
      <c r="N8" s="990"/>
      <c r="O8" s="966"/>
      <c r="P8" s="966"/>
      <c r="Q8" s="966"/>
      <c r="R8" s="966"/>
      <c r="S8" s="966"/>
      <c r="T8" s="966"/>
      <c r="U8" s="966"/>
      <c r="V8" s="966"/>
    </row>
    <row r="9" spans="1:23" s="964" customFormat="1" ht="17.45" hidden="1" customHeight="1" x14ac:dyDescent="0.2">
      <c r="A9" s="998"/>
      <c r="B9" s="956"/>
      <c r="E9" s="967"/>
      <c r="F9" s="967"/>
      <c r="G9" s="958"/>
      <c r="M9" s="966"/>
      <c r="N9" s="990"/>
      <c r="O9" s="966"/>
      <c r="P9" s="966"/>
      <c r="Q9" s="966"/>
      <c r="R9" s="966"/>
      <c r="S9" s="966"/>
      <c r="T9" s="966"/>
      <c r="U9" s="966"/>
      <c r="V9" s="966"/>
    </row>
    <row r="10" spans="1:23" s="964" customFormat="1" ht="17.45" hidden="1" customHeight="1" x14ac:dyDescent="0.2">
      <c r="A10" s="998"/>
      <c r="B10" s="956"/>
      <c r="E10" s="967"/>
      <c r="F10" s="967"/>
      <c r="G10" s="958"/>
      <c r="M10" s="966"/>
      <c r="N10" s="990"/>
      <c r="O10" s="966"/>
      <c r="P10" s="966"/>
      <c r="Q10" s="966"/>
      <c r="R10" s="966"/>
      <c r="S10" s="966"/>
      <c r="T10" s="966"/>
      <c r="U10" s="966"/>
      <c r="V10" s="966"/>
    </row>
    <row r="11" spans="1:23" s="964" customFormat="1" ht="17.45" hidden="1" customHeight="1" x14ac:dyDescent="0.2">
      <c r="A11" s="998"/>
      <c r="B11" s="956"/>
      <c r="E11" s="967"/>
      <c r="F11" s="967"/>
      <c r="G11" s="958"/>
      <c r="M11" s="966"/>
      <c r="N11" s="990"/>
      <c r="O11" s="966"/>
      <c r="P11" s="966"/>
      <c r="Q11" s="966"/>
      <c r="R11" s="966"/>
      <c r="S11" s="966"/>
      <c r="T11" s="966"/>
      <c r="U11" s="966"/>
      <c r="V11" s="966"/>
    </row>
    <row r="12" spans="1:23" s="964" customFormat="1" ht="17.45" hidden="1" customHeight="1" x14ac:dyDescent="0.2">
      <c r="A12" s="998"/>
      <c r="B12" s="956"/>
      <c r="E12" s="967"/>
      <c r="F12" s="967"/>
      <c r="G12" s="958"/>
      <c r="M12" s="966"/>
      <c r="N12" s="990"/>
      <c r="O12" s="966"/>
      <c r="P12" s="966"/>
      <c r="Q12" s="966"/>
      <c r="R12" s="966"/>
      <c r="S12" s="966"/>
      <c r="T12" s="966"/>
      <c r="U12" s="966"/>
      <c r="V12" s="966"/>
    </row>
    <row r="13" spans="1:23" s="964" customFormat="1" ht="17.45" hidden="1" customHeight="1" x14ac:dyDescent="0.2">
      <c r="A13" s="998"/>
      <c r="B13" s="956"/>
      <c r="E13" s="967"/>
      <c r="F13" s="967"/>
      <c r="G13" s="958"/>
      <c r="M13" s="966"/>
      <c r="N13" s="990"/>
      <c r="O13" s="966"/>
      <c r="P13" s="966"/>
      <c r="Q13" s="966"/>
      <c r="R13" s="966"/>
      <c r="S13" s="966"/>
      <c r="T13" s="966"/>
      <c r="U13" s="966"/>
      <c r="V13" s="966"/>
    </row>
    <row r="14" spans="1:23" s="964" customFormat="1" ht="17.45" hidden="1" customHeight="1" x14ac:dyDescent="0.2">
      <c r="A14" s="998"/>
      <c r="B14" s="956"/>
      <c r="E14" s="967"/>
      <c r="F14" s="967"/>
      <c r="G14" s="958"/>
      <c r="M14" s="966"/>
      <c r="N14" s="990"/>
      <c r="O14" s="966"/>
      <c r="P14" s="966"/>
      <c r="Q14" s="966"/>
      <c r="R14" s="966"/>
      <c r="S14" s="966"/>
      <c r="T14" s="966"/>
      <c r="U14" s="966"/>
      <c r="V14" s="966"/>
    </row>
    <row r="15" spans="1:23" s="964" customFormat="1" ht="17.45" hidden="1" customHeight="1" x14ac:dyDescent="0.2">
      <c r="A15" s="998"/>
      <c r="B15" s="956"/>
      <c r="E15" s="967"/>
      <c r="F15" s="967"/>
      <c r="G15" s="958"/>
      <c r="M15" s="966"/>
      <c r="N15" s="990"/>
      <c r="O15" s="966"/>
      <c r="P15" s="966"/>
      <c r="Q15" s="966"/>
      <c r="R15" s="966"/>
      <c r="S15" s="966"/>
      <c r="T15" s="966"/>
      <c r="U15" s="966"/>
      <c r="V15" s="966"/>
    </row>
    <row r="16" spans="1:23" s="964" customFormat="1" ht="17.45" hidden="1" customHeight="1" x14ac:dyDescent="0.2">
      <c r="A16" s="998"/>
      <c r="B16" s="956"/>
      <c r="E16" s="967"/>
      <c r="F16" s="967"/>
      <c r="G16" s="958"/>
      <c r="M16" s="966"/>
      <c r="N16" s="990"/>
      <c r="O16" s="966"/>
      <c r="P16" s="966"/>
      <c r="Q16" s="966"/>
      <c r="R16" s="966"/>
      <c r="S16" s="966"/>
      <c r="T16" s="966"/>
      <c r="U16" s="966"/>
      <c r="V16" s="966"/>
    </row>
    <row r="17" spans="1:29" s="964" customFormat="1" ht="17.45" hidden="1" customHeight="1" x14ac:dyDescent="0.2">
      <c r="A17" s="998"/>
      <c r="B17" s="956"/>
      <c r="E17" s="967"/>
      <c r="F17" s="967"/>
      <c r="G17" s="958"/>
      <c r="M17" s="966"/>
      <c r="N17" s="990"/>
      <c r="O17" s="966"/>
      <c r="P17" s="966"/>
      <c r="Q17" s="966"/>
      <c r="R17" s="966"/>
      <c r="S17" s="966"/>
      <c r="T17" s="966"/>
      <c r="U17" s="966"/>
      <c r="V17" s="966"/>
    </row>
    <row r="18" spans="1:29" s="964" customFormat="1" ht="17.45" hidden="1" customHeight="1" x14ac:dyDescent="0.2">
      <c r="A18" s="998"/>
      <c r="B18" s="956"/>
      <c r="E18" s="967"/>
      <c r="F18" s="967"/>
      <c r="G18" s="958"/>
      <c r="M18" s="966"/>
      <c r="N18" s="990"/>
      <c r="O18" s="966"/>
      <c r="P18" s="966"/>
      <c r="Q18" s="966"/>
      <c r="R18" s="966"/>
      <c r="S18" s="966"/>
      <c r="T18" s="966"/>
      <c r="U18" s="966"/>
      <c r="V18" s="966"/>
    </row>
    <row r="19" spans="1:29" s="964" customFormat="1" ht="17.45" hidden="1" customHeight="1" x14ac:dyDescent="0.2">
      <c r="A19" s="998"/>
      <c r="B19" s="956"/>
      <c r="E19" s="967"/>
      <c r="F19" s="967"/>
      <c r="G19" s="958"/>
      <c r="M19" s="966"/>
      <c r="N19" s="990"/>
      <c r="O19" s="966"/>
      <c r="P19" s="966"/>
      <c r="Q19" s="966"/>
      <c r="R19" s="966"/>
      <c r="S19" s="966"/>
      <c r="T19" s="966"/>
      <c r="U19" s="966"/>
      <c r="V19" s="966"/>
    </row>
    <row r="20" spans="1:29" s="964" customFormat="1" ht="12" hidden="1" x14ac:dyDescent="0.2">
      <c r="A20" s="956"/>
      <c r="B20" s="977"/>
      <c r="C20" s="977"/>
      <c r="D20" s="977"/>
      <c r="E20" s="997"/>
      <c r="F20" s="997"/>
      <c r="G20" s="977"/>
      <c r="I20" s="1185"/>
      <c r="J20" s="1185"/>
      <c r="K20" s="1185"/>
      <c r="L20" s="1185"/>
      <c r="M20" s="1186"/>
      <c r="N20" s="990"/>
      <c r="O20" s="966"/>
      <c r="P20" s="966"/>
      <c r="Q20" s="966"/>
      <c r="R20" s="966"/>
      <c r="S20" s="966"/>
      <c r="T20" s="966"/>
      <c r="U20" s="966"/>
      <c r="V20" s="966"/>
    </row>
    <row r="21" spans="1:29" s="680" customFormat="1" ht="12" hidden="1" x14ac:dyDescent="0.2">
      <c r="A21" s="680">
        <v>7</v>
      </c>
      <c r="B21" s="1033" t="s">
        <v>879</v>
      </c>
      <c r="G21" s="1140" t="e">
        <v>#REF!</v>
      </c>
      <c r="H21" s="955" t="s">
        <v>617</v>
      </c>
      <c r="I21" s="1185"/>
      <c r="J21" s="1185"/>
      <c r="K21" s="1185"/>
      <c r="L21" s="1185"/>
      <c r="M21" s="1186"/>
      <c r="N21" s="739"/>
      <c r="O21" s="677"/>
      <c r="P21" s="677"/>
      <c r="Q21" s="677"/>
      <c r="R21" s="677"/>
      <c r="S21" s="677"/>
      <c r="T21" s="677"/>
      <c r="U21" s="677"/>
      <c r="X21" s="1044"/>
      <c r="Y21" s="1187"/>
      <c r="Z21" s="1187"/>
      <c r="AA21" s="1187"/>
      <c r="AB21" s="1188"/>
      <c r="AC21" s="1187"/>
    </row>
    <row r="22" spans="1:29" s="682" customFormat="1" ht="41.25" customHeight="1" x14ac:dyDescent="0.2">
      <c r="B22" s="1189" t="s">
        <v>880</v>
      </c>
      <c r="C22" s="1190" t="s">
        <v>881</v>
      </c>
      <c r="D22" s="1190" t="s">
        <v>882</v>
      </c>
      <c r="E22" s="1190" t="s">
        <v>883</v>
      </c>
      <c r="F22" s="1191" t="s">
        <v>884</v>
      </c>
      <c r="G22" s="1192"/>
      <c r="I22" s="1193"/>
      <c r="J22" s="901"/>
      <c r="K22" s="1193"/>
      <c r="L22" s="1193"/>
      <c r="M22" s="1193"/>
      <c r="N22" s="1193"/>
      <c r="O22" s="1193"/>
      <c r="P22" s="1193"/>
      <c r="Q22" s="1193"/>
      <c r="T22" s="681"/>
    </row>
    <row r="23" spans="1:29" s="682" customFormat="1" x14ac:dyDescent="0.2">
      <c r="B23" s="98" t="s">
        <v>1450</v>
      </c>
      <c r="C23" s="98" t="s">
        <v>1414</v>
      </c>
      <c r="D23" s="98">
        <v>25</v>
      </c>
      <c r="E23" s="98">
        <v>2500</v>
      </c>
      <c r="F23" s="1124">
        <v>62500</v>
      </c>
      <c r="G23" s="576">
        <v>62.358333333333334</v>
      </c>
      <c r="I23" s="1193"/>
      <c r="J23" s="901"/>
      <c r="K23" s="917">
        <v>191748</v>
      </c>
      <c r="L23" s="204">
        <v>38349.600000000006</v>
      </c>
      <c r="M23" s="917"/>
      <c r="N23" s="204">
        <v>28762.199999999997</v>
      </c>
      <c r="O23" s="204">
        <v>67111.8</v>
      </c>
      <c r="P23" s="204">
        <v>38349.600000000006</v>
      </c>
      <c r="Q23" s="204">
        <v>15979</v>
      </c>
      <c r="R23" s="204">
        <v>0</v>
      </c>
      <c r="S23" s="917"/>
      <c r="T23" s="917"/>
      <c r="U23" s="917"/>
      <c r="V23" s="917"/>
      <c r="W23" s="917"/>
      <c r="X23" s="917"/>
      <c r="Y23" s="917"/>
      <c r="Z23" s="917"/>
      <c r="AA23" s="917"/>
      <c r="AB23" s="917"/>
    </row>
    <row r="24" spans="1:29" s="682" customFormat="1" x14ac:dyDescent="0.2">
      <c r="B24" s="98" t="s">
        <v>1413</v>
      </c>
      <c r="C24" s="98" t="s">
        <v>1414</v>
      </c>
      <c r="D24" s="98">
        <v>25</v>
      </c>
      <c r="E24" s="98">
        <v>2500</v>
      </c>
      <c r="F24" s="1124">
        <v>62500</v>
      </c>
      <c r="G24" s="576">
        <v>66.958333333333329</v>
      </c>
      <c r="I24" s="1193"/>
      <c r="J24" s="901"/>
      <c r="K24" s="1193"/>
      <c r="L24" s="1193"/>
      <c r="M24" s="1193"/>
      <c r="N24" s="1193"/>
      <c r="O24" s="1193"/>
      <c r="P24" s="1193"/>
      <c r="Q24" s="917">
        <v>7989.5</v>
      </c>
      <c r="T24" s="681"/>
    </row>
    <row r="25" spans="1:29" s="682" customFormat="1" hidden="1" x14ac:dyDescent="0.2">
      <c r="B25" s="98" t="s">
        <v>1344</v>
      </c>
      <c r="C25" s="98" t="s">
        <v>1345</v>
      </c>
      <c r="D25" s="98">
        <v>0</v>
      </c>
      <c r="E25" s="98">
        <v>2659</v>
      </c>
      <c r="F25" s="1124">
        <v>0</v>
      </c>
      <c r="G25" s="576">
        <v>222.875</v>
      </c>
      <c r="I25" s="1193"/>
      <c r="J25" s="901"/>
      <c r="K25" s="1193"/>
      <c r="L25" s="1193"/>
      <c r="M25" s="1193"/>
      <c r="N25" s="1193"/>
      <c r="O25" s="1193"/>
      <c r="P25" s="1193"/>
      <c r="Q25" s="1193"/>
      <c r="T25" s="681"/>
    </row>
    <row r="26" spans="1:29" s="682" customFormat="1" x14ac:dyDescent="0.2">
      <c r="B26" s="98" t="s">
        <v>1346</v>
      </c>
      <c r="C26" s="98" t="s">
        <v>1079</v>
      </c>
      <c r="D26" s="98">
        <v>250</v>
      </c>
      <c r="E26" s="98">
        <v>77</v>
      </c>
      <c r="F26" s="1124">
        <v>19250</v>
      </c>
      <c r="G26" s="576">
        <v>32.083333333333336</v>
      </c>
      <c r="I26" s="1193"/>
      <c r="J26" s="901"/>
      <c r="K26" s="1193"/>
      <c r="L26" s="1193"/>
      <c r="M26" s="1193"/>
      <c r="N26" s="1193"/>
      <c r="O26" s="1193"/>
      <c r="P26" s="1193"/>
      <c r="Q26" s="1193"/>
      <c r="T26" s="681"/>
    </row>
    <row r="27" spans="1:29" s="682" customFormat="1" x14ac:dyDescent="0.2">
      <c r="B27" s="98" t="s">
        <v>1347</v>
      </c>
      <c r="C27" s="98" t="s">
        <v>1079</v>
      </c>
      <c r="D27" s="98">
        <v>300</v>
      </c>
      <c r="E27" s="98">
        <v>70.900000000000006</v>
      </c>
      <c r="F27" s="1124">
        <v>21270</v>
      </c>
      <c r="G27" s="576">
        <v>41.533333333333339</v>
      </c>
      <c r="I27" s="1193"/>
      <c r="J27" s="901"/>
      <c r="K27" s="1193"/>
      <c r="L27" s="1193"/>
      <c r="M27" s="1193"/>
      <c r="N27" s="1193"/>
      <c r="O27" s="1193"/>
      <c r="P27" s="1193"/>
      <c r="Q27" s="1193"/>
      <c r="T27" s="681"/>
    </row>
    <row r="28" spans="1:29" s="682" customFormat="1" x14ac:dyDescent="0.2">
      <c r="B28" s="98" t="s">
        <v>1451</v>
      </c>
      <c r="C28" s="98" t="s">
        <v>1079</v>
      </c>
      <c r="D28" s="98">
        <v>250</v>
      </c>
      <c r="E28" s="98">
        <v>109</v>
      </c>
      <c r="F28" s="1124">
        <v>27250</v>
      </c>
      <c r="G28" s="576">
        <v>50.208333333333336</v>
      </c>
      <c r="I28" s="1193"/>
      <c r="J28" s="901"/>
      <c r="K28" s="1193"/>
      <c r="L28" s="1193"/>
      <c r="M28" s="1193"/>
      <c r="N28" s="1193"/>
      <c r="O28" s="1193"/>
      <c r="P28" s="1193"/>
      <c r="Q28" s="1193"/>
      <c r="T28" s="681"/>
    </row>
    <row r="29" spans="1:29" s="682" customFormat="1" x14ac:dyDescent="0.2">
      <c r="B29" s="98" t="s">
        <v>1452</v>
      </c>
      <c r="C29" s="98" t="s">
        <v>1079</v>
      </c>
      <c r="D29" s="98">
        <v>2</v>
      </c>
      <c r="E29" s="98">
        <v>327.5</v>
      </c>
      <c r="F29" s="1124">
        <v>655</v>
      </c>
      <c r="G29" s="576">
        <v>44.5</v>
      </c>
      <c r="I29" s="1193"/>
      <c r="J29" s="901"/>
      <c r="K29" s="1193"/>
      <c r="L29" s="1193"/>
      <c r="M29" s="1193"/>
      <c r="N29" s="1193"/>
      <c r="O29" s="1193"/>
      <c r="P29" s="1193"/>
      <c r="Q29" s="1193"/>
      <c r="T29" s="681"/>
    </row>
    <row r="30" spans="1:29" s="682" customFormat="1" x14ac:dyDescent="0.2">
      <c r="B30" s="98" t="s">
        <v>1453</v>
      </c>
      <c r="C30" s="98" t="s">
        <v>1079</v>
      </c>
      <c r="D30" s="98">
        <v>5</v>
      </c>
      <c r="E30" s="98">
        <v>67</v>
      </c>
      <c r="F30" s="1124">
        <v>335</v>
      </c>
      <c r="G30" s="576">
        <v>49.041666666666671</v>
      </c>
      <c r="I30" s="1193"/>
      <c r="J30" s="901"/>
      <c r="K30" s="1193"/>
      <c r="L30" s="1193"/>
      <c r="M30" s="1193"/>
      <c r="N30" s="1193"/>
      <c r="O30" s="1193"/>
      <c r="P30" s="1193"/>
      <c r="Q30" s="1193"/>
      <c r="T30" s="681"/>
    </row>
    <row r="31" spans="1:29" s="682" customFormat="1" x14ac:dyDescent="0.2">
      <c r="B31" s="98" t="s">
        <v>1454</v>
      </c>
      <c r="C31" s="98" t="s">
        <v>1079</v>
      </c>
      <c r="D31" s="98">
        <v>5</v>
      </c>
      <c r="E31" s="98">
        <v>69</v>
      </c>
      <c r="F31" s="1124">
        <v>345</v>
      </c>
      <c r="G31" s="576">
        <v>71.208333333333343</v>
      </c>
      <c r="I31" s="1193"/>
      <c r="J31" s="901"/>
      <c r="K31" s="1193"/>
      <c r="L31" s="1193"/>
      <c r="M31" s="1193"/>
      <c r="N31" s="1193"/>
      <c r="O31" s="1193"/>
      <c r="P31" s="1193"/>
      <c r="Q31" s="1193"/>
      <c r="T31" s="681"/>
    </row>
    <row r="32" spans="1:29" s="682" customFormat="1" hidden="1" x14ac:dyDescent="0.2">
      <c r="B32" s="98" t="s">
        <v>1347</v>
      </c>
      <c r="C32" s="98" t="s">
        <v>1079</v>
      </c>
      <c r="D32" s="98">
        <v>0</v>
      </c>
      <c r="E32" s="98">
        <v>70.900000000000006</v>
      </c>
      <c r="F32" s="1124">
        <v>0</v>
      </c>
      <c r="G32" s="576">
        <v>209.04166666666666</v>
      </c>
      <c r="I32" s="1193"/>
      <c r="J32" s="901"/>
      <c r="K32" s="1193"/>
      <c r="L32" s="1193"/>
      <c r="M32" s="1193"/>
      <c r="N32" s="1193"/>
      <c r="O32" s="1193"/>
      <c r="P32" s="1193"/>
      <c r="Q32" s="1193"/>
      <c r="T32" s="681"/>
    </row>
    <row r="33" spans="2:20" s="682" customFormat="1" hidden="1" x14ac:dyDescent="0.2">
      <c r="B33" s="98" t="s">
        <v>1346</v>
      </c>
      <c r="C33" s="98" t="s">
        <v>1079</v>
      </c>
      <c r="D33" s="98">
        <v>0</v>
      </c>
      <c r="E33" s="98">
        <v>77</v>
      </c>
      <c r="F33" s="1124">
        <v>0</v>
      </c>
      <c r="G33" s="576">
        <v>65.208333333333343</v>
      </c>
      <c r="I33" s="1193"/>
      <c r="J33" s="901"/>
      <c r="K33" s="1193"/>
      <c r="L33" s="1193"/>
      <c r="M33" s="1193"/>
      <c r="N33" s="1193"/>
      <c r="O33" s="1193"/>
      <c r="P33" s="1193"/>
      <c r="Q33" s="1193"/>
      <c r="T33" s="681"/>
    </row>
    <row r="34" spans="2:20" s="682" customFormat="1" hidden="1" x14ac:dyDescent="0.2">
      <c r="B34" s="98" t="s">
        <v>1455</v>
      </c>
      <c r="C34" s="98" t="s">
        <v>1079</v>
      </c>
      <c r="D34" s="98">
        <v>0</v>
      </c>
      <c r="E34" s="98">
        <v>77</v>
      </c>
      <c r="F34" s="1124">
        <v>0</v>
      </c>
      <c r="G34" s="576">
        <v>46.458333333333336</v>
      </c>
      <c r="I34" s="1193"/>
      <c r="J34" s="901"/>
      <c r="K34" s="1193"/>
      <c r="L34" s="1193"/>
      <c r="M34" s="1193"/>
      <c r="N34" s="1193"/>
      <c r="O34" s="1193"/>
      <c r="P34" s="1193"/>
      <c r="Q34" s="1193"/>
      <c r="T34" s="681"/>
    </row>
    <row r="35" spans="2:20" s="682" customFormat="1" x14ac:dyDescent="0.2">
      <c r="B35" s="98" t="s">
        <v>1456</v>
      </c>
      <c r="C35" s="98" t="s">
        <v>1079</v>
      </c>
      <c r="D35" s="98">
        <v>20</v>
      </c>
      <c r="E35" s="98">
        <v>130.80000000000001</v>
      </c>
      <c r="F35" s="1124">
        <v>2616</v>
      </c>
      <c r="G35" s="576">
        <v>1209.0416666666667</v>
      </c>
      <c r="I35" s="1193"/>
      <c r="J35" s="901"/>
      <c r="K35" s="1193"/>
      <c r="L35" s="1193"/>
      <c r="M35" s="1193"/>
      <c r="N35" s="1193"/>
      <c r="O35" s="1193"/>
      <c r="P35" s="1193"/>
      <c r="Q35" s="1193"/>
      <c r="T35" s="681"/>
    </row>
    <row r="36" spans="2:20" s="682" customFormat="1" hidden="1" x14ac:dyDescent="0.2">
      <c r="B36" s="98" t="s">
        <v>1415</v>
      </c>
      <c r="C36" s="98" t="s">
        <v>1079</v>
      </c>
      <c r="D36" s="98">
        <v>0</v>
      </c>
      <c r="E36" s="98">
        <v>180</v>
      </c>
      <c r="F36" s="1124">
        <v>0</v>
      </c>
      <c r="G36" s="576">
        <v>134</v>
      </c>
      <c r="I36" s="1193"/>
      <c r="J36" s="901"/>
      <c r="K36" s="1193"/>
      <c r="L36" s="1193"/>
      <c r="M36" s="1193"/>
      <c r="N36" s="1193"/>
      <c r="O36" s="1193"/>
      <c r="P36" s="1193"/>
      <c r="Q36" s="1193"/>
      <c r="T36" s="681"/>
    </row>
    <row r="37" spans="2:20" s="682" customFormat="1" hidden="1" x14ac:dyDescent="0.2">
      <c r="B37" s="98" t="s">
        <v>1416</v>
      </c>
      <c r="C37" s="98" t="s">
        <v>1079</v>
      </c>
      <c r="D37" s="98">
        <v>0</v>
      </c>
      <c r="E37" s="98">
        <v>369</v>
      </c>
      <c r="F37" s="1124">
        <v>0</v>
      </c>
      <c r="G37" s="576">
        <v>185.20833333333334</v>
      </c>
      <c r="I37" s="1193"/>
      <c r="J37" s="901"/>
      <c r="K37" s="1193"/>
      <c r="L37" s="1193"/>
      <c r="M37" s="1193"/>
      <c r="N37" s="1193"/>
      <c r="O37" s="1193"/>
      <c r="P37" s="1193"/>
      <c r="Q37" s="1193"/>
      <c r="T37" s="681"/>
    </row>
    <row r="38" spans="2:20" s="682" customFormat="1" x14ac:dyDescent="0.2">
      <c r="B38" s="98" t="s">
        <v>1457</v>
      </c>
      <c r="C38" s="98" t="s">
        <v>951</v>
      </c>
      <c r="D38" s="98">
        <v>40</v>
      </c>
      <c r="E38" s="98">
        <v>223</v>
      </c>
      <c r="F38" s="1124">
        <v>8920</v>
      </c>
      <c r="G38" s="576">
        <v>192</v>
      </c>
      <c r="I38" s="1193"/>
      <c r="J38" s="901"/>
      <c r="K38" s="1193"/>
      <c r="L38" s="1193"/>
      <c r="M38" s="1193"/>
      <c r="N38" s="1193"/>
      <c r="O38" s="1193"/>
      <c r="P38" s="1193"/>
      <c r="Q38" s="1193"/>
      <c r="T38" s="681"/>
    </row>
    <row r="39" spans="2:20" s="682" customFormat="1" x14ac:dyDescent="0.2">
      <c r="B39" s="98" t="s">
        <v>1421</v>
      </c>
      <c r="C39" s="98" t="s">
        <v>1079</v>
      </c>
      <c r="D39" s="98">
        <v>10</v>
      </c>
      <c r="E39" s="98">
        <v>220.1</v>
      </c>
      <c r="F39" s="1124">
        <v>2201</v>
      </c>
      <c r="G39" s="576">
        <v>163.20833333333334</v>
      </c>
      <c r="I39" s="1193"/>
      <c r="J39" s="901"/>
      <c r="K39" s="1193"/>
      <c r="L39" s="1193"/>
      <c r="M39" s="1193"/>
      <c r="N39" s="1193"/>
      <c r="O39" s="1193"/>
      <c r="P39" s="1193"/>
      <c r="Q39" s="1193"/>
      <c r="T39" s="681"/>
    </row>
    <row r="40" spans="2:20" s="682" customFormat="1" x14ac:dyDescent="0.2">
      <c r="B40" s="98" t="s">
        <v>1349</v>
      </c>
      <c r="C40" s="98" t="s">
        <v>1079</v>
      </c>
      <c r="D40" s="98">
        <v>5</v>
      </c>
      <c r="E40" s="98">
        <v>68.7</v>
      </c>
      <c r="F40" s="1124">
        <v>343.5</v>
      </c>
      <c r="G40" s="576">
        <v>100.41666666666667</v>
      </c>
      <c r="I40" s="1193"/>
      <c r="J40" s="901"/>
      <c r="K40" s="1193"/>
      <c r="L40" s="1193"/>
      <c r="M40" s="1193"/>
      <c r="N40" s="1193"/>
      <c r="O40" s="1193"/>
      <c r="P40" s="1193"/>
      <c r="Q40" s="1193"/>
      <c r="T40" s="681"/>
    </row>
    <row r="41" spans="2:20" s="682" customFormat="1" x14ac:dyDescent="0.2">
      <c r="B41" s="98" t="s">
        <v>1350</v>
      </c>
      <c r="C41" s="98" t="s">
        <v>1079</v>
      </c>
      <c r="D41" s="98">
        <v>3</v>
      </c>
      <c r="E41" s="98">
        <v>97.1</v>
      </c>
      <c r="F41" s="1124">
        <v>291.29999999999995</v>
      </c>
      <c r="G41" s="576">
        <v>156.66666666666669</v>
      </c>
      <c r="I41" s="1193"/>
      <c r="J41" s="901"/>
      <c r="K41" s="1193"/>
      <c r="L41" s="1193"/>
      <c r="M41" s="1193"/>
      <c r="N41" s="1193"/>
      <c r="O41" s="1193"/>
      <c r="P41" s="1193"/>
      <c r="Q41" s="1193"/>
      <c r="T41" s="681"/>
    </row>
    <row r="42" spans="2:20" s="682" customFormat="1" x14ac:dyDescent="0.2">
      <c r="B42" s="98" t="s">
        <v>1351</v>
      </c>
      <c r="C42" s="98" t="s">
        <v>1079</v>
      </c>
      <c r="D42" s="98">
        <v>5</v>
      </c>
      <c r="E42" s="98">
        <v>92.4</v>
      </c>
      <c r="F42" s="1124">
        <v>462</v>
      </c>
      <c r="G42" s="576">
        <v>124.2</v>
      </c>
      <c r="I42" s="1193"/>
      <c r="J42" s="901"/>
      <c r="K42" s="1193"/>
      <c r="L42" s="1193"/>
      <c r="M42" s="1193"/>
      <c r="N42" s="1193"/>
      <c r="O42" s="1193"/>
      <c r="P42" s="1193"/>
      <c r="Q42" s="1193"/>
      <c r="T42" s="681"/>
    </row>
    <row r="43" spans="2:20" s="682" customFormat="1" hidden="1" x14ac:dyDescent="0.2">
      <c r="B43" s="98" t="s">
        <v>1352</v>
      </c>
      <c r="C43" s="98" t="s">
        <v>1079</v>
      </c>
      <c r="D43" s="98">
        <v>0</v>
      </c>
      <c r="E43" s="98">
        <v>92.4</v>
      </c>
      <c r="F43" s="1124">
        <v>0</v>
      </c>
      <c r="G43" s="576">
        <v>56</v>
      </c>
      <c r="I43" s="1193"/>
      <c r="J43" s="901"/>
      <c r="K43" s="1193"/>
      <c r="L43" s="1193"/>
      <c r="M43" s="1193"/>
      <c r="N43" s="1193"/>
      <c r="O43" s="1193"/>
      <c r="P43" s="1193"/>
      <c r="Q43" s="1193"/>
      <c r="T43" s="681"/>
    </row>
    <row r="44" spans="2:20" s="682" customFormat="1" x14ac:dyDescent="0.2">
      <c r="B44" s="98" t="s">
        <v>1353</v>
      </c>
      <c r="C44" s="98" t="s">
        <v>1079</v>
      </c>
      <c r="D44" s="98">
        <v>10</v>
      </c>
      <c r="E44" s="98">
        <v>85</v>
      </c>
      <c r="F44" s="1124">
        <v>850</v>
      </c>
      <c r="G44" s="576">
        <v>389.41666666666669</v>
      </c>
      <c r="I44" s="1193"/>
      <c r="J44" s="901"/>
      <c r="K44" s="1193"/>
      <c r="L44" s="1193"/>
      <c r="M44" s="1193"/>
      <c r="N44" s="1193"/>
      <c r="O44" s="1193"/>
      <c r="P44" s="1193"/>
      <c r="Q44" s="1193"/>
      <c r="T44" s="681"/>
    </row>
    <row r="45" spans="2:20" s="682" customFormat="1" x14ac:dyDescent="0.2">
      <c r="B45" s="98" t="s">
        <v>1354</v>
      </c>
      <c r="C45" s="98" t="s">
        <v>1079</v>
      </c>
      <c r="D45" s="98">
        <v>10</v>
      </c>
      <c r="E45" s="98">
        <v>120</v>
      </c>
      <c r="F45" s="1124">
        <v>1200</v>
      </c>
      <c r="G45" s="576">
        <v>449</v>
      </c>
      <c r="I45" s="1193"/>
      <c r="J45" s="901"/>
      <c r="K45" s="1193"/>
      <c r="L45" s="1193"/>
      <c r="M45" s="1193"/>
      <c r="N45" s="1193"/>
      <c r="O45" s="1193"/>
      <c r="P45" s="1193"/>
      <c r="Q45" s="1193"/>
      <c r="T45" s="681"/>
    </row>
    <row r="46" spans="2:20" s="682" customFormat="1" x14ac:dyDescent="0.2">
      <c r="B46" s="98" t="s">
        <v>1355</v>
      </c>
      <c r="C46" s="98" t="s">
        <v>1079</v>
      </c>
      <c r="D46" s="98">
        <v>10</v>
      </c>
      <c r="E46" s="98">
        <v>100</v>
      </c>
      <c r="F46" s="1124">
        <v>1000</v>
      </c>
      <c r="G46" s="576">
        <v>133.33333333333334</v>
      </c>
      <c r="I46" s="1193"/>
      <c r="J46" s="901"/>
      <c r="K46" s="1193"/>
      <c r="L46" s="1193"/>
      <c r="M46" s="1193"/>
      <c r="N46" s="1193"/>
      <c r="O46" s="1193"/>
      <c r="P46" s="1193"/>
      <c r="Q46" s="1193"/>
      <c r="T46" s="681"/>
    </row>
    <row r="47" spans="2:20" s="682" customFormat="1" x14ac:dyDescent="0.2">
      <c r="B47" s="98" t="s">
        <v>1356</v>
      </c>
      <c r="C47" s="98" t="s">
        <v>1079</v>
      </c>
      <c r="D47" s="98">
        <v>10</v>
      </c>
      <c r="E47" s="98">
        <v>125</v>
      </c>
      <c r="F47" s="1124">
        <v>1250</v>
      </c>
      <c r="G47" s="576">
        <v>190.2</v>
      </c>
      <c r="I47" s="1193"/>
      <c r="J47" s="901"/>
      <c r="K47" s="1193"/>
      <c r="L47" s="1193"/>
      <c r="M47" s="1193"/>
      <c r="N47" s="1193"/>
      <c r="O47" s="1193"/>
      <c r="P47" s="1193"/>
      <c r="Q47" s="1193"/>
      <c r="T47" s="681"/>
    </row>
    <row r="48" spans="2:20" s="682" customFormat="1" x14ac:dyDescent="0.2">
      <c r="B48" s="98" t="s">
        <v>1353</v>
      </c>
      <c r="C48" s="98" t="s">
        <v>1079</v>
      </c>
      <c r="D48" s="98">
        <v>10</v>
      </c>
      <c r="E48" s="98">
        <v>85</v>
      </c>
      <c r="F48" s="1124">
        <v>850</v>
      </c>
      <c r="G48" s="576">
        <v>100.25</v>
      </c>
      <c r="I48" s="1193"/>
      <c r="J48" s="901"/>
      <c r="K48" s="1193"/>
      <c r="L48" s="1193"/>
      <c r="M48" s="1193"/>
      <c r="N48" s="1193"/>
      <c r="O48" s="1193"/>
      <c r="P48" s="1193"/>
      <c r="Q48" s="1193"/>
      <c r="T48" s="681"/>
    </row>
    <row r="49" spans="2:20" s="682" customFormat="1" x14ac:dyDescent="0.2">
      <c r="B49" s="98" t="s">
        <v>1354</v>
      </c>
      <c r="C49" s="98" t="s">
        <v>1079</v>
      </c>
      <c r="D49" s="98">
        <v>10</v>
      </c>
      <c r="E49" s="98">
        <v>120</v>
      </c>
      <c r="F49" s="1124">
        <v>1200</v>
      </c>
      <c r="G49" s="576">
        <v>112.33333333333334</v>
      </c>
      <c r="I49" s="1193"/>
      <c r="J49" s="901"/>
      <c r="K49" s="1193"/>
      <c r="L49" s="1193"/>
      <c r="M49" s="1193"/>
      <c r="N49" s="1193"/>
      <c r="O49" s="1193"/>
      <c r="P49" s="1193"/>
      <c r="Q49" s="1193"/>
      <c r="T49" s="681"/>
    </row>
    <row r="50" spans="2:20" s="682" customFormat="1" hidden="1" x14ac:dyDescent="0.2">
      <c r="B50" s="98" t="s">
        <v>1458</v>
      </c>
      <c r="C50" s="98" t="s">
        <v>1079</v>
      </c>
      <c r="D50" s="98">
        <v>0</v>
      </c>
      <c r="E50" s="98">
        <v>541.66666666666674</v>
      </c>
      <c r="F50" s="1124">
        <v>0</v>
      </c>
      <c r="G50" s="576">
        <v>36.875</v>
      </c>
      <c r="I50" s="1193"/>
      <c r="J50" s="901"/>
      <c r="K50" s="1193"/>
      <c r="L50" s="1193"/>
      <c r="M50" s="1193"/>
      <c r="N50" s="1193"/>
      <c r="O50" s="1193"/>
      <c r="P50" s="1193"/>
      <c r="Q50" s="1193"/>
      <c r="T50" s="681"/>
    </row>
    <row r="51" spans="2:20" s="682" customFormat="1" x14ac:dyDescent="0.2">
      <c r="B51" s="98" t="s">
        <v>1459</v>
      </c>
      <c r="C51" s="98" t="s">
        <v>1079</v>
      </c>
      <c r="D51" s="98">
        <v>3</v>
      </c>
      <c r="E51" s="98">
        <v>683.33333333333337</v>
      </c>
      <c r="F51" s="1124">
        <v>2050</v>
      </c>
      <c r="G51" s="576">
        <v>36.875</v>
      </c>
      <c r="I51" s="1193"/>
      <c r="J51" s="901"/>
      <c r="K51" s="1193"/>
      <c r="L51" s="1193"/>
      <c r="M51" s="1193"/>
      <c r="N51" s="1193"/>
      <c r="O51" s="1193"/>
      <c r="P51" s="1193"/>
      <c r="Q51" s="1193"/>
      <c r="T51" s="681"/>
    </row>
    <row r="52" spans="2:20" s="682" customFormat="1" x14ac:dyDescent="0.2">
      <c r="B52" s="98" t="s">
        <v>1359</v>
      </c>
      <c r="C52" s="98" t="s">
        <v>1079</v>
      </c>
      <c r="D52" s="98">
        <v>1</v>
      </c>
      <c r="E52" s="98">
        <v>4300</v>
      </c>
      <c r="F52" s="1124">
        <v>4300</v>
      </c>
      <c r="G52" s="576">
        <v>697.45</v>
      </c>
      <c r="I52" s="1193"/>
      <c r="J52" s="901"/>
      <c r="K52" s="1193"/>
      <c r="L52" s="1193"/>
      <c r="M52" s="1193"/>
      <c r="N52" s="1193"/>
      <c r="O52" s="1193"/>
      <c r="P52" s="1193"/>
      <c r="Q52" s="1193"/>
      <c r="T52" s="681"/>
    </row>
    <row r="53" spans="2:20" s="682" customFormat="1" x14ac:dyDescent="0.2">
      <c r="B53" s="98" t="s">
        <v>1460</v>
      </c>
      <c r="C53" s="98" t="s">
        <v>1079</v>
      </c>
      <c r="D53" s="98">
        <v>20</v>
      </c>
      <c r="E53" s="98">
        <v>208.33333333333334</v>
      </c>
      <c r="F53" s="1124">
        <v>4166.666666666667</v>
      </c>
      <c r="G53" s="576">
        <v>112</v>
      </c>
      <c r="I53" s="1193"/>
      <c r="J53" s="901"/>
      <c r="K53" s="1193"/>
      <c r="L53" s="1193"/>
      <c r="M53" s="1193"/>
      <c r="N53" s="1193"/>
      <c r="O53" s="1193"/>
      <c r="P53" s="1193"/>
      <c r="Q53" s="1193"/>
      <c r="T53" s="681"/>
    </row>
    <row r="54" spans="2:20" s="682" customFormat="1" x14ac:dyDescent="0.2">
      <c r="B54" s="98" t="s">
        <v>1461</v>
      </c>
      <c r="C54" s="98" t="s">
        <v>1217</v>
      </c>
      <c r="D54" s="98">
        <v>100</v>
      </c>
      <c r="E54" s="98">
        <v>48.45</v>
      </c>
      <c r="F54" s="1124">
        <v>4845</v>
      </c>
      <c r="G54" s="576">
        <v>1696</v>
      </c>
      <c r="I54" s="1193"/>
      <c r="J54" s="901"/>
      <c r="K54" s="1193"/>
      <c r="L54" s="1193"/>
      <c r="M54" s="1193"/>
      <c r="N54" s="1193"/>
      <c r="O54" s="1193"/>
      <c r="P54" s="1193"/>
      <c r="Q54" s="1193"/>
      <c r="T54" s="681"/>
    </row>
    <row r="55" spans="2:20" s="682" customFormat="1" x14ac:dyDescent="0.2">
      <c r="B55" s="98" t="s">
        <v>1462</v>
      </c>
      <c r="C55" s="98" t="s">
        <v>1079</v>
      </c>
      <c r="D55" s="98">
        <v>30</v>
      </c>
      <c r="E55" s="98">
        <v>224</v>
      </c>
      <c r="F55" s="1124">
        <v>6720</v>
      </c>
      <c r="G55" s="576">
        <v>365.2</v>
      </c>
      <c r="I55" s="1193"/>
      <c r="J55" s="901"/>
      <c r="K55" s="1193"/>
      <c r="L55" s="1193"/>
      <c r="M55" s="1193"/>
      <c r="N55" s="1193"/>
      <c r="O55" s="1193"/>
      <c r="P55" s="1193"/>
      <c r="Q55" s="1193"/>
      <c r="T55" s="681"/>
    </row>
    <row r="56" spans="2:20" s="682" customFormat="1" x14ac:dyDescent="0.2">
      <c r="B56" s="98" t="s">
        <v>1463</v>
      </c>
      <c r="C56" s="98" t="s">
        <v>1079</v>
      </c>
      <c r="D56" s="98">
        <v>2</v>
      </c>
      <c r="E56" s="98">
        <v>5005</v>
      </c>
      <c r="F56" s="1124">
        <v>10010</v>
      </c>
      <c r="G56" s="576">
        <v>11.2</v>
      </c>
      <c r="J56" s="901"/>
      <c r="K56" s="1193"/>
      <c r="L56" s="1193"/>
      <c r="M56" s="1193"/>
      <c r="N56" s="1193"/>
      <c r="O56" s="1193"/>
      <c r="P56" s="1193"/>
      <c r="Q56" s="1193"/>
      <c r="T56" s="681"/>
    </row>
    <row r="57" spans="2:20" s="682" customFormat="1" x14ac:dyDescent="0.2">
      <c r="B57" s="98" t="s">
        <v>1464</v>
      </c>
      <c r="C57" s="98" t="s">
        <v>1079</v>
      </c>
      <c r="D57" s="98">
        <v>2</v>
      </c>
      <c r="E57" s="98">
        <v>5600</v>
      </c>
      <c r="F57" s="1124">
        <v>11200</v>
      </c>
      <c r="G57" s="576">
        <v>311</v>
      </c>
      <c r="I57" s="1193"/>
      <c r="J57" s="901"/>
      <c r="K57" s="1193"/>
      <c r="L57" s="1193"/>
      <c r="M57" s="1193"/>
      <c r="N57" s="1193"/>
      <c r="O57" s="1193"/>
      <c r="P57" s="1193"/>
      <c r="Q57" s="1193"/>
      <c r="T57" s="681">
        <v>13</v>
      </c>
    </row>
    <row r="58" spans="2:20" s="682" customFormat="1" x14ac:dyDescent="0.2">
      <c r="B58" s="98" t="s">
        <v>1465</v>
      </c>
      <c r="C58" s="98" t="s">
        <v>1079</v>
      </c>
      <c r="D58" s="98">
        <v>2</v>
      </c>
      <c r="E58" s="98">
        <v>8400</v>
      </c>
      <c r="F58" s="1124">
        <v>16800</v>
      </c>
      <c r="G58" s="576">
        <v>570</v>
      </c>
      <c r="I58" s="1193"/>
      <c r="J58" s="901"/>
      <c r="K58" s="1193"/>
      <c r="L58" s="1193"/>
      <c r="M58" s="1193"/>
      <c r="N58" s="1193"/>
      <c r="O58" s="1193"/>
      <c r="P58" s="1193"/>
      <c r="Q58" s="1193"/>
      <c r="T58" s="681"/>
    </row>
    <row r="59" spans="2:20" s="682" customFormat="1" x14ac:dyDescent="0.2">
      <c r="B59" s="98" t="s">
        <v>1466</v>
      </c>
      <c r="C59" s="98" t="s">
        <v>1079</v>
      </c>
      <c r="D59" s="98">
        <v>2</v>
      </c>
      <c r="E59" s="98">
        <v>10700</v>
      </c>
      <c r="F59" s="1124">
        <v>21400</v>
      </c>
      <c r="G59" s="576">
        <v>53.2</v>
      </c>
      <c r="I59" s="1193"/>
      <c r="J59" s="901"/>
      <c r="K59" s="1193"/>
      <c r="L59" s="1193"/>
      <c r="M59" s="1193"/>
      <c r="N59" s="1193"/>
      <c r="O59" s="1193"/>
      <c r="P59" s="1193"/>
      <c r="Q59" s="1193"/>
      <c r="T59" s="681"/>
    </row>
    <row r="60" spans="2:20" s="682" customFormat="1" x14ac:dyDescent="0.2">
      <c r="B60" s="98" t="s">
        <v>1467</v>
      </c>
      <c r="C60" s="98" t="s">
        <v>1079</v>
      </c>
      <c r="D60" s="98">
        <v>2</v>
      </c>
      <c r="E60" s="98">
        <v>15500</v>
      </c>
      <c r="F60" s="1124">
        <v>31000</v>
      </c>
      <c r="G60" s="576">
        <v>705</v>
      </c>
      <c r="I60" s="1193"/>
      <c r="J60" s="901"/>
      <c r="K60" s="1193"/>
      <c r="L60" s="1193"/>
      <c r="M60" s="1193"/>
      <c r="N60" s="1193"/>
      <c r="O60" s="1193"/>
      <c r="P60" s="1193"/>
      <c r="Q60" s="1193"/>
      <c r="T60" s="681"/>
    </row>
    <row r="61" spans="2:20" s="682" customFormat="1" x14ac:dyDescent="0.2">
      <c r="B61" s="98" t="s">
        <v>1468</v>
      </c>
      <c r="C61" s="98" t="s">
        <v>1079</v>
      </c>
      <c r="D61" s="98">
        <v>50</v>
      </c>
      <c r="E61" s="98">
        <v>205.41666666666669</v>
      </c>
      <c r="F61" s="1124">
        <v>10270.833333333334</v>
      </c>
      <c r="G61" s="576">
        <v>203.5</v>
      </c>
      <c r="I61" s="1193"/>
      <c r="J61" s="901"/>
      <c r="K61" s="1193"/>
      <c r="L61" s="1193"/>
      <c r="M61" s="1193"/>
      <c r="N61" s="1193"/>
      <c r="O61" s="1193"/>
      <c r="P61" s="1193"/>
      <c r="Q61" s="1193"/>
      <c r="T61" s="681"/>
    </row>
    <row r="62" spans="2:20" s="682" customFormat="1" x14ac:dyDescent="0.2">
      <c r="B62" s="98" t="s">
        <v>1469</v>
      </c>
      <c r="C62" s="98" t="s">
        <v>1079</v>
      </c>
      <c r="D62" s="98">
        <v>100</v>
      </c>
      <c r="E62" s="98">
        <v>430</v>
      </c>
      <c r="F62" s="1124">
        <v>43000</v>
      </c>
      <c r="G62" s="576">
        <v>1652</v>
      </c>
      <c r="I62" s="1193"/>
      <c r="J62" s="901"/>
      <c r="K62" s="1193"/>
      <c r="L62" s="1193"/>
      <c r="M62" s="1193"/>
      <c r="N62" s="1193"/>
      <c r="O62" s="1193"/>
      <c r="P62" s="1193"/>
      <c r="Q62" s="1193"/>
      <c r="T62" s="681"/>
    </row>
    <row r="63" spans="2:20" s="682" customFormat="1" x14ac:dyDescent="0.2">
      <c r="B63" s="98" t="s">
        <v>1470</v>
      </c>
      <c r="C63" s="98" t="s">
        <v>1079</v>
      </c>
      <c r="D63" s="98">
        <v>100</v>
      </c>
      <c r="E63" s="98">
        <v>454.16666666666669</v>
      </c>
      <c r="F63" s="1124">
        <v>45416.666666666672</v>
      </c>
      <c r="G63" s="576">
        <v>311</v>
      </c>
      <c r="I63" s="1193"/>
      <c r="J63" s="901"/>
      <c r="K63" s="1193"/>
      <c r="L63" s="1193"/>
      <c r="M63" s="1193"/>
      <c r="N63" s="1193"/>
      <c r="O63" s="1193"/>
      <c r="P63" s="1193"/>
      <c r="Q63" s="1193"/>
      <c r="T63" s="681">
        <v>13</v>
      </c>
    </row>
    <row r="64" spans="2:20" s="682" customFormat="1" x14ac:dyDescent="0.2">
      <c r="B64" s="98" t="s">
        <v>1471</v>
      </c>
      <c r="C64" s="98" t="s">
        <v>1079</v>
      </c>
      <c r="D64" s="98">
        <v>50</v>
      </c>
      <c r="E64" s="98">
        <v>700</v>
      </c>
      <c r="F64" s="1124">
        <v>35000</v>
      </c>
      <c r="G64" s="576">
        <v>570</v>
      </c>
      <c r="I64" s="1193"/>
      <c r="J64" s="901"/>
      <c r="K64" s="1193"/>
      <c r="L64" s="1193"/>
      <c r="M64" s="1193"/>
      <c r="N64" s="1193"/>
      <c r="O64" s="1193"/>
      <c r="P64" s="1193"/>
      <c r="Q64" s="1193"/>
      <c r="T64" s="681"/>
    </row>
    <row r="65" spans="2:20" s="682" customFormat="1" x14ac:dyDescent="0.2">
      <c r="B65" s="98" t="s">
        <v>1472</v>
      </c>
      <c r="C65" s="98" t="s">
        <v>1079</v>
      </c>
      <c r="D65" s="98">
        <v>1</v>
      </c>
      <c r="E65" s="98">
        <v>8500</v>
      </c>
      <c r="F65" s="1124">
        <v>8500</v>
      </c>
      <c r="G65" s="576">
        <v>53.2</v>
      </c>
      <c r="I65" s="1193"/>
      <c r="J65" s="901"/>
      <c r="K65" s="1193"/>
      <c r="L65" s="1193"/>
      <c r="M65" s="1193"/>
      <c r="N65" s="1193"/>
      <c r="O65" s="1193"/>
      <c r="P65" s="1193"/>
      <c r="Q65" s="1193"/>
      <c r="T65" s="681"/>
    </row>
    <row r="66" spans="2:20" s="682" customFormat="1" x14ac:dyDescent="0.2">
      <c r="B66" s="98" t="s">
        <v>1473</v>
      </c>
      <c r="C66" s="98" t="s">
        <v>1079</v>
      </c>
      <c r="D66" s="98">
        <v>1</v>
      </c>
      <c r="E66" s="98">
        <v>3948</v>
      </c>
      <c r="F66" s="1124">
        <v>3948</v>
      </c>
      <c r="G66" s="576">
        <v>705</v>
      </c>
      <c r="I66" s="1193"/>
      <c r="J66" s="901"/>
      <c r="K66" s="1193"/>
      <c r="L66" s="1193"/>
      <c r="M66" s="1193"/>
      <c r="N66" s="1193"/>
      <c r="O66" s="1193"/>
      <c r="P66" s="1193"/>
      <c r="Q66" s="1193"/>
      <c r="T66" s="681"/>
    </row>
    <row r="67" spans="2:20" s="682" customFormat="1" x14ac:dyDescent="0.2">
      <c r="B67" s="98" t="s">
        <v>1474</v>
      </c>
      <c r="C67" s="98" t="s">
        <v>1079</v>
      </c>
      <c r="D67" s="98">
        <v>1</v>
      </c>
      <c r="E67" s="98">
        <v>1565</v>
      </c>
      <c r="F67" s="1124">
        <v>1565</v>
      </c>
      <c r="G67" s="576">
        <v>203.5</v>
      </c>
      <c r="I67" s="1193"/>
      <c r="J67" s="901"/>
      <c r="K67" s="1193"/>
      <c r="L67" s="1193"/>
      <c r="M67" s="1193"/>
      <c r="N67" s="1193"/>
      <c r="O67" s="1193"/>
      <c r="P67" s="1193"/>
      <c r="Q67" s="1193"/>
      <c r="T67" s="681"/>
    </row>
    <row r="68" spans="2:20" s="682" customFormat="1" x14ac:dyDescent="0.2">
      <c r="B68" s="98" t="s">
        <v>1364</v>
      </c>
      <c r="C68" s="98" t="s">
        <v>1365</v>
      </c>
      <c r="D68" s="98">
        <v>500</v>
      </c>
      <c r="E68" s="98">
        <v>175</v>
      </c>
      <c r="F68" s="1124">
        <v>87500</v>
      </c>
      <c r="G68" s="576">
        <v>1652</v>
      </c>
      <c r="I68" s="1193"/>
      <c r="J68" s="901"/>
      <c r="K68" s="1193"/>
      <c r="L68" s="1193"/>
      <c r="M68" s="1193"/>
      <c r="N68" s="1193"/>
      <c r="O68" s="1193"/>
      <c r="P68" s="1193"/>
      <c r="Q68" s="1193"/>
      <c r="T68" s="681"/>
    </row>
    <row r="69" spans="2:20" s="682" customFormat="1" x14ac:dyDescent="0.2">
      <c r="B69" s="98" t="s">
        <v>1475</v>
      </c>
      <c r="C69" s="98" t="s">
        <v>1079</v>
      </c>
      <c r="D69" s="98">
        <v>10500</v>
      </c>
      <c r="E69" s="98">
        <v>16.5</v>
      </c>
      <c r="F69" s="1124">
        <v>173250</v>
      </c>
      <c r="G69" s="576">
        <v>683</v>
      </c>
      <c r="I69" s="1193"/>
      <c r="J69" s="901"/>
      <c r="K69" s="1193"/>
      <c r="L69" s="1193"/>
      <c r="M69" s="1193"/>
      <c r="N69" s="1193"/>
      <c r="O69" s="1193"/>
      <c r="P69" s="1193"/>
      <c r="Q69" s="1193"/>
      <c r="T69" s="681"/>
    </row>
    <row r="70" spans="2:20" s="682" customFormat="1" x14ac:dyDescent="0.2">
      <c r="B70" s="98" t="s">
        <v>1476</v>
      </c>
      <c r="C70" s="98" t="s">
        <v>1079</v>
      </c>
      <c r="D70" s="98">
        <v>40</v>
      </c>
      <c r="E70" s="98">
        <v>1242.5</v>
      </c>
      <c r="F70" s="1124">
        <v>49700</v>
      </c>
      <c r="G70" s="576">
        <v>1250</v>
      </c>
      <c r="I70" s="1193"/>
      <c r="J70" s="901"/>
      <c r="K70" s="1193"/>
      <c r="L70" s="1193"/>
      <c r="M70" s="1193"/>
      <c r="N70" s="1193"/>
      <c r="O70" s="1193"/>
      <c r="P70" s="1193"/>
      <c r="Q70" s="1193"/>
      <c r="T70" s="681"/>
    </row>
    <row r="71" spans="2:20" s="682" customFormat="1" x14ac:dyDescent="0.2">
      <c r="B71" s="98" t="s">
        <v>1477</v>
      </c>
      <c r="C71" s="98" t="s">
        <v>1079</v>
      </c>
      <c r="D71" s="98">
        <v>6</v>
      </c>
      <c r="E71" s="98">
        <v>857</v>
      </c>
      <c r="F71" s="1124">
        <v>5142</v>
      </c>
      <c r="G71" s="576">
        <v>1650</v>
      </c>
      <c r="I71" s="1193"/>
      <c r="J71" s="901"/>
      <c r="K71" s="1193"/>
      <c r="L71" s="1193"/>
      <c r="M71" s="1193"/>
      <c r="N71" s="1193"/>
      <c r="O71" s="1193"/>
      <c r="P71" s="1193"/>
      <c r="Q71" s="1193"/>
      <c r="T71" s="681"/>
    </row>
    <row r="72" spans="2:20" s="682" customFormat="1" x14ac:dyDescent="0.2">
      <c r="B72" s="98" t="s">
        <v>1478</v>
      </c>
      <c r="C72" s="98" t="s">
        <v>1079</v>
      </c>
      <c r="D72" s="98">
        <v>6</v>
      </c>
      <c r="E72" s="98">
        <v>2560</v>
      </c>
      <c r="F72" s="1124">
        <v>15360</v>
      </c>
      <c r="G72" s="576">
        <v>96.541666666666671</v>
      </c>
      <c r="I72" s="1193"/>
      <c r="J72" s="901"/>
      <c r="K72" s="1193"/>
      <c r="L72" s="1193"/>
      <c r="M72" s="1193"/>
      <c r="N72" s="1193"/>
      <c r="O72" s="1193"/>
      <c r="P72" s="1193"/>
      <c r="Q72" s="1193"/>
      <c r="T72" s="681"/>
    </row>
    <row r="73" spans="2:20" s="682" customFormat="1" x14ac:dyDescent="0.2">
      <c r="B73" s="98" t="s">
        <v>1479</v>
      </c>
      <c r="C73" s="98" t="s">
        <v>1079</v>
      </c>
      <c r="D73" s="98">
        <v>6</v>
      </c>
      <c r="E73" s="98">
        <v>989</v>
      </c>
      <c r="F73" s="1124">
        <v>5934</v>
      </c>
      <c r="G73" s="576">
        <v>325</v>
      </c>
      <c r="I73" s="1193"/>
      <c r="J73" s="901"/>
      <c r="K73" s="1193"/>
      <c r="L73" s="1193"/>
      <c r="M73" s="1193"/>
      <c r="N73" s="1193"/>
      <c r="O73" s="1193"/>
      <c r="P73" s="1193"/>
      <c r="Q73" s="1193"/>
      <c r="T73" s="681"/>
    </row>
    <row r="74" spans="2:20" s="682" customFormat="1" x14ac:dyDescent="0.2">
      <c r="B74" s="98" t="s">
        <v>1480</v>
      </c>
      <c r="C74" s="98" t="s">
        <v>1217</v>
      </c>
      <c r="D74" s="98">
        <v>3</v>
      </c>
      <c r="E74" s="98">
        <v>456</v>
      </c>
      <c r="F74" s="1124">
        <v>1368</v>
      </c>
      <c r="G74" s="576">
        <v>105</v>
      </c>
      <c r="I74" s="1193"/>
      <c r="J74" s="901"/>
      <c r="K74" s="1193"/>
      <c r="L74" s="1193"/>
      <c r="M74" s="1193"/>
      <c r="N74" s="1193"/>
      <c r="O74" s="1193"/>
      <c r="P74" s="1193"/>
      <c r="Q74" s="1193"/>
      <c r="T74" s="681"/>
    </row>
    <row r="75" spans="2:20" s="682" customFormat="1" x14ac:dyDescent="0.2">
      <c r="B75" s="98" t="s">
        <v>1481</v>
      </c>
      <c r="C75" s="98" t="s">
        <v>1217</v>
      </c>
      <c r="D75" s="98">
        <v>3</v>
      </c>
      <c r="E75" s="98">
        <v>5290</v>
      </c>
      <c r="F75" s="1124">
        <v>15870</v>
      </c>
      <c r="G75" s="576">
        <v>95.2</v>
      </c>
      <c r="I75" s="1193"/>
      <c r="J75" s="901"/>
      <c r="K75" s="1193"/>
      <c r="L75" s="1193"/>
      <c r="M75" s="1193"/>
      <c r="N75" s="1193"/>
      <c r="O75" s="1193"/>
      <c r="P75" s="1193"/>
      <c r="Q75" s="1193"/>
      <c r="T75" s="681"/>
    </row>
    <row r="76" spans="2:20" s="682" customFormat="1" x14ac:dyDescent="0.2">
      <c r="B76" s="98" t="s">
        <v>1482</v>
      </c>
      <c r="C76" s="98" t="s">
        <v>1217</v>
      </c>
      <c r="D76" s="98">
        <v>30</v>
      </c>
      <c r="E76" s="98">
        <v>163.4</v>
      </c>
      <c r="F76" s="1124">
        <v>4902</v>
      </c>
      <c r="G76" s="576">
        <v>89</v>
      </c>
      <c r="I76" s="1193"/>
      <c r="J76" s="901"/>
      <c r="K76" s="1193"/>
      <c r="L76" s="1193"/>
      <c r="M76" s="1193"/>
      <c r="N76" s="1193"/>
      <c r="O76" s="1193"/>
      <c r="P76" s="1193"/>
      <c r="Q76" s="1193"/>
      <c r="T76" s="681"/>
    </row>
    <row r="77" spans="2:20" s="682" customFormat="1" x14ac:dyDescent="0.2">
      <c r="B77" s="98" t="s">
        <v>1483</v>
      </c>
      <c r="C77" s="98" t="s">
        <v>1079</v>
      </c>
      <c r="D77" s="98">
        <v>40</v>
      </c>
      <c r="E77" s="98">
        <v>1265</v>
      </c>
      <c r="F77" s="1124">
        <v>50600</v>
      </c>
      <c r="G77" s="576">
        <v>106</v>
      </c>
      <c r="I77" s="1193"/>
      <c r="J77" s="901"/>
      <c r="K77" s="1193"/>
      <c r="L77" s="1193"/>
      <c r="M77" s="1193"/>
      <c r="N77" s="1193"/>
      <c r="O77" s="1193"/>
      <c r="P77" s="1193"/>
      <c r="Q77" s="1193"/>
      <c r="T77" s="681"/>
    </row>
    <row r="78" spans="2:20" s="682" customFormat="1" x14ac:dyDescent="0.2">
      <c r="B78" s="98" t="s">
        <v>1484</v>
      </c>
      <c r="C78" s="98" t="s">
        <v>1217</v>
      </c>
      <c r="D78" s="98">
        <v>50</v>
      </c>
      <c r="E78" s="98">
        <v>275.5</v>
      </c>
      <c r="F78" s="1124">
        <v>13775</v>
      </c>
      <c r="G78" s="576">
        <v>115</v>
      </c>
      <c r="I78" s="1193"/>
      <c r="J78" s="901"/>
      <c r="K78" s="1193"/>
      <c r="L78" s="1193"/>
      <c r="M78" s="1193"/>
      <c r="N78" s="1193"/>
      <c r="O78" s="1193"/>
      <c r="P78" s="1193"/>
      <c r="Q78" s="1193"/>
      <c r="T78" s="681"/>
    </row>
    <row r="79" spans="2:20" s="682" customFormat="1" x14ac:dyDescent="0.2">
      <c r="B79" s="98" t="s">
        <v>1485</v>
      </c>
      <c r="C79" s="98" t="s">
        <v>1079</v>
      </c>
      <c r="D79" s="98">
        <v>20</v>
      </c>
      <c r="E79" s="98">
        <v>183.3</v>
      </c>
      <c r="F79" s="1124">
        <v>3666</v>
      </c>
      <c r="G79" s="576">
        <v>72</v>
      </c>
      <c r="I79" s="1193"/>
      <c r="J79" s="901"/>
      <c r="K79" s="1193"/>
      <c r="L79" s="1193"/>
      <c r="M79" s="1193"/>
      <c r="N79" s="1193"/>
      <c r="O79" s="1193"/>
      <c r="P79" s="1193"/>
      <c r="Q79" s="1193"/>
      <c r="T79" s="681"/>
    </row>
    <row r="80" spans="2:20" s="682" customFormat="1" x14ac:dyDescent="0.2">
      <c r="B80" s="98" t="s">
        <v>1486</v>
      </c>
      <c r="C80" s="98" t="s">
        <v>1079</v>
      </c>
      <c r="D80" s="98">
        <v>20</v>
      </c>
      <c r="E80" s="98">
        <v>155</v>
      </c>
      <c r="F80" s="1124">
        <v>3100</v>
      </c>
      <c r="G80" s="576">
        <v>103.5</v>
      </c>
      <c r="I80" s="1193"/>
      <c r="J80" s="901"/>
      <c r="K80" s="1193"/>
      <c r="L80" s="1193"/>
      <c r="M80" s="1193"/>
      <c r="N80" s="1193"/>
      <c r="O80" s="1193"/>
      <c r="P80" s="1193"/>
      <c r="Q80" s="1193"/>
      <c r="T80" s="681"/>
    </row>
    <row r="81" spans="2:20" s="682" customFormat="1" x14ac:dyDescent="0.2">
      <c r="B81" s="98" t="s">
        <v>1487</v>
      </c>
      <c r="C81" s="98" t="s">
        <v>1079</v>
      </c>
      <c r="D81" s="98">
        <v>20</v>
      </c>
      <c r="E81" s="98">
        <v>220.8</v>
      </c>
      <c r="F81" s="1124">
        <v>4416</v>
      </c>
      <c r="G81" s="576">
        <v>119.5</v>
      </c>
      <c r="I81" s="1193"/>
      <c r="J81" s="901"/>
      <c r="K81" s="1193"/>
      <c r="L81" s="1193"/>
      <c r="M81" s="1193"/>
      <c r="N81" s="1193"/>
      <c r="O81" s="1193"/>
      <c r="P81" s="1193"/>
      <c r="Q81" s="1193"/>
      <c r="T81" s="681"/>
    </row>
    <row r="82" spans="2:20" s="682" customFormat="1" x14ac:dyDescent="0.2">
      <c r="B82" s="98" t="s">
        <v>1488</v>
      </c>
      <c r="C82" s="98" t="s">
        <v>1079</v>
      </c>
      <c r="D82" s="98">
        <v>40</v>
      </c>
      <c r="E82" s="98">
        <v>215.9</v>
      </c>
      <c r="F82" s="1124">
        <v>8636</v>
      </c>
      <c r="G82" s="576">
        <v>142</v>
      </c>
      <c r="I82" s="1193"/>
      <c r="J82" s="901"/>
      <c r="K82" s="1193"/>
      <c r="L82" s="1193"/>
      <c r="M82" s="1193"/>
      <c r="N82" s="1193"/>
      <c r="O82" s="1193"/>
      <c r="P82" s="1193"/>
      <c r="Q82" s="1193"/>
      <c r="T82" s="681">
        <v>13</v>
      </c>
    </row>
    <row r="83" spans="2:20" s="682" customFormat="1" hidden="1" x14ac:dyDescent="0.2">
      <c r="B83" s="98" t="s">
        <v>1366</v>
      </c>
      <c r="C83" s="98" t="s">
        <v>1079</v>
      </c>
      <c r="D83" s="98">
        <v>0</v>
      </c>
      <c r="E83" s="98">
        <v>42.1</v>
      </c>
      <c r="F83" s="1124">
        <v>0</v>
      </c>
      <c r="G83" s="576">
        <v>116</v>
      </c>
      <c r="I83" s="1193"/>
      <c r="J83" s="901"/>
      <c r="K83" s="1193"/>
      <c r="L83" s="1193"/>
      <c r="M83" s="1193"/>
      <c r="N83" s="1193"/>
      <c r="O83" s="1193"/>
      <c r="P83" s="1193"/>
      <c r="Q83" s="1193"/>
      <c r="T83" s="681">
        <v>14</v>
      </c>
    </row>
    <row r="84" spans="2:20" s="682" customFormat="1" x14ac:dyDescent="0.2">
      <c r="B84" s="98" t="s">
        <v>1489</v>
      </c>
      <c r="C84" s="98" t="s">
        <v>1079</v>
      </c>
      <c r="D84" s="98">
        <v>6</v>
      </c>
      <c r="E84" s="98">
        <v>19900</v>
      </c>
      <c r="F84" s="1124">
        <v>119400</v>
      </c>
      <c r="G84" s="576">
        <v>191.83333333333334</v>
      </c>
      <c r="I84" s="1193"/>
      <c r="J84" s="901"/>
      <c r="K84" s="1193"/>
      <c r="L84" s="1193"/>
      <c r="M84" s="1193"/>
      <c r="N84" s="1193"/>
      <c r="O84" s="1193"/>
      <c r="P84" s="1193"/>
      <c r="Q84" s="1193"/>
      <c r="T84" s="681">
        <v>17</v>
      </c>
    </row>
    <row r="85" spans="2:20" s="682" customFormat="1" x14ac:dyDescent="0.2">
      <c r="B85" s="98" t="s">
        <v>1490</v>
      </c>
      <c r="C85" s="98" t="s">
        <v>1079</v>
      </c>
      <c r="D85" s="98">
        <v>6</v>
      </c>
      <c r="E85" s="98">
        <v>2900</v>
      </c>
      <c r="F85" s="1124">
        <v>17400</v>
      </c>
      <c r="G85" s="576">
        <v>203.625</v>
      </c>
      <c r="I85" s="1193"/>
      <c r="J85" s="901"/>
      <c r="K85" s="1193"/>
      <c r="L85" s="1193"/>
      <c r="M85" s="1193"/>
      <c r="N85" s="1193"/>
      <c r="O85" s="1193"/>
      <c r="P85" s="1193"/>
      <c r="Q85" s="1193"/>
      <c r="T85" s="681">
        <v>18</v>
      </c>
    </row>
    <row r="86" spans="2:20" s="682" customFormat="1" x14ac:dyDescent="0.2">
      <c r="B86" s="98" t="s">
        <v>1367</v>
      </c>
      <c r="C86" s="98" t="s">
        <v>1079</v>
      </c>
      <c r="D86" s="98">
        <v>80</v>
      </c>
      <c r="E86" s="98">
        <v>150.5</v>
      </c>
      <c r="F86" s="1124">
        <v>12040</v>
      </c>
      <c r="G86" s="576">
        <v>209.00000000000003</v>
      </c>
      <c r="I86" s="1193"/>
      <c r="J86" s="901"/>
      <c r="K86" s="1193"/>
      <c r="L86" s="1193"/>
      <c r="M86" s="1193"/>
      <c r="N86" s="1193"/>
      <c r="O86" s="1193"/>
      <c r="P86" s="1193"/>
      <c r="Q86" s="1193"/>
      <c r="T86" s="681">
        <v>19</v>
      </c>
    </row>
    <row r="87" spans="2:20" s="682" customFormat="1" x14ac:dyDescent="0.2">
      <c r="B87" s="98" t="s">
        <v>1368</v>
      </c>
      <c r="C87" s="98" t="s">
        <v>1079</v>
      </c>
      <c r="D87" s="98">
        <v>50</v>
      </c>
      <c r="E87" s="98">
        <v>193</v>
      </c>
      <c r="F87" s="1124">
        <v>9650</v>
      </c>
      <c r="G87" s="576">
        <v>68.75</v>
      </c>
      <c r="I87" s="1193"/>
      <c r="J87" s="901"/>
      <c r="K87" s="1193"/>
      <c r="L87" s="1193"/>
      <c r="M87" s="1193"/>
      <c r="N87" s="1193"/>
      <c r="O87" s="1193"/>
      <c r="P87" s="1193"/>
      <c r="Q87" s="1193"/>
      <c r="T87" s="681">
        <v>20</v>
      </c>
    </row>
    <row r="88" spans="2:20" s="682" customFormat="1" x14ac:dyDescent="0.2">
      <c r="B88" s="98" t="s">
        <v>1491</v>
      </c>
      <c r="C88" s="98" t="s">
        <v>1492</v>
      </c>
      <c r="D88" s="98">
        <v>15</v>
      </c>
      <c r="E88" s="98">
        <v>767</v>
      </c>
      <c r="F88" s="1124">
        <v>11505</v>
      </c>
      <c r="G88" s="576">
        <v>245</v>
      </c>
      <c r="I88" s="1193"/>
      <c r="J88" s="901"/>
      <c r="K88" s="1193">
        <v>0</v>
      </c>
      <c r="L88" s="1193"/>
      <c r="M88" s="1193"/>
      <c r="N88" s="1193"/>
      <c r="O88" s="1193"/>
      <c r="P88" s="1193"/>
      <c r="Q88" s="1193"/>
      <c r="T88" s="681">
        <v>20</v>
      </c>
    </row>
    <row r="89" spans="2:20" s="682" customFormat="1" x14ac:dyDescent="0.2">
      <c r="B89" s="98" t="s">
        <v>1493</v>
      </c>
      <c r="C89" s="98" t="s">
        <v>1494</v>
      </c>
      <c r="D89" s="98">
        <v>5</v>
      </c>
      <c r="E89" s="98">
        <v>261.10000000000002</v>
      </c>
      <c r="F89" s="1124">
        <v>1305.5</v>
      </c>
      <c r="G89" s="576">
        <v>425</v>
      </c>
      <c r="I89" s="1193"/>
      <c r="J89" s="901"/>
      <c r="K89" s="1193"/>
      <c r="L89" s="1193"/>
      <c r="M89" s="1193"/>
      <c r="N89" s="1193"/>
      <c r="O89" s="1193"/>
      <c r="P89" s="1193"/>
      <c r="Q89" s="1193"/>
      <c r="T89" s="681">
        <v>20</v>
      </c>
    </row>
    <row r="90" spans="2:20" s="682" customFormat="1" x14ac:dyDescent="0.2">
      <c r="B90" s="98" t="s">
        <v>1370</v>
      </c>
      <c r="C90" s="98" t="s">
        <v>1217</v>
      </c>
      <c r="D90" s="98">
        <v>40</v>
      </c>
      <c r="E90" s="98">
        <v>13</v>
      </c>
      <c r="F90" s="1124">
        <v>520</v>
      </c>
      <c r="G90" s="576">
        <v>1979.1666666666667</v>
      </c>
      <c r="I90" s="1193"/>
      <c r="J90" s="901"/>
      <c r="K90" s="1193"/>
      <c r="L90" s="1193"/>
      <c r="M90" s="1193"/>
      <c r="N90" s="1193"/>
      <c r="O90" s="1193"/>
      <c r="P90" s="1193"/>
      <c r="Q90" s="1193"/>
      <c r="T90" s="681">
        <v>21</v>
      </c>
    </row>
    <row r="91" spans="2:20" s="682" customFormat="1" x14ac:dyDescent="0.2">
      <c r="B91" s="98" t="s">
        <v>1371</v>
      </c>
      <c r="C91" s="98" t="s">
        <v>1217</v>
      </c>
      <c r="D91" s="98">
        <v>10</v>
      </c>
      <c r="E91" s="98">
        <v>38</v>
      </c>
      <c r="F91" s="1124">
        <v>380</v>
      </c>
      <c r="G91" s="576">
        <v>410.83333333333337</v>
      </c>
      <c r="I91" s="1193"/>
      <c r="J91" s="901"/>
      <c r="K91" s="1193"/>
      <c r="L91" s="1193"/>
      <c r="M91" s="1193"/>
      <c r="N91" s="1193"/>
      <c r="O91" s="1193"/>
      <c r="P91" s="1193"/>
      <c r="Q91" s="1193"/>
      <c r="T91" s="681">
        <v>23</v>
      </c>
    </row>
    <row r="92" spans="2:20" s="682" customFormat="1" hidden="1" x14ac:dyDescent="0.2">
      <c r="B92" s="98" t="s">
        <v>1372</v>
      </c>
      <c r="C92" s="98" t="s">
        <v>1217</v>
      </c>
      <c r="D92" s="98">
        <v>0</v>
      </c>
      <c r="E92" s="98">
        <v>82</v>
      </c>
      <c r="F92" s="1124">
        <v>0</v>
      </c>
      <c r="G92" s="576">
        <v>705</v>
      </c>
      <c r="I92" s="1193"/>
      <c r="J92" s="901"/>
      <c r="K92" s="1193"/>
      <c r="L92" s="1193"/>
      <c r="M92" s="1193"/>
      <c r="N92" s="1193"/>
      <c r="O92" s="1193"/>
      <c r="P92" s="1193"/>
      <c r="Q92" s="1193"/>
      <c r="T92" s="681">
        <v>24</v>
      </c>
    </row>
    <row r="93" spans="2:20" s="682" customFormat="1" x14ac:dyDescent="0.2">
      <c r="B93" s="98" t="s">
        <v>1373</v>
      </c>
      <c r="C93" s="98" t="s">
        <v>1374</v>
      </c>
      <c r="D93" s="98">
        <v>2</v>
      </c>
      <c r="E93" s="98">
        <v>48.9</v>
      </c>
      <c r="F93" s="1124">
        <v>97.8</v>
      </c>
      <c r="G93" s="576">
        <v>145</v>
      </c>
      <c r="I93" s="1193"/>
      <c r="J93" s="901"/>
      <c r="K93" s="1193"/>
      <c r="L93" s="1193"/>
      <c r="M93" s="1193"/>
      <c r="N93" s="1193"/>
      <c r="O93" s="1193"/>
      <c r="P93" s="1193"/>
      <c r="Q93" s="1193"/>
      <c r="T93" s="681">
        <v>25</v>
      </c>
    </row>
    <row r="94" spans="2:20" s="682" customFormat="1" hidden="1" x14ac:dyDescent="0.2">
      <c r="B94" s="98" t="s">
        <v>1375</v>
      </c>
      <c r="C94" s="98" t="s">
        <v>1374</v>
      </c>
      <c r="D94" s="98">
        <v>0</v>
      </c>
      <c r="E94" s="98">
        <v>57.9</v>
      </c>
      <c r="F94" s="1124">
        <v>0</v>
      </c>
      <c r="G94" s="576">
        <v>235</v>
      </c>
      <c r="I94" s="1193"/>
      <c r="J94" s="901"/>
      <c r="K94" s="1193"/>
      <c r="L94" s="1193"/>
      <c r="M94" s="1193"/>
      <c r="N94" s="1193"/>
      <c r="O94" s="1193"/>
      <c r="P94" s="1193"/>
      <c r="Q94" s="1193"/>
      <c r="T94" s="681"/>
    </row>
    <row r="95" spans="2:20" s="682" customFormat="1" x14ac:dyDescent="0.2">
      <c r="B95" s="98" t="s">
        <v>1495</v>
      </c>
      <c r="C95" s="98" t="s">
        <v>1079</v>
      </c>
      <c r="D95" s="98">
        <v>150</v>
      </c>
      <c r="E95" s="98">
        <v>1375</v>
      </c>
      <c r="F95" s="1124">
        <v>206250</v>
      </c>
      <c r="G95" s="576">
        <v>160</v>
      </c>
      <c r="I95" s="1193"/>
      <c r="J95" s="901"/>
      <c r="K95" s="1193"/>
      <c r="L95" s="1193"/>
      <c r="M95" s="1193"/>
      <c r="N95" s="1193"/>
      <c r="O95" s="1193"/>
      <c r="P95" s="1193"/>
      <c r="Q95" s="1193"/>
      <c r="T95" s="681"/>
    </row>
    <row r="96" spans="2:20" s="682" customFormat="1" x14ac:dyDescent="0.2">
      <c r="B96" s="98" t="s">
        <v>1496</v>
      </c>
      <c r="C96" s="98" t="s">
        <v>1079</v>
      </c>
      <c r="D96" s="98">
        <v>60</v>
      </c>
      <c r="E96" s="98">
        <v>1985.9</v>
      </c>
      <c r="F96" s="1124">
        <v>119154</v>
      </c>
      <c r="G96" s="576">
        <v>245</v>
      </c>
      <c r="I96" s="1193"/>
      <c r="J96" s="901"/>
      <c r="K96" s="1193"/>
      <c r="L96" s="1193"/>
      <c r="M96" s="1193"/>
      <c r="N96" s="1193"/>
      <c r="O96" s="1193"/>
      <c r="P96" s="1193"/>
      <c r="Q96" s="1193"/>
      <c r="T96" s="681"/>
    </row>
    <row r="97" spans="2:20" s="682" customFormat="1" x14ac:dyDescent="0.2">
      <c r="B97" s="98" t="s">
        <v>1497</v>
      </c>
      <c r="C97" s="98" t="s">
        <v>1079</v>
      </c>
      <c r="D97" s="98">
        <v>4</v>
      </c>
      <c r="E97" s="98">
        <v>7583</v>
      </c>
      <c r="F97" s="1124">
        <v>30332</v>
      </c>
      <c r="G97" s="576">
        <v>91.541666666666671</v>
      </c>
      <c r="I97" s="1193"/>
      <c r="J97" s="901"/>
      <c r="K97" s="1193"/>
      <c r="L97" s="1193"/>
      <c r="M97" s="1193"/>
      <c r="N97" s="1193"/>
      <c r="O97" s="1193"/>
      <c r="P97" s="1193"/>
      <c r="Q97" s="1193"/>
      <c r="T97" s="681"/>
    </row>
    <row r="98" spans="2:20" s="682" customFormat="1" x14ac:dyDescent="0.2">
      <c r="B98" s="98" t="s">
        <v>1498</v>
      </c>
      <c r="C98" s="98" t="s">
        <v>1079</v>
      </c>
      <c r="D98" s="98">
        <v>4</v>
      </c>
      <c r="E98" s="98">
        <v>8625</v>
      </c>
      <c r="F98" s="1124">
        <v>34500</v>
      </c>
      <c r="G98" s="576">
        <v>205</v>
      </c>
      <c r="I98" s="1193"/>
      <c r="J98" s="901"/>
      <c r="K98" s="1193"/>
      <c r="L98" s="1193"/>
      <c r="M98" s="1193"/>
      <c r="N98" s="1193"/>
      <c r="O98" s="1193"/>
      <c r="P98" s="1193"/>
      <c r="Q98" s="1193"/>
      <c r="T98" s="681"/>
    </row>
    <row r="99" spans="2:20" s="682" customFormat="1" x14ac:dyDescent="0.2">
      <c r="B99" s="98" t="s">
        <v>1499</v>
      </c>
      <c r="C99" s="98" t="s">
        <v>1079</v>
      </c>
      <c r="D99" s="98">
        <v>4</v>
      </c>
      <c r="E99" s="98">
        <v>8978</v>
      </c>
      <c r="F99" s="1124">
        <v>35912</v>
      </c>
      <c r="G99" s="576">
        <v>153.45833333333334</v>
      </c>
      <c r="I99" s="1193"/>
      <c r="J99" s="901"/>
      <c r="K99" s="1193"/>
      <c r="L99" s="1193"/>
      <c r="M99" s="1193"/>
      <c r="N99" s="1193"/>
      <c r="O99" s="1193"/>
      <c r="P99" s="1193"/>
      <c r="Q99" s="1193"/>
      <c r="T99" s="681"/>
    </row>
    <row r="100" spans="2:20" s="682" customFormat="1" x14ac:dyDescent="0.2">
      <c r="B100" s="98" t="s">
        <v>1500</v>
      </c>
      <c r="C100" s="98" t="s">
        <v>1079</v>
      </c>
      <c r="D100" s="98">
        <v>4</v>
      </c>
      <c r="E100" s="98">
        <v>9660</v>
      </c>
      <c r="F100" s="1124">
        <v>38640</v>
      </c>
      <c r="G100" s="576">
        <v>163.54166666666669</v>
      </c>
      <c r="I100" s="1193"/>
      <c r="J100" s="901"/>
      <c r="K100" s="1193"/>
      <c r="L100" s="1193"/>
      <c r="M100" s="1193"/>
      <c r="N100" s="1193"/>
      <c r="O100" s="1193"/>
      <c r="P100" s="1193"/>
      <c r="Q100" s="1193"/>
      <c r="T100" s="681"/>
    </row>
    <row r="101" spans="2:20" s="682" customFormat="1" x14ac:dyDescent="0.2">
      <c r="B101" s="98" t="s">
        <v>1501</v>
      </c>
      <c r="C101" s="98" t="s">
        <v>1079</v>
      </c>
      <c r="D101" s="98">
        <v>1</v>
      </c>
      <c r="E101" s="98">
        <v>375</v>
      </c>
      <c r="F101" s="1124">
        <v>375</v>
      </c>
      <c r="G101" s="576">
        <v>172.79166666666666</v>
      </c>
      <c r="I101" s="1193"/>
      <c r="J101" s="901"/>
      <c r="K101" s="1193"/>
      <c r="L101" s="1193"/>
      <c r="M101" s="1193"/>
      <c r="N101" s="1193"/>
      <c r="O101" s="1193"/>
      <c r="P101" s="1193"/>
      <c r="Q101" s="1193"/>
      <c r="T101" s="681"/>
    </row>
    <row r="102" spans="2:20" s="682" customFormat="1" x14ac:dyDescent="0.2">
      <c r="B102" s="98" t="s">
        <v>1502</v>
      </c>
      <c r="C102" s="98" t="s">
        <v>1079</v>
      </c>
      <c r="D102" s="98">
        <v>1</v>
      </c>
      <c r="E102" s="98">
        <v>483.33333333333337</v>
      </c>
      <c r="F102" s="1124">
        <v>483.33333333333337</v>
      </c>
      <c r="G102" s="576">
        <v>1041.6666666666667</v>
      </c>
      <c r="I102" s="1193"/>
      <c r="J102" s="901"/>
      <c r="K102" s="1193"/>
      <c r="L102" s="1193"/>
      <c r="M102" s="1193"/>
      <c r="N102" s="1193"/>
      <c r="O102" s="1193"/>
      <c r="P102" s="1193"/>
      <c r="Q102" s="1193"/>
      <c r="T102" s="681"/>
    </row>
    <row r="103" spans="2:20" s="682" customFormat="1" x14ac:dyDescent="0.2">
      <c r="B103" s="98" t="s">
        <v>1503</v>
      </c>
      <c r="C103" s="98" t="s">
        <v>1079</v>
      </c>
      <c r="D103" s="98">
        <v>1</v>
      </c>
      <c r="E103" s="98">
        <v>208.33333333333334</v>
      </c>
      <c r="F103" s="1124">
        <v>208.33333333333334</v>
      </c>
      <c r="G103" s="576">
        <v>1208.3333333333335</v>
      </c>
      <c r="I103" s="1193"/>
      <c r="J103" s="901"/>
      <c r="K103" s="1193"/>
      <c r="L103" s="1193"/>
      <c r="M103" s="1193"/>
      <c r="N103" s="1193"/>
      <c r="O103" s="1193"/>
      <c r="P103" s="1193"/>
      <c r="Q103" s="1193"/>
      <c r="T103" s="681"/>
    </row>
    <row r="104" spans="2:20" s="682" customFormat="1" hidden="1" x14ac:dyDescent="0.2">
      <c r="B104" s="98" t="s">
        <v>1504</v>
      </c>
      <c r="C104" s="98" t="s">
        <v>1079</v>
      </c>
      <c r="D104" s="98">
        <v>0</v>
      </c>
      <c r="E104" s="98">
        <v>56.666666666666671</v>
      </c>
      <c r="F104" s="1124">
        <v>0</v>
      </c>
      <c r="G104" s="576">
        <v>208.54166666666669</v>
      </c>
      <c r="I104" s="1193"/>
      <c r="J104" s="901"/>
      <c r="K104" s="1193"/>
      <c r="L104" s="1193"/>
      <c r="M104" s="1193"/>
      <c r="N104" s="1193"/>
      <c r="O104" s="1193"/>
      <c r="P104" s="1193"/>
      <c r="Q104" s="1193"/>
      <c r="T104" s="681"/>
    </row>
    <row r="105" spans="2:20" s="682" customFormat="1" x14ac:dyDescent="0.2">
      <c r="B105" s="98" t="s">
        <v>1505</v>
      </c>
      <c r="C105" s="98" t="s">
        <v>1079</v>
      </c>
      <c r="D105" s="98">
        <v>2</v>
      </c>
      <c r="E105" s="98">
        <v>100</v>
      </c>
      <c r="F105" s="1124">
        <v>200</v>
      </c>
      <c r="G105" s="576">
        <v>208.54166666666669</v>
      </c>
      <c r="I105" s="1193"/>
      <c r="J105" s="901"/>
      <c r="K105" s="1193"/>
      <c r="L105" s="1193"/>
      <c r="M105" s="1193"/>
      <c r="N105" s="1193"/>
      <c r="O105" s="1193"/>
      <c r="P105" s="1193"/>
      <c r="Q105" s="1193"/>
      <c r="T105" s="681"/>
    </row>
    <row r="106" spans="2:20" s="682" customFormat="1" x14ac:dyDescent="0.2">
      <c r="B106" s="98" t="s">
        <v>1506</v>
      </c>
      <c r="C106" s="98" t="s">
        <v>1079</v>
      </c>
      <c r="D106" s="98">
        <v>2</v>
      </c>
      <c r="E106" s="98">
        <v>100</v>
      </c>
      <c r="F106" s="1124">
        <v>200</v>
      </c>
      <c r="G106" s="576">
        <v>208.54166666666669</v>
      </c>
      <c r="I106" s="1193"/>
      <c r="J106" s="901"/>
      <c r="K106" s="1193"/>
      <c r="L106" s="1193"/>
      <c r="M106" s="1193"/>
      <c r="N106" s="1193"/>
      <c r="O106" s="1193"/>
      <c r="P106" s="1193"/>
      <c r="Q106" s="1193"/>
      <c r="T106" s="681"/>
    </row>
    <row r="107" spans="2:20" s="682" customFormat="1" x14ac:dyDescent="0.2">
      <c r="B107" s="98" t="s">
        <v>1507</v>
      </c>
      <c r="C107" s="98" t="s">
        <v>1079</v>
      </c>
      <c r="D107" s="98">
        <v>2</v>
      </c>
      <c r="E107" s="98">
        <v>100</v>
      </c>
      <c r="F107" s="1124">
        <v>200</v>
      </c>
      <c r="G107" s="576">
        <v>208.54166666666669</v>
      </c>
      <c r="I107" s="1193"/>
      <c r="J107" s="901"/>
      <c r="K107" s="1193"/>
      <c r="L107" s="1193"/>
      <c r="M107" s="1193"/>
      <c r="N107" s="1193"/>
      <c r="O107" s="1193"/>
      <c r="P107" s="1193"/>
      <c r="Q107" s="1193"/>
      <c r="T107" s="681"/>
    </row>
    <row r="108" spans="2:20" s="682" customFormat="1" x14ac:dyDescent="0.2">
      <c r="B108" s="98" t="s">
        <v>1508</v>
      </c>
      <c r="C108" s="98" t="s">
        <v>1079</v>
      </c>
      <c r="D108" s="98">
        <v>2</v>
      </c>
      <c r="E108" s="98">
        <v>433.33333333333337</v>
      </c>
      <c r="F108" s="1124">
        <v>866.66666666666674</v>
      </c>
      <c r="G108" s="576">
        <v>208.54166666666669</v>
      </c>
      <c r="I108" s="1193"/>
      <c r="J108" s="901"/>
      <c r="K108" s="1193"/>
      <c r="L108" s="1193"/>
      <c r="M108" s="1193"/>
      <c r="N108" s="1193"/>
      <c r="O108" s="1193"/>
      <c r="P108" s="1193"/>
      <c r="Q108" s="1193"/>
      <c r="T108" s="681"/>
    </row>
    <row r="109" spans="2:20" s="682" customFormat="1" x14ac:dyDescent="0.2">
      <c r="B109" s="98" t="s">
        <v>1509</v>
      </c>
      <c r="C109" s="98" t="s">
        <v>1079</v>
      </c>
      <c r="D109" s="98">
        <v>10</v>
      </c>
      <c r="E109" s="98">
        <v>258.33333333333337</v>
      </c>
      <c r="F109" s="1124">
        <v>2583.3333333333339</v>
      </c>
      <c r="G109" s="576">
        <v>208.54166666666669</v>
      </c>
      <c r="I109" s="1193"/>
      <c r="J109" s="901"/>
      <c r="K109" s="1193"/>
      <c r="L109" s="1193"/>
      <c r="M109" s="1193"/>
      <c r="N109" s="1193"/>
      <c r="O109" s="1193"/>
      <c r="P109" s="1193"/>
      <c r="Q109" s="1193"/>
      <c r="T109" s="681"/>
    </row>
    <row r="110" spans="2:20" s="682" customFormat="1" x14ac:dyDescent="0.2">
      <c r="B110" s="98" t="s">
        <v>1510</v>
      </c>
      <c r="C110" s="98" t="s">
        <v>1079</v>
      </c>
      <c r="D110" s="98">
        <v>30</v>
      </c>
      <c r="E110" s="98">
        <v>291.66666666666669</v>
      </c>
      <c r="F110" s="1124">
        <v>8750</v>
      </c>
      <c r="G110" s="576">
        <v>208.54166666666669</v>
      </c>
      <c r="I110" s="1193"/>
      <c r="J110" s="901"/>
      <c r="K110" s="1193"/>
      <c r="L110" s="1193"/>
      <c r="M110" s="1193"/>
      <c r="N110" s="1193"/>
      <c r="O110" s="1193"/>
      <c r="P110" s="1193"/>
      <c r="Q110" s="1193"/>
      <c r="T110" s="681"/>
    </row>
    <row r="111" spans="2:20" s="682" customFormat="1" x14ac:dyDescent="0.2">
      <c r="B111" s="98" t="s">
        <v>1408</v>
      </c>
      <c r="C111" s="98" t="s">
        <v>1079</v>
      </c>
      <c r="D111" s="98">
        <v>30</v>
      </c>
      <c r="E111" s="98">
        <v>54.166666666666671</v>
      </c>
      <c r="F111" s="1124">
        <v>1625.0000000000002</v>
      </c>
      <c r="G111" s="576">
        <v>208.54166666666669</v>
      </c>
      <c r="I111" s="1193"/>
      <c r="J111" s="901"/>
      <c r="K111" s="1193"/>
      <c r="L111" s="1193"/>
      <c r="M111" s="1193"/>
      <c r="N111" s="1193"/>
      <c r="O111" s="1193"/>
      <c r="P111" s="1193"/>
      <c r="Q111" s="1193"/>
      <c r="T111" s="681"/>
    </row>
    <row r="112" spans="2:20" s="682" customFormat="1" x14ac:dyDescent="0.2">
      <c r="B112" s="98" t="s">
        <v>1409</v>
      </c>
      <c r="C112" s="98" t="s">
        <v>1079</v>
      </c>
      <c r="D112" s="98">
        <v>5</v>
      </c>
      <c r="E112" s="98">
        <v>250</v>
      </c>
      <c r="F112" s="1124">
        <v>1250</v>
      </c>
      <c r="G112" s="576">
        <v>208.54166666666669</v>
      </c>
      <c r="I112" s="1193"/>
      <c r="J112" s="901"/>
      <c r="K112" s="1193"/>
      <c r="L112" s="1193"/>
      <c r="M112" s="1193"/>
      <c r="N112" s="1193"/>
      <c r="O112" s="1193"/>
      <c r="P112" s="1193"/>
      <c r="Q112" s="1193"/>
      <c r="T112" s="681"/>
    </row>
    <row r="113" spans="2:20" s="682" customFormat="1" x14ac:dyDescent="0.2">
      <c r="B113" s="98" t="s">
        <v>1410</v>
      </c>
      <c r="C113" s="98" t="s">
        <v>1079</v>
      </c>
      <c r="D113" s="98">
        <v>20</v>
      </c>
      <c r="E113" s="98">
        <v>208</v>
      </c>
      <c r="F113" s="1124">
        <v>4160</v>
      </c>
      <c r="G113" s="576">
        <v>208.54166666666669</v>
      </c>
      <c r="I113" s="1193"/>
      <c r="J113" s="901"/>
      <c r="K113" s="1193"/>
      <c r="L113" s="1193"/>
      <c r="M113" s="1193"/>
      <c r="N113" s="1193"/>
      <c r="O113" s="1193"/>
      <c r="P113" s="1193"/>
      <c r="Q113" s="1193"/>
      <c r="T113" s="681"/>
    </row>
    <row r="114" spans="2:20" s="682" customFormat="1" x14ac:dyDescent="0.2">
      <c r="B114" s="98" t="s">
        <v>1380</v>
      </c>
      <c r="C114" s="98" t="s">
        <v>1079</v>
      </c>
      <c r="D114" s="98">
        <v>50</v>
      </c>
      <c r="E114" s="98">
        <v>108.33333333333334</v>
      </c>
      <c r="F114" s="1124">
        <v>5416.666666666667</v>
      </c>
      <c r="G114" s="576">
        <v>208.54166666666669</v>
      </c>
      <c r="I114" s="1193"/>
      <c r="J114" s="901"/>
      <c r="K114" s="1193"/>
      <c r="L114" s="1193"/>
      <c r="M114" s="1193"/>
      <c r="N114" s="1193"/>
      <c r="O114" s="1193"/>
      <c r="P114" s="1193"/>
      <c r="Q114" s="1193"/>
      <c r="T114" s="681"/>
    </row>
    <row r="115" spans="2:20" s="682" customFormat="1" x14ac:dyDescent="0.2">
      <c r="B115" s="98" t="s">
        <v>1381</v>
      </c>
      <c r="C115" s="98" t="s">
        <v>1079</v>
      </c>
      <c r="D115" s="98">
        <v>6</v>
      </c>
      <c r="E115" s="98">
        <v>410.1</v>
      </c>
      <c r="F115" s="1124">
        <v>2460.6000000000004</v>
      </c>
      <c r="G115" s="576">
        <v>208.54166666666669</v>
      </c>
      <c r="I115" s="1193"/>
      <c r="J115" s="901"/>
      <c r="K115" s="1193"/>
      <c r="L115" s="1193"/>
      <c r="M115" s="1193"/>
      <c r="N115" s="1193"/>
      <c r="O115" s="1193"/>
      <c r="P115" s="1193"/>
      <c r="Q115" s="1193"/>
      <c r="T115" s="681"/>
    </row>
    <row r="116" spans="2:20" s="682" customFormat="1" x14ac:dyDescent="0.2">
      <c r="B116" s="98" t="s">
        <v>1511</v>
      </c>
      <c r="C116" s="98" t="s">
        <v>1079</v>
      </c>
      <c r="D116" s="98">
        <v>4</v>
      </c>
      <c r="E116" s="98">
        <v>472.8</v>
      </c>
      <c r="F116" s="1124">
        <v>1891.2</v>
      </c>
      <c r="G116" s="576">
        <v>208.54166666666669</v>
      </c>
      <c r="I116" s="1193"/>
      <c r="J116" s="901"/>
      <c r="K116" s="1193"/>
      <c r="L116" s="1193"/>
      <c r="M116" s="1193"/>
      <c r="N116" s="1193"/>
      <c r="O116" s="1193"/>
      <c r="P116" s="1193"/>
      <c r="Q116" s="1193"/>
      <c r="T116" s="681"/>
    </row>
    <row r="117" spans="2:20" s="682" customFormat="1" x14ac:dyDescent="0.2">
      <c r="B117" s="98" t="s">
        <v>1382</v>
      </c>
      <c r="C117" s="98" t="s">
        <v>1079</v>
      </c>
      <c r="D117" s="98">
        <v>5</v>
      </c>
      <c r="E117" s="98">
        <v>219.4</v>
      </c>
      <c r="F117" s="1124">
        <v>1097</v>
      </c>
      <c r="G117" s="576">
        <v>208.54166666666669</v>
      </c>
      <c r="I117" s="1193"/>
      <c r="J117" s="901"/>
      <c r="K117" s="1193"/>
      <c r="L117" s="1193"/>
      <c r="M117" s="1193"/>
      <c r="N117" s="1193"/>
      <c r="O117" s="1193"/>
      <c r="P117" s="1193"/>
      <c r="Q117" s="1193"/>
      <c r="T117" s="681"/>
    </row>
    <row r="118" spans="2:20" s="682" customFormat="1" x14ac:dyDescent="0.2">
      <c r="B118" s="98" t="s">
        <v>1512</v>
      </c>
      <c r="C118" s="98" t="s">
        <v>1079</v>
      </c>
      <c r="D118" s="98">
        <v>5</v>
      </c>
      <c r="E118" s="98">
        <v>600.20000000000005</v>
      </c>
      <c r="F118" s="1124">
        <v>3001</v>
      </c>
      <c r="G118" s="576">
        <v>208.54166666666669</v>
      </c>
      <c r="I118" s="1193"/>
      <c r="J118" s="901"/>
      <c r="K118" s="1193"/>
      <c r="L118" s="1193"/>
      <c r="M118" s="1193"/>
      <c r="N118" s="1193"/>
      <c r="O118" s="1193"/>
      <c r="P118" s="1193"/>
      <c r="Q118" s="1193"/>
      <c r="T118" s="681"/>
    </row>
    <row r="119" spans="2:20" s="682" customFormat="1" hidden="1" x14ac:dyDescent="0.2">
      <c r="B119" s="98" t="s">
        <v>1383</v>
      </c>
      <c r="C119" s="98" t="s">
        <v>1079</v>
      </c>
      <c r="D119" s="98">
        <v>0</v>
      </c>
      <c r="E119" s="98">
        <v>149.19999999999999</v>
      </c>
      <c r="F119" s="1124">
        <v>0</v>
      </c>
      <c r="G119" s="576">
        <v>208.54166666666669</v>
      </c>
      <c r="I119" s="1193"/>
      <c r="J119" s="901"/>
      <c r="K119" s="1193"/>
      <c r="L119" s="1193"/>
      <c r="M119" s="1193"/>
      <c r="N119" s="1193"/>
      <c r="O119" s="1193"/>
      <c r="P119" s="1193"/>
      <c r="Q119" s="1193"/>
      <c r="T119" s="681"/>
    </row>
    <row r="120" spans="2:20" s="682" customFormat="1" x14ac:dyDescent="0.2">
      <c r="B120" s="98" t="s">
        <v>1513</v>
      </c>
      <c r="C120" s="98" t="s">
        <v>1079</v>
      </c>
      <c r="D120" s="98">
        <v>50</v>
      </c>
      <c r="E120" s="98">
        <v>202.3</v>
      </c>
      <c r="F120" s="1124">
        <v>10115</v>
      </c>
      <c r="G120" s="576">
        <v>208.54166666666669</v>
      </c>
      <c r="I120" s="1193"/>
      <c r="J120" s="901"/>
      <c r="K120" s="1193"/>
      <c r="L120" s="1193"/>
      <c r="M120" s="1193"/>
      <c r="N120" s="1193"/>
      <c r="O120" s="1193"/>
      <c r="P120" s="1193"/>
      <c r="Q120" s="1193"/>
      <c r="T120" s="681"/>
    </row>
    <row r="121" spans="2:20" s="682" customFormat="1" x14ac:dyDescent="0.2">
      <c r="B121" s="98" t="s">
        <v>1514</v>
      </c>
      <c r="C121" s="98" t="s">
        <v>1079</v>
      </c>
      <c r="D121" s="98">
        <v>5</v>
      </c>
      <c r="E121" s="98">
        <v>742.4</v>
      </c>
      <c r="F121" s="1124">
        <v>3712</v>
      </c>
      <c r="G121" s="576">
        <v>208.54166666666669</v>
      </c>
      <c r="I121" s="1193"/>
      <c r="J121" s="901"/>
      <c r="K121" s="1193"/>
      <c r="L121" s="1193"/>
      <c r="M121" s="1193"/>
      <c r="N121" s="1193"/>
      <c r="O121" s="1193"/>
      <c r="P121" s="1193"/>
      <c r="Q121" s="1193"/>
      <c r="T121" s="681"/>
    </row>
    <row r="122" spans="2:20" s="682" customFormat="1" hidden="1" x14ac:dyDescent="0.2">
      <c r="B122" s="98" t="s">
        <v>1384</v>
      </c>
      <c r="C122" s="98" t="s">
        <v>1079</v>
      </c>
      <c r="D122" s="98">
        <v>0</v>
      </c>
      <c r="E122" s="98">
        <v>1579.9</v>
      </c>
      <c r="F122" s="1124">
        <v>0</v>
      </c>
      <c r="G122" s="576">
        <v>208.54166666666669</v>
      </c>
      <c r="I122" s="1193"/>
      <c r="J122" s="901"/>
      <c r="K122" s="1193"/>
      <c r="L122" s="1193"/>
      <c r="M122" s="1193"/>
      <c r="N122" s="1193"/>
      <c r="O122" s="1193"/>
      <c r="P122" s="1193"/>
      <c r="Q122" s="1193"/>
      <c r="T122" s="681"/>
    </row>
    <row r="123" spans="2:20" s="682" customFormat="1" x14ac:dyDescent="0.2">
      <c r="B123" s="98" t="s">
        <v>1385</v>
      </c>
      <c r="C123" s="98" t="s">
        <v>1079</v>
      </c>
      <c r="D123" s="98">
        <v>1</v>
      </c>
      <c r="E123" s="98">
        <v>1916.5</v>
      </c>
      <c r="F123" s="1124">
        <v>1916.5</v>
      </c>
      <c r="G123" s="576">
        <v>208.54166666666669</v>
      </c>
      <c r="I123" s="1193"/>
      <c r="J123" s="901"/>
      <c r="K123" s="1193"/>
      <c r="L123" s="1193"/>
      <c r="M123" s="1193"/>
      <c r="N123" s="1193"/>
      <c r="O123" s="1193"/>
      <c r="P123" s="1193"/>
      <c r="Q123" s="1193"/>
      <c r="T123" s="681"/>
    </row>
    <row r="124" spans="2:20" s="682" customFormat="1" x14ac:dyDescent="0.2">
      <c r="B124" s="98" t="s">
        <v>1386</v>
      </c>
      <c r="C124" s="98" t="s">
        <v>1079</v>
      </c>
      <c r="D124" s="98">
        <v>1</v>
      </c>
      <c r="E124" s="98">
        <v>742.4</v>
      </c>
      <c r="F124" s="1124">
        <v>742.4</v>
      </c>
      <c r="G124" s="576">
        <v>208.54166666666669</v>
      </c>
      <c r="I124" s="1193"/>
      <c r="J124" s="901"/>
      <c r="K124" s="1193"/>
      <c r="L124" s="1193"/>
      <c r="M124" s="1193"/>
      <c r="N124" s="1193"/>
      <c r="O124" s="1193"/>
      <c r="P124" s="1193"/>
      <c r="Q124" s="1193"/>
      <c r="T124" s="681"/>
    </row>
    <row r="125" spans="2:20" s="682" customFormat="1" x14ac:dyDescent="0.2">
      <c r="B125" s="98" t="s">
        <v>1387</v>
      </c>
      <c r="C125" s="98" t="s">
        <v>1079</v>
      </c>
      <c r="D125" s="98">
        <v>3</v>
      </c>
      <c r="E125" s="98">
        <v>1421.6</v>
      </c>
      <c r="F125" s="1124">
        <v>4264.7999999999993</v>
      </c>
      <c r="G125" s="576">
        <v>208.54166666666669</v>
      </c>
      <c r="I125" s="1193"/>
      <c r="J125" s="901"/>
      <c r="K125" s="1193"/>
      <c r="L125" s="1193"/>
      <c r="M125" s="1193"/>
      <c r="N125" s="1193"/>
      <c r="O125" s="1193"/>
      <c r="P125" s="1193"/>
      <c r="Q125" s="1193"/>
      <c r="T125" s="681"/>
    </row>
    <row r="126" spans="2:20" s="682" customFormat="1" x14ac:dyDescent="0.2">
      <c r="B126" s="98" t="s">
        <v>1388</v>
      </c>
      <c r="C126" s="98" t="s">
        <v>1079</v>
      </c>
      <c r="D126" s="98">
        <v>1</v>
      </c>
      <c r="E126" s="98">
        <v>1774.3</v>
      </c>
      <c r="F126" s="1124">
        <v>1774.3</v>
      </c>
      <c r="G126" s="576">
        <v>208.54166666666669</v>
      </c>
      <c r="I126" s="1193"/>
      <c r="J126" s="901"/>
      <c r="K126" s="1193"/>
      <c r="L126" s="1193"/>
      <c r="M126" s="1193"/>
      <c r="N126" s="1193"/>
      <c r="O126" s="1193"/>
      <c r="P126" s="1193"/>
      <c r="Q126" s="1193"/>
      <c r="T126" s="681"/>
    </row>
    <row r="127" spans="2:20" s="682" customFormat="1" x14ac:dyDescent="0.2">
      <c r="B127" s="98" t="s">
        <v>1444</v>
      </c>
      <c r="C127" s="98" t="s">
        <v>1079</v>
      </c>
      <c r="D127" s="98">
        <v>2</v>
      </c>
      <c r="E127" s="98">
        <v>225</v>
      </c>
      <c r="F127" s="1124">
        <v>450</v>
      </c>
      <c r="G127" s="576">
        <v>208.54166666666669</v>
      </c>
      <c r="I127" s="1193"/>
      <c r="J127" s="901"/>
      <c r="K127" s="1193"/>
      <c r="L127" s="1193"/>
      <c r="M127" s="1193"/>
      <c r="N127" s="1193"/>
      <c r="O127" s="1193"/>
      <c r="P127" s="1193"/>
      <c r="Q127" s="1193"/>
      <c r="T127" s="681"/>
    </row>
    <row r="128" spans="2:20" s="682" customFormat="1" x14ac:dyDescent="0.2">
      <c r="B128" s="98" t="s">
        <v>1445</v>
      </c>
      <c r="C128" s="98" t="s">
        <v>1079</v>
      </c>
      <c r="D128" s="98">
        <v>5</v>
      </c>
      <c r="E128" s="98">
        <v>342.2</v>
      </c>
      <c r="F128" s="1124">
        <v>1711</v>
      </c>
      <c r="G128" s="576">
        <v>208.54166666666669</v>
      </c>
      <c r="I128" s="1193"/>
      <c r="J128" s="901"/>
      <c r="K128" s="1193"/>
      <c r="L128" s="1193"/>
      <c r="M128" s="1193"/>
      <c r="N128" s="1193"/>
      <c r="O128" s="1193"/>
      <c r="P128" s="1193"/>
      <c r="Q128" s="1193"/>
      <c r="T128" s="681"/>
    </row>
    <row r="129" spans="2:20" s="682" customFormat="1" x14ac:dyDescent="0.2">
      <c r="B129" s="98" t="s">
        <v>1515</v>
      </c>
      <c r="C129" s="98" t="s">
        <v>1079</v>
      </c>
      <c r="D129" s="98">
        <v>10</v>
      </c>
      <c r="E129" s="98">
        <v>258</v>
      </c>
      <c r="F129" s="1124">
        <v>2580</v>
      </c>
      <c r="G129" s="576">
        <v>208.54166666666669</v>
      </c>
      <c r="I129" s="1193"/>
      <c r="J129" s="901"/>
      <c r="K129" s="1193"/>
      <c r="L129" s="1193"/>
      <c r="M129" s="1193"/>
      <c r="N129" s="1193"/>
      <c r="O129" s="1193"/>
      <c r="P129" s="1193"/>
      <c r="Q129" s="1193"/>
      <c r="T129" s="681"/>
    </row>
    <row r="130" spans="2:20" s="682" customFormat="1" x14ac:dyDescent="0.2">
      <c r="B130" s="98" t="s">
        <v>1516</v>
      </c>
      <c r="C130" s="98" t="s">
        <v>1079</v>
      </c>
      <c r="D130" s="98">
        <v>2</v>
      </c>
      <c r="E130" s="98">
        <v>180</v>
      </c>
      <c r="F130" s="1124">
        <v>360</v>
      </c>
      <c r="G130" s="576">
        <v>208.54166666666669</v>
      </c>
      <c r="I130" s="1193"/>
      <c r="J130" s="901"/>
      <c r="K130" s="1193"/>
      <c r="L130" s="1193"/>
      <c r="M130" s="1193"/>
      <c r="N130" s="1193"/>
      <c r="O130" s="1193"/>
      <c r="P130" s="1193"/>
      <c r="Q130" s="1193"/>
      <c r="T130" s="681"/>
    </row>
    <row r="131" spans="2:20" s="682" customFormat="1" x14ac:dyDescent="0.2">
      <c r="B131" s="98" t="s">
        <v>1517</v>
      </c>
      <c r="C131" s="98" t="s">
        <v>1079</v>
      </c>
      <c r="D131" s="98">
        <v>2</v>
      </c>
      <c r="E131" s="98">
        <v>585</v>
      </c>
      <c r="F131" s="1124">
        <v>1170</v>
      </c>
      <c r="G131" s="576">
        <v>208.54166666666669</v>
      </c>
      <c r="I131" s="1193"/>
      <c r="J131" s="901"/>
      <c r="K131" s="1193"/>
      <c r="L131" s="1193"/>
      <c r="M131" s="1193"/>
      <c r="N131" s="1193"/>
      <c r="O131" s="1193"/>
      <c r="P131" s="1193"/>
      <c r="Q131" s="1193"/>
      <c r="T131" s="681"/>
    </row>
    <row r="132" spans="2:20" s="682" customFormat="1" x14ac:dyDescent="0.2">
      <c r="B132" s="98" t="s">
        <v>1518</v>
      </c>
      <c r="C132" s="98" t="s">
        <v>1079</v>
      </c>
      <c r="D132" s="98">
        <v>200</v>
      </c>
      <c r="E132" s="98">
        <v>141.1</v>
      </c>
      <c r="F132" s="1124">
        <v>28220</v>
      </c>
      <c r="G132" s="576">
        <v>208.54166666666669</v>
      </c>
      <c r="I132" s="1193"/>
      <c r="J132" s="901"/>
      <c r="K132" s="1193"/>
      <c r="L132" s="1193"/>
      <c r="M132" s="1193"/>
      <c r="N132" s="1193"/>
      <c r="O132" s="1193"/>
      <c r="P132" s="1193"/>
      <c r="Q132" s="1193"/>
      <c r="T132" s="681"/>
    </row>
    <row r="133" spans="2:20" s="682" customFormat="1" x14ac:dyDescent="0.2">
      <c r="B133" s="98" t="s">
        <v>1519</v>
      </c>
      <c r="C133" s="98" t="s">
        <v>1079</v>
      </c>
      <c r="D133" s="98">
        <v>200</v>
      </c>
      <c r="E133" s="98">
        <v>195</v>
      </c>
      <c r="F133" s="1124">
        <v>39000</v>
      </c>
      <c r="G133" s="576">
        <v>208.54166666666669</v>
      </c>
      <c r="I133" s="1193"/>
      <c r="J133" s="901"/>
      <c r="K133" s="1193"/>
      <c r="L133" s="1193"/>
      <c r="M133" s="1193"/>
      <c r="N133" s="1193"/>
      <c r="O133" s="1193"/>
      <c r="P133" s="1193"/>
      <c r="Q133" s="1193"/>
      <c r="T133" s="681"/>
    </row>
    <row r="134" spans="2:20" s="682" customFormat="1" x14ac:dyDescent="0.2">
      <c r="B134" s="98" t="s">
        <v>1446</v>
      </c>
      <c r="C134" s="98" t="s">
        <v>1217</v>
      </c>
      <c r="D134" s="98">
        <v>200</v>
      </c>
      <c r="E134" s="98">
        <v>202.2</v>
      </c>
      <c r="F134" s="1124">
        <v>40440</v>
      </c>
      <c r="G134" s="576">
        <v>208.54166666666669</v>
      </c>
      <c r="I134" s="1193"/>
      <c r="J134" s="901"/>
      <c r="K134" s="1193"/>
      <c r="L134" s="1193"/>
      <c r="M134" s="1193"/>
      <c r="N134" s="1193"/>
      <c r="O134" s="1193"/>
      <c r="P134" s="1193"/>
      <c r="Q134" s="1193"/>
      <c r="T134" s="681"/>
    </row>
    <row r="135" spans="2:20" s="682" customFormat="1" x14ac:dyDescent="0.2">
      <c r="B135" s="98" t="s">
        <v>1520</v>
      </c>
      <c r="C135" s="98" t="s">
        <v>1079</v>
      </c>
      <c r="D135" s="98">
        <v>150</v>
      </c>
      <c r="E135" s="98">
        <v>171.9</v>
      </c>
      <c r="F135" s="1124">
        <v>25785</v>
      </c>
      <c r="G135" s="576">
        <v>208.54166666666669</v>
      </c>
      <c r="I135" s="1193"/>
      <c r="J135" s="901"/>
      <c r="K135" s="1193"/>
      <c r="L135" s="1193"/>
      <c r="M135" s="1193"/>
      <c r="N135" s="1193"/>
      <c r="O135" s="1193"/>
      <c r="P135" s="1193"/>
      <c r="Q135" s="1193"/>
      <c r="T135" s="681"/>
    </row>
    <row r="136" spans="2:20" s="682" customFormat="1" x14ac:dyDescent="0.2">
      <c r="B136" s="98" t="s">
        <v>1521</v>
      </c>
      <c r="C136" s="98" t="s">
        <v>1079</v>
      </c>
      <c r="D136" s="98">
        <v>50</v>
      </c>
      <c r="E136" s="98">
        <v>199.2</v>
      </c>
      <c r="F136" s="1124">
        <v>9960</v>
      </c>
      <c r="G136" s="576">
        <v>208.54166666666669</v>
      </c>
      <c r="I136" s="1193"/>
      <c r="J136" s="901"/>
      <c r="K136" s="1193"/>
      <c r="L136" s="1193"/>
      <c r="M136" s="1193"/>
      <c r="N136" s="1193"/>
      <c r="O136" s="1193"/>
      <c r="P136" s="1193"/>
      <c r="Q136" s="1193"/>
      <c r="T136" s="681"/>
    </row>
    <row r="137" spans="2:20" s="682" customFormat="1" x14ac:dyDescent="0.2">
      <c r="B137" s="98" t="s">
        <v>1447</v>
      </c>
      <c r="C137" s="98" t="s">
        <v>1079</v>
      </c>
      <c r="D137" s="98">
        <v>50</v>
      </c>
      <c r="E137" s="98">
        <v>228.4</v>
      </c>
      <c r="F137" s="1124">
        <v>11420</v>
      </c>
      <c r="G137" s="576">
        <v>208.54166666666669</v>
      </c>
      <c r="I137" s="1193"/>
      <c r="J137" s="901"/>
      <c r="K137" s="1193"/>
      <c r="L137" s="1193"/>
      <c r="M137" s="1193"/>
      <c r="N137" s="1193"/>
      <c r="O137" s="1193"/>
      <c r="P137" s="1193"/>
      <c r="Q137" s="1193"/>
      <c r="T137" s="681"/>
    </row>
    <row r="138" spans="2:20" s="682" customFormat="1" x14ac:dyDescent="0.2">
      <c r="B138" s="98" t="s">
        <v>1522</v>
      </c>
      <c r="C138" s="98" t="s">
        <v>951</v>
      </c>
      <c r="D138" s="98">
        <v>20</v>
      </c>
      <c r="E138" s="98">
        <v>105.7</v>
      </c>
      <c r="F138" s="1124">
        <v>2114</v>
      </c>
      <c r="G138" s="576">
        <v>208.54166666666669</v>
      </c>
      <c r="I138" s="1193"/>
      <c r="J138" s="901"/>
      <c r="K138" s="1193"/>
      <c r="L138" s="1193"/>
      <c r="M138" s="1193"/>
      <c r="N138" s="1193"/>
      <c r="O138" s="1193"/>
      <c r="P138" s="1193"/>
      <c r="Q138" s="1193"/>
      <c r="T138" s="681"/>
    </row>
    <row r="139" spans="2:20" s="682" customFormat="1" x14ac:dyDescent="0.2">
      <c r="B139" s="98" t="s">
        <v>1523</v>
      </c>
      <c r="C139" s="98" t="s">
        <v>1079</v>
      </c>
      <c r="D139" s="98">
        <v>10</v>
      </c>
      <c r="E139" s="98">
        <v>75.8</v>
      </c>
      <c r="F139" s="1124">
        <v>758</v>
      </c>
      <c r="G139" s="576">
        <v>208.54166666666669</v>
      </c>
      <c r="I139" s="1193"/>
      <c r="J139" s="901"/>
      <c r="K139" s="1193"/>
      <c r="L139" s="1193"/>
      <c r="M139" s="1193"/>
      <c r="N139" s="1193"/>
      <c r="O139" s="1193"/>
      <c r="P139" s="1193"/>
      <c r="Q139" s="1193"/>
      <c r="T139" s="681"/>
    </row>
    <row r="140" spans="2:20" s="682" customFormat="1" x14ac:dyDescent="0.2">
      <c r="B140" s="98" t="s">
        <v>1524</v>
      </c>
      <c r="C140" s="98" t="s">
        <v>1079</v>
      </c>
      <c r="D140" s="98">
        <v>10</v>
      </c>
      <c r="E140" s="98">
        <v>109</v>
      </c>
      <c r="F140" s="1124">
        <v>1090</v>
      </c>
      <c r="G140" s="576">
        <v>208.54166666666669</v>
      </c>
      <c r="I140" s="1193"/>
      <c r="J140" s="901"/>
      <c r="K140" s="1193"/>
      <c r="L140" s="1193"/>
      <c r="M140" s="1193"/>
      <c r="N140" s="1193"/>
      <c r="O140" s="1193"/>
      <c r="P140" s="1193"/>
      <c r="Q140" s="1193"/>
      <c r="T140" s="681"/>
    </row>
    <row r="141" spans="2:20" s="682" customFormat="1" x14ac:dyDescent="0.2">
      <c r="B141" s="98" t="s">
        <v>1525</v>
      </c>
      <c r="C141" s="98" t="s">
        <v>1079</v>
      </c>
      <c r="D141" s="98">
        <v>10</v>
      </c>
      <c r="E141" s="98">
        <v>125.8</v>
      </c>
      <c r="F141" s="1124">
        <v>1258</v>
      </c>
      <c r="G141" s="576">
        <v>15900</v>
      </c>
      <c r="I141" s="1193"/>
      <c r="J141" s="901"/>
      <c r="K141" s="1193"/>
      <c r="L141" s="1193"/>
      <c r="M141" s="1193"/>
      <c r="N141" s="1193"/>
      <c r="O141" s="1193"/>
      <c r="P141" s="1193"/>
      <c r="Q141" s="1193"/>
      <c r="T141" s="681"/>
    </row>
    <row r="142" spans="2:20" s="682" customFormat="1" x14ac:dyDescent="0.2">
      <c r="B142" s="98" t="s">
        <v>1526</v>
      </c>
      <c r="C142" s="98" t="s">
        <v>1079</v>
      </c>
      <c r="D142" s="98">
        <v>10</v>
      </c>
      <c r="E142" s="98">
        <v>149.5</v>
      </c>
      <c r="F142" s="1124">
        <v>1495</v>
      </c>
      <c r="G142" s="576">
        <v>15900</v>
      </c>
      <c r="I142" s="1193"/>
      <c r="J142" s="901"/>
      <c r="K142" s="1193"/>
      <c r="L142" s="1193"/>
      <c r="M142" s="1193"/>
      <c r="N142" s="1193"/>
      <c r="O142" s="1193"/>
      <c r="P142" s="1193"/>
      <c r="Q142" s="1193"/>
      <c r="T142" s="681"/>
    </row>
    <row r="143" spans="2:20" s="682" customFormat="1" x14ac:dyDescent="0.2">
      <c r="B143" s="98" t="s">
        <v>1527</v>
      </c>
      <c r="C143" s="98" t="s">
        <v>1079</v>
      </c>
      <c r="D143" s="98">
        <v>10</v>
      </c>
      <c r="E143" s="98">
        <v>122.1</v>
      </c>
      <c r="F143" s="1124">
        <v>1221</v>
      </c>
      <c r="G143" s="576">
        <v>15900</v>
      </c>
      <c r="I143" s="1193"/>
      <c r="J143" s="901"/>
      <c r="K143" s="1193"/>
      <c r="L143" s="1193"/>
      <c r="M143" s="1193"/>
      <c r="N143" s="1193"/>
      <c r="O143" s="1193"/>
      <c r="P143" s="1193"/>
      <c r="Q143" s="1193"/>
      <c r="T143" s="681"/>
    </row>
    <row r="144" spans="2:20" s="682" customFormat="1" x14ac:dyDescent="0.2">
      <c r="B144" s="98" t="s">
        <v>1528</v>
      </c>
      <c r="C144" s="98" t="s">
        <v>1079</v>
      </c>
      <c r="D144" s="98">
        <v>100</v>
      </c>
      <c r="E144" s="98">
        <v>110.6</v>
      </c>
      <c r="F144" s="1124">
        <v>11060</v>
      </c>
      <c r="G144" s="576">
        <v>15900</v>
      </c>
      <c r="I144" s="1193"/>
      <c r="J144" s="901"/>
      <c r="K144" s="1193"/>
      <c r="L144" s="1193"/>
      <c r="M144" s="1193"/>
      <c r="N144" s="1193"/>
      <c r="O144" s="1193"/>
      <c r="P144" s="1193"/>
      <c r="Q144" s="1193"/>
      <c r="T144" s="681"/>
    </row>
    <row r="145" spans="1:22" s="682" customFormat="1" x14ac:dyDescent="0.2">
      <c r="B145" s="98" t="s">
        <v>1529</v>
      </c>
      <c r="C145" s="98" t="s">
        <v>1079</v>
      </c>
      <c r="D145" s="98">
        <v>100</v>
      </c>
      <c r="E145" s="98">
        <v>100.2</v>
      </c>
      <c r="F145" s="1124">
        <v>10020</v>
      </c>
      <c r="G145" s="576">
        <v>15900</v>
      </c>
      <c r="I145" s="1193"/>
      <c r="J145" s="901"/>
      <c r="K145" s="1193"/>
      <c r="L145" s="1193"/>
      <c r="M145" s="1193"/>
      <c r="N145" s="1193"/>
      <c r="O145" s="1193"/>
      <c r="P145" s="1193"/>
      <c r="Q145" s="1193"/>
      <c r="T145" s="681"/>
    </row>
    <row r="146" spans="1:22" s="682" customFormat="1" x14ac:dyDescent="0.2">
      <c r="B146" s="98" t="s">
        <v>1530</v>
      </c>
      <c r="C146" s="98" t="s">
        <v>1079</v>
      </c>
      <c r="D146" s="98">
        <v>100</v>
      </c>
      <c r="E146" s="98">
        <v>93.7</v>
      </c>
      <c r="F146" s="1124">
        <v>9370</v>
      </c>
      <c r="G146" s="576">
        <v>15900</v>
      </c>
      <c r="I146" s="1193"/>
      <c r="J146" s="901"/>
      <c r="K146" s="1193"/>
      <c r="L146" s="1193"/>
      <c r="M146" s="1193"/>
      <c r="N146" s="1193"/>
      <c r="O146" s="1193"/>
      <c r="P146" s="1193"/>
      <c r="Q146" s="1193"/>
      <c r="T146" s="681"/>
    </row>
    <row r="147" spans="1:22" s="682" customFormat="1" x14ac:dyDescent="0.2">
      <c r="B147" s="98" t="s">
        <v>1531</v>
      </c>
      <c r="C147" s="98" t="s">
        <v>1079</v>
      </c>
      <c r="D147" s="98">
        <v>100</v>
      </c>
      <c r="E147" s="98">
        <v>111.6</v>
      </c>
      <c r="F147" s="1124">
        <v>11160</v>
      </c>
      <c r="G147" s="576">
        <v>15900</v>
      </c>
      <c r="I147" s="1193"/>
      <c r="J147" s="901"/>
      <c r="K147" s="1193"/>
      <c r="L147" s="1193"/>
      <c r="M147" s="1193"/>
      <c r="N147" s="1193"/>
      <c r="O147" s="1193"/>
      <c r="P147" s="1193"/>
      <c r="Q147" s="1193"/>
      <c r="T147" s="681"/>
    </row>
    <row r="148" spans="1:22" s="682" customFormat="1" x14ac:dyDescent="0.2">
      <c r="B148" s="98" t="s">
        <v>1532</v>
      </c>
      <c r="C148" s="98" t="s">
        <v>1079</v>
      </c>
      <c r="D148" s="98">
        <v>100</v>
      </c>
      <c r="E148" s="98">
        <v>121.1</v>
      </c>
      <c r="F148" s="1124">
        <v>12110</v>
      </c>
      <c r="G148" s="576">
        <v>15900</v>
      </c>
      <c r="I148" s="1193"/>
      <c r="J148" s="901"/>
      <c r="K148" s="1193"/>
      <c r="L148" s="1193"/>
      <c r="M148" s="1193"/>
      <c r="N148" s="1193"/>
      <c r="O148" s="1193"/>
      <c r="P148" s="1193"/>
      <c r="Q148" s="1193"/>
      <c r="T148" s="681"/>
    </row>
    <row r="149" spans="1:22" s="682" customFormat="1" x14ac:dyDescent="0.2">
      <c r="B149" s="98" t="s">
        <v>1533</v>
      </c>
      <c r="C149" s="98" t="s">
        <v>1079</v>
      </c>
      <c r="D149" s="98">
        <v>3</v>
      </c>
      <c r="E149" s="98">
        <v>3000</v>
      </c>
      <c r="F149" s="1124">
        <v>9000</v>
      </c>
      <c r="G149" s="576">
        <v>15900</v>
      </c>
      <c r="I149" s="1193"/>
      <c r="J149" s="901"/>
      <c r="K149" s="1193"/>
      <c r="L149" s="1193"/>
      <c r="M149" s="1193"/>
      <c r="N149" s="1193"/>
      <c r="O149" s="1193"/>
      <c r="P149" s="1193"/>
      <c r="Q149" s="1193"/>
      <c r="T149" s="681"/>
    </row>
    <row r="150" spans="1:22" s="682" customFormat="1" x14ac:dyDescent="0.2">
      <c r="B150" s="98" t="s">
        <v>1534</v>
      </c>
      <c r="C150" s="98" t="s">
        <v>1307</v>
      </c>
      <c r="D150" s="98">
        <v>10</v>
      </c>
      <c r="E150" s="98">
        <v>220.1</v>
      </c>
      <c r="F150" s="1124">
        <v>2201</v>
      </c>
      <c r="G150" s="576">
        <v>15900</v>
      </c>
      <c r="I150" s="1193"/>
      <c r="J150" s="901"/>
      <c r="K150" s="1193"/>
      <c r="L150" s="1193"/>
      <c r="M150" s="1193"/>
      <c r="N150" s="1193"/>
      <c r="O150" s="1193"/>
      <c r="P150" s="1193"/>
      <c r="Q150" s="1193"/>
      <c r="T150" s="681"/>
    </row>
    <row r="151" spans="1:22" s="682" customFormat="1" x14ac:dyDescent="0.2">
      <c r="B151" s="98" t="s">
        <v>1401</v>
      </c>
      <c r="C151" s="98" t="s">
        <v>1398</v>
      </c>
      <c r="D151" s="98">
        <v>1</v>
      </c>
      <c r="E151" s="98">
        <v>72.400000000000006</v>
      </c>
      <c r="F151" s="1124">
        <v>72.400000000000006</v>
      </c>
      <c r="G151" s="576">
        <v>15900</v>
      </c>
      <c r="I151" s="1193"/>
      <c r="J151" s="901"/>
      <c r="K151" s="1193"/>
      <c r="L151" s="1193"/>
      <c r="M151" s="1193"/>
      <c r="N151" s="1193"/>
      <c r="O151" s="1193"/>
      <c r="P151" s="1193"/>
      <c r="Q151" s="1193"/>
      <c r="T151" s="681"/>
    </row>
    <row r="152" spans="1:22" s="681" customFormat="1" ht="12" hidden="1" customHeight="1" x14ac:dyDescent="0.25">
      <c r="A152" s="682"/>
      <c r="B152" s="1194"/>
      <c r="C152" s="1195"/>
      <c r="D152" s="142"/>
      <c r="E152" s="1195"/>
      <c r="F152" s="1195"/>
      <c r="G152" s="682"/>
      <c r="H152" s="682"/>
      <c r="J152" s="901"/>
      <c r="K152" s="1193"/>
      <c r="L152" s="1193"/>
      <c r="M152" s="1193"/>
      <c r="N152" s="1193"/>
      <c r="O152" s="1193"/>
      <c r="P152" s="1193"/>
      <c r="Q152" s="148"/>
      <c r="R152" s="720" t="s">
        <v>885</v>
      </c>
      <c r="S152" s="720" t="s">
        <v>886</v>
      </c>
      <c r="T152" s="681" t="s">
        <v>887</v>
      </c>
    </row>
    <row r="153" spans="1:22" s="681" customFormat="1" ht="15" x14ac:dyDescent="0.25">
      <c r="A153" s="682"/>
      <c r="B153" s="1196" t="s">
        <v>888</v>
      </c>
      <c r="C153" s="1197" t="s">
        <v>661</v>
      </c>
      <c r="D153" s="1198"/>
      <c r="E153" s="1199"/>
      <c r="F153" s="750">
        <v>1847.1048000000001</v>
      </c>
      <c r="G153" s="682"/>
      <c r="H153" s="682"/>
      <c r="I153" s="682">
        <v>1847.1048000000001</v>
      </c>
      <c r="J153" s="901"/>
      <c r="K153" s="1193"/>
      <c r="L153" s="1193"/>
      <c r="M153" s="1193"/>
      <c r="N153" s="1193"/>
      <c r="O153" s="1193"/>
      <c r="P153" s="1193"/>
      <c r="Q153" s="57" t="s">
        <v>500</v>
      </c>
      <c r="R153" s="1200">
        <v>226.2</v>
      </c>
      <c r="S153" s="1200">
        <v>1.5543982461445416E-2</v>
      </c>
      <c r="T153" s="1200">
        <v>24.653200786211062</v>
      </c>
    </row>
    <row r="154" spans="1:22" s="964" customFormat="1" ht="12" x14ac:dyDescent="0.2">
      <c r="A154" s="956"/>
      <c r="E154" s="967"/>
      <c r="F154" s="967"/>
      <c r="M154" s="966"/>
      <c r="N154" s="990"/>
      <c r="O154" s="966"/>
      <c r="P154" s="966"/>
      <c r="Q154" s="966"/>
      <c r="R154" s="966"/>
      <c r="S154" s="966"/>
      <c r="T154" s="966"/>
      <c r="U154" s="966"/>
      <c r="V154" s="966"/>
    </row>
    <row r="155" spans="1:22" s="964" customFormat="1" ht="42.75" hidden="1" customHeight="1" x14ac:dyDescent="0.2">
      <c r="A155" s="956"/>
      <c r="E155" s="967"/>
      <c r="F155" s="967"/>
      <c r="M155" s="966"/>
      <c r="N155" s="990"/>
      <c r="O155" s="966"/>
      <c r="P155" s="966"/>
      <c r="Q155" s="966"/>
      <c r="R155" s="966"/>
      <c r="S155" s="966"/>
      <c r="T155" s="966"/>
      <c r="U155" s="966"/>
      <c r="V155" s="966"/>
    </row>
    <row r="156" spans="1:22" s="964" customFormat="1" ht="12" x14ac:dyDescent="0.2">
      <c r="A156" s="680">
        <v>8</v>
      </c>
      <c r="B156" s="956" t="s">
        <v>889</v>
      </c>
      <c r="E156" s="967"/>
      <c r="F156" s="967"/>
      <c r="I156" s="974">
        <v>1449.5490704662841</v>
      </c>
      <c r="J156" s="964" t="s">
        <v>617</v>
      </c>
      <c r="K156" s="974">
        <v>1419.3627121329507</v>
      </c>
      <c r="M156" s="991">
        <v>30.186358333333374</v>
      </c>
      <c r="N156" s="990"/>
      <c r="O156" s="966"/>
      <c r="P156" s="966"/>
      <c r="Q156" s="966"/>
      <c r="R156" s="966"/>
      <c r="S156" s="966"/>
      <c r="T156" s="966"/>
      <c r="U156" s="966"/>
      <c r="V156" s="966"/>
    </row>
    <row r="157" spans="1:22" s="964" customFormat="1" ht="12" x14ac:dyDescent="0.2">
      <c r="A157" s="956"/>
      <c r="B157" s="998" t="s">
        <v>890</v>
      </c>
      <c r="E157" s="967"/>
      <c r="F157" s="967"/>
      <c r="I157" s="958">
        <v>257.78757662536276</v>
      </c>
      <c r="J157" s="964" t="s">
        <v>617</v>
      </c>
      <c r="K157" s="967">
        <v>257.78757662536276</v>
      </c>
      <c r="M157" s="966"/>
      <c r="N157" s="990"/>
      <c r="O157" s="966"/>
      <c r="P157" s="966"/>
      <c r="Q157" s="966"/>
      <c r="R157" s="966"/>
      <c r="S157" s="966"/>
      <c r="T157" s="966"/>
      <c r="U157" s="966"/>
      <c r="V157" s="976"/>
    </row>
    <row r="158" spans="1:22" s="966" customFormat="1" ht="12" hidden="1" x14ac:dyDescent="0.2">
      <c r="A158" s="957"/>
      <c r="B158" s="962" t="s">
        <v>891</v>
      </c>
      <c r="C158" s="1201">
        <v>3.4289999999999998</v>
      </c>
      <c r="D158" s="1202" t="s">
        <v>892</v>
      </c>
      <c r="E158" s="1203">
        <v>1191.28</v>
      </c>
      <c r="F158" s="1203"/>
      <c r="G158" s="962" t="s">
        <v>893</v>
      </c>
      <c r="I158" s="1201"/>
      <c r="J158" s="962" t="s">
        <v>617</v>
      </c>
      <c r="K158" s="962"/>
      <c r="L158" s="962"/>
      <c r="M158" s="957" t="s">
        <v>894</v>
      </c>
    </row>
    <row r="159" spans="1:22" s="964" customFormat="1" ht="12" x14ac:dyDescent="0.2">
      <c r="A159" s="956"/>
      <c r="B159" s="978" t="s">
        <v>895</v>
      </c>
      <c r="C159" s="1049">
        <v>4731.9000000000005</v>
      </c>
      <c r="D159" s="1048" t="s">
        <v>896</v>
      </c>
      <c r="E159" s="1204">
        <v>8.9062855699999997</v>
      </c>
      <c r="F159" s="1204"/>
      <c r="G159" s="978" t="s">
        <v>893</v>
      </c>
      <c r="I159" s="1050">
        <v>42.143652688683005</v>
      </c>
      <c r="J159" s="978" t="s">
        <v>617</v>
      </c>
      <c r="K159" s="978"/>
      <c r="L159" s="978" t="s">
        <v>897</v>
      </c>
      <c r="M159" s="956"/>
      <c r="N159" s="990"/>
      <c r="O159" s="966"/>
      <c r="P159" s="966"/>
      <c r="Q159" s="966"/>
      <c r="R159" s="966"/>
      <c r="S159" s="966"/>
      <c r="T159" s="966"/>
      <c r="U159" s="966"/>
      <c r="V159" s="976"/>
    </row>
    <row r="160" spans="1:22" s="964" customFormat="1" ht="12" x14ac:dyDescent="0.2">
      <c r="A160" s="956"/>
      <c r="B160" s="978" t="s">
        <v>898</v>
      </c>
      <c r="C160" s="1049">
        <v>4.9306401572422125</v>
      </c>
      <c r="D160" s="1048" t="s">
        <v>892</v>
      </c>
      <c r="E160" s="1060">
        <v>4177.8599999999997</v>
      </c>
      <c r="F160" s="1060"/>
      <c r="G160" s="978" t="s">
        <v>899</v>
      </c>
      <c r="I160" s="1050">
        <v>102.99762143667975</v>
      </c>
      <c r="J160" s="978" t="s">
        <v>617</v>
      </c>
      <c r="K160" s="978"/>
      <c r="L160" s="978" t="s">
        <v>897</v>
      </c>
      <c r="M160" s="956"/>
      <c r="N160" s="990"/>
      <c r="O160" s="966"/>
      <c r="P160" s="966"/>
      <c r="Q160" s="966"/>
      <c r="R160" s="966"/>
      <c r="S160" s="966"/>
      <c r="T160" s="966"/>
      <c r="U160" s="966"/>
      <c r="V160" s="976"/>
    </row>
    <row r="161" spans="1:22" s="964" customFormat="1" ht="12" hidden="1" x14ac:dyDescent="0.2">
      <c r="A161" s="956"/>
      <c r="B161" s="978" t="s">
        <v>900</v>
      </c>
      <c r="C161" s="1204"/>
      <c r="D161" s="1048" t="s">
        <v>901</v>
      </c>
      <c r="E161" s="1060">
        <v>43483.360000000001</v>
      </c>
      <c r="F161" s="1060"/>
      <c r="G161" s="978" t="s">
        <v>902</v>
      </c>
      <c r="I161" s="1050">
        <v>0</v>
      </c>
      <c r="J161" s="978" t="s">
        <v>617</v>
      </c>
      <c r="K161" s="978"/>
      <c r="L161" s="978" t="s">
        <v>897</v>
      </c>
      <c r="M161" s="956"/>
      <c r="N161" s="990"/>
      <c r="O161" s="966"/>
      <c r="P161" s="966"/>
      <c r="Q161" s="966"/>
      <c r="R161" s="966"/>
      <c r="S161" s="966"/>
      <c r="T161" s="966"/>
      <c r="U161" s="966"/>
      <c r="V161" s="976"/>
    </row>
    <row r="162" spans="1:22" s="964" customFormat="1" ht="12" x14ac:dyDescent="0.2">
      <c r="A162" s="956"/>
      <c r="B162" s="978" t="s">
        <v>903</v>
      </c>
      <c r="C162" s="1049">
        <v>226.2</v>
      </c>
      <c r="D162" s="1048" t="s">
        <v>904</v>
      </c>
      <c r="E162" s="1060">
        <v>6.9</v>
      </c>
      <c r="F162" s="1060"/>
      <c r="G162" s="978" t="s">
        <v>902</v>
      </c>
      <c r="I162" s="1050">
        <v>18.72936</v>
      </c>
      <c r="J162" s="978" t="s">
        <v>617</v>
      </c>
      <c r="K162" s="978"/>
      <c r="L162" s="978" t="s">
        <v>905</v>
      </c>
      <c r="M162" s="956"/>
      <c r="N162" s="990"/>
      <c r="O162" s="976">
        <v>10.741632000000001</v>
      </c>
      <c r="P162" s="964" t="s">
        <v>906</v>
      </c>
      <c r="Q162" s="966"/>
      <c r="R162" s="966"/>
      <c r="S162" s="966"/>
      <c r="T162" s="966"/>
      <c r="U162" s="966"/>
      <c r="V162" s="966"/>
    </row>
    <row r="163" spans="1:22" s="735" customFormat="1" ht="15" x14ac:dyDescent="0.25">
      <c r="A163" s="1044"/>
      <c r="B163" s="1072" t="s">
        <v>907</v>
      </c>
      <c r="C163" s="1072">
        <v>4.91</v>
      </c>
      <c r="D163" s="748" t="s">
        <v>687</v>
      </c>
      <c r="E163" s="1205">
        <v>186.75</v>
      </c>
      <c r="F163" s="681"/>
      <c r="G163" s="748" t="s">
        <v>908</v>
      </c>
      <c r="I163" s="1050">
        <v>0.91694249999999999</v>
      </c>
      <c r="J163" s="1072" t="s">
        <v>617</v>
      </c>
      <c r="M163" s="678"/>
      <c r="N163" s="678"/>
      <c r="O163" s="678"/>
      <c r="P163" s="678"/>
      <c r="Q163" s="1206"/>
      <c r="R163" s="1200"/>
      <c r="S163" s="1200"/>
      <c r="T163" s="1200"/>
    </row>
    <row r="164" spans="1:22" s="735" customFormat="1" ht="15" hidden="1" x14ac:dyDescent="0.25">
      <c r="A164" s="1044"/>
      <c r="B164" s="1207"/>
      <c r="C164" s="1072"/>
      <c r="D164" s="748"/>
      <c r="E164" s="1205"/>
      <c r="F164" s="681"/>
      <c r="G164" s="748"/>
      <c r="I164" s="1050"/>
      <c r="J164" s="1072"/>
      <c r="M164" s="678"/>
      <c r="N164" s="678"/>
      <c r="O164" s="678"/>
      <c r="P164" s="678"/>
      <c r="Q164" s="1206"/>
      <c r="R164" s="1200"/>
      <c r="S164" s="1200"/>
      <c r="T164" s="1200"/>
    </row>
    <row r="165" spans="1:22" s="735" customFormat="1" ht="15" x14ac:dyDescent="0.25">
      <c r="A165" s="1044"/>
      <c r="B165" s="1207" t="s">
        <v>909</v>
      </c>
      <c r="C165" s="1072"/>
      <c r="D165" s="748" t="s">
        <v>910</v>
      </c>
      <c r="E165" s="1205"/>
      <c r="F165" s="681"/>
      <c r="G165" s="748"/>
      <c r="I165" s="1050">
        <v>93</v>
      </c>
      <c r="J165" s="1072" t="s">
        <v>719</v>
      </c>
      <c r="K165" s="735" t="s">
        <v>911</v>
      </c>
      <c r="M165" s="678"/>
      <c r="N165" s="678"/>
      <c r="O165" s="678"/>
      <c r="P165" s="678"/>
      <c r="Q165" s="1206"/>
      <c r="R165" s="1200"/>
      <c r="S165" s="1200"/>
      <c r="T165" s="1200"/>
    </row>
    <row r="166" spans="1:22" s="964" customFormat="1" ht="12" x14ac:dyDescent="0.2">
      <c r="A166" s="956"/>
      <c r="B166" s="978"/>
      <c r="C166" s="1049"/>
      <c r="D166" s="1048"/>
      <c r="E166" s="1060"/>
      <c r="F166" s="1060"/>
      <c r="G166" s="978"/>
      <c r="I166" s="1050"/>
      <c r="J166" s="978"/>
      <c r="K166" s="978"/>
      <c r="L166" s="978" t="s">
        <v>897</v>
      </c>
      <c r="M166" s="956"/>
      <c r="N166" s="990"/>
      <c r="O166" s="976">
        <v>10.741632000000001</v>
      </c>
      <c r="P166" s="964" t="s">
        <v>906</v>
      </c>
      <c r="Q166" s="966"/>
      <c r="R166" s="966"/>
      <c r="S166" s="966"/>
      <c r="T166" s="966"/>
      <c r="U166" s="966"/>
      <c r="V166" s="966"/>
    </row>
    <row r="167" spans="1:22" s="964" customFormat="1" ht="12" hidden="1" customHeight="1" x14ac:dyDescent="0.2">
      <c r="A167" s="956"/>
      <c r="B167" s="978"/>
      <c r="C167" s="1049"/>
      <c r="D167" s="1048"/>
      <c r="E167" s="1050"/>
      <c r="F167" s="1050"/>
      <c r="G167" s="978"/>
      <c r="H167" s="1050"/>
      <c r="I167" s="978"/>
      <c r="M167" s="966"/>
      <c r="N167" s="990"/>
      <c r="O167" s="966"/>
      <c r="P167" s="966"/>
      <c r="Q167" s="966"/>
      <c r="R167" s="966"/>
      <c r="S167" s="966"/>
      <c r="T167" s="966"/>
      <c r="U167" s="966"/>
      <c r="V167" s="966"/>
    </row>
    <row r="168" spans="1:22" s="964" customFormat="1" ht="12" x14ac:dyDescent="0.2">
      <c r="A168" s="956"/>
      <c r="B168" s="998" t="s">
        <v>912</v>
      </c>
      <c r="D168" s="1070"/>
      <c r="I168" s="974">
        <v>389.9126894898755</v>
      </c>
      <c r="J168" s="986" t="s">
        <v>617</v>
      </c>
      <c r="K168" s="1058">
        <v>389.9126894898755</v>
      </c>
      <c r="L168" s="986"/>
      <c r="M168" s="966"/>
      <c r="N168" s="990"/>
      <c r="O168" s="966"/>
      <c r="P168" s="966"/>
      <c r="Q168" s="966"/>
      <c r="R168" s="966"/>
      <c r="S168" s="966"/>
      <c r="T168" s="966"/>
      <c r="U168" s="966"/>
      <c r="V168" s="966"/>
    </row>
    <row r="169" spans="1:22" s="964" customFormat="1" ht="12" x14ac:dyDescent="0.2">
      <c r="A169" s="956"/>
      <c r="B169" s="1059" t="s">
        <v>705</v>
      </c>
      <c r="C169" s="965"/>
      <c r="H169" s="967"/>
      <c r="I169" s="1050">
        <v>5.5190850000000005</v>
      </c>
      <c r="J169" s="978" t="s">
        <v>617</v>
      </c>
      <c r="K169" s="978">
        <v>389912.68948987551</v>
      </c>
      <c r="L169" s="978"/>
      <c r="M169" s="956"/>
      <c r="N169" s="990"/>
      <c r="O169" s="966"/>
      <c r="P169" s="966"/>
      <c r="Q169" s="966"/>
      <c r="R169" s="966"/>
      <c r="S169" s="966"/>
      <c r="T169" s="966"/>
      <c r="U169" s="966"/>
      <c r="V169" s="966"/>
    </row>
    <row r="170" spans="1:22" s="964" customFormat="1" ht="12" customHeight="1" x14ac:dyDescent="0.2">
      <c r="A170" s="956"/>
      <c r="B170" s="978" t="s">
        <v>706</v>
      </c>
      <c r="I170" s="1048">
        <v>47.1882173573104</v>
      </c>
      <c r="J170" s="978" t="s">
        <v>617</v>
      </c>
      <c r="K170" s="978"/>
      <c r="L170" s="978"/>
      <c r="M170" s="956"/>
      <c r="N170" s="990"/>
      <c r="O170" s="966"/>
      <c r="P170" s="966"/>
      <c r="Q170" s="966"/>
      <c r="R170" s="966"/>
      <c r="S170" s="966"/>
      <c r="T170" s="966"/>
      <c r="U170" s="966"/>
      <c r="V170" s="966"/>
    </row>
    <row r="171" spans="1:22" s="964" customFormat="1" ht="15" customHeight="1" x14ac:dyDescent="0.25">
      <c r="A171" s="956"/>
      <c r="B171" s="978" t="s">
        <v>707</v>
      </c>
      <c r="I171" s="1048">
        <v>23.55301705177278</v>
      </c>
      <c r="J171" s="978" t="s">
        <v>617</v>
      </c>
      <c r="K171" s="978"/>
      <c r="L171" s="978"/>
      <c r="M171" s="956"/>
      <c r="N171" s="990"/>
      <c r="O171" s="148"/>
      <c r="P171" s="720" t="s">
        <v>885</v>
      </c>
      <c r="Q171" s="720" t="s">
        <v>886</v>
      </c>
      <c r="R171" s="681" t="s">
        <v>887</v>
      </c>
      <c r="U171" s="1050"/>
      <c r="V171" s="966"/>
    </row>
    <row r="172" spans="1:22" s="964" customFormat="1" ht="15" x14ac:dyDescent="0.25">
      <c r="A172" s="956"/>
      <c r="B172" s="978" t="s">
        <v>708</v>
      </c>
      <c r="I172" s="1048">
        <v>284.3118994005734</v>
      </c>
      <c r="J172" s="978" t="s">
        <v>617</v>
      </c>
      <c r="K172" s="978"/>
      <c r="L172" s="978"/>
      <c r="M172" s="956"/>
      <c r="N172" s="990"/>
      <c r="O172" s="57" t="s">
        <v>500</v>
      </c>
      <c r="P172" s="1921">
        <v>226.2</v>
      </c>
      <c r="Q172" s="1922">
        <v>1.5543982461445416E-2</v>
      </c>
      <c r="R172" s="1921">
        <v>24.653200786211062</v>
      </c>
      <c r="U172" s="1050"/>
      <c r="V172" s="966"/>
    </row>
    <row r="173" spans="1:22" s="964" customFormat="1" ht="15" x14ac:dyDescent="0.25">
      <c r="A173" s="956"/>
      <c r="B173" s="978" t="s">
        <v>709</v>
      </c>
      <c r="I173" s="1048">
        <v>0</v>
      </c>
      <c r="J173" s="978" t="s">
        <v>617</v>
      </c>
      <c r="K173" s="978"/>
      <c r="L173" s="978"/>
      <c r="M173" s="956"/>
      <c r="N173" s="990"/>
      <c r="O173" s="1206" t="s">
        <v>913</v>
      </c>
      <c r="P173" s="1921">
        <v>136</v>
      </c>
      <c r="Q173" s="1922">
        <v>9.3456304807983063E-3</v>
      </c>
      <c r="R173" s="1921">
        <v>14.82243725430904</v>
      </c>
      <c r="S173" s="1208"/>
      <c r="T173" s="1209"/>
      <c r="U173" s="1210"/>
      <c r="V173" s="966"/>
    </row>
    <row r="174" spans="1:22" s="964" customFormat="1" ht="15" x14ac:dyDescent="0.25">
      <c r="A174" s="956"/>
      <c r="B174" s="978" t="s">
        <v>710</v>
      </c>
      <c r="I174" s="1048">
        <v>29.340470680218925</v>
      </c>
      <c r="J174" s="978" t="s">
        <v>617</v>
      </c>
      <c r="K174" s="978"/>
      <c r="L174" s="978"/>
      <c r="M174" s="956"/>
      <c r="N174" s="990"/>
      <c r="O174" s="1206" t="s">
        <v>914</v>
      </c>
      <c r="P174" s="1921">
        <v>299.2</v>
      </c>
      <c r="Q174" s="1922">
        <v>2.0560387057756275E-2</v>
      </c>
      <c r="R174" s="1921">
        <v>32.609361959479891</v>
      </c>
      <c r="S174" s="1208"/>
      <c r="T174" s="1209"/>
      <c r="U174" s="1210"/>
      <c r="V174" s="966"/>
    </row>
    <row r="175" spans="1:22" s="964" customFormat="1" ht="15" x14ac:dyDescent="0.25">
      <c r="A175" s="956"/>
      <c r="M175" s="966"/>
      <c r="N175" s="990"/>
      <c r="O175" s="1206"/>
      <c r="P175" s="1923"/>
      <c r="Q175" s="1923"/>
      <c r="R175" s="1923"/>
      <c r="S175" s="966"/>
      <c r="T175" s="966"/>
      <c r="U175" s="966"/>
      <c r="V175" s="966"/>
    </row>
    <row r="176" spans="1:22" s="964" customFormat="1" ht="15.75" x14ac:dyDescent="0.25">
      <c r="A176" s="956"/>
      <c r="B176" s="998" t="s">
        <v>915</v>
      </c>
      <c r="I176" s="974">
        <v>732.76179912437919</v>
      </c>
      <c r="J176" s="986" t="s">
        <v>661</v>
      </c>
      <c r="K176" s="974">
        <v>702.57544079104593</v>
      </c>
      <c r="L176" s="986"/>
      <c r="M176" s="1211"/>
      <c r="N176" s="1063"/>
      <c r="O176" s="186" t="s">
        <v>916</v>
      </c>
      <c r="P176" s="1923">
        <v>661.4</v>
      </c>
      <c r="Q176" s="1924">
        <v>4.5449999999999997E-2</v>
      </c>
      <c r="R176" s="1924">
        <v>72.084999999999994</v>
      </c>
      <c r="S176" s="966"/>
      <c r="T176" s="966"/>
      <c r="U176" s="966"/>
      <c r="V176" s="966"/>
    </row>
    <row r="177" spans="1:29" s="964" customFormat="1" x14ac:dyDescent="0.2">
      <c r="A177" s="956"/>
      <c r="B177" s="998" t="s">
        <v>917</v>
      </c>
      <c r="D177" s="148" t="s">
        <v>681</v>
      </c>
      <c r="H177" s="958"/>
      <c r="I177" s="1140">
        <v>2.2557999999999989</v>
      </c>
      <c r="J177" s="986" t="s">
        <v>661</v>
      </c>
      <c r="K177" s="986"/>
      <c r="L177" s="986"/>
      <c r="M177" s="966"/>
      <c r="N177" s="990"/>
      <c r="O177" s="966"/>
      <c r="P177" s="966"/>
      <c r="Q177" s="966"/>
      <c r="R177" s="966"/>
      <c r="S177" s="966"/>
      <c r="T177" s="966"/>
      <c r="U177" s="966"/>
      <c r="V177" s="966"/>
    </row>
    <row r="178" spans="1:29" s="964" customFormat="1" ht="13.15" customHeight="1" x14ac:dyDescent="0.25">
      <c r="A178" s="956"/>
      <c r="E178" s="1212"/>
      <c r="F178" s="1212"/>
      <c r="G178" s="955"/>
      <c r="H178" s="955"/>
      <c r="M178" s="966"/>
      <c r="N178" s="1063">
        <v>702.57544079104593</v>
      </c>
      <c r="O178" s="966"/>
      <c r="P178" s="976"/>
      <c r="Q178" s="976"/>
      <c r="R178" s="966"/>
      <c r="S178" s="966"/>
      <c r="T178" s="966"/>
      <c r="U178" s="966"/>
      <c r="V178" s="1213"/>
      <c r="W178" s="1214"/>
      <c r="X178" s="1214"/>
      <c r="Y178" s="1214"/>
      <c r="Z178" s="1214"/>
      <c r="AA178" s="1214"/>
      <c r="AB178" s="1215"/>
      <c r="AC178" s="1216"/>
    </row>
    <row r="179" spans="1:29" s="986" customFormat="1" ht="13.15" customHeight="1" x14ac:dyDescent="0.25">
      <c r="B179" s="998" t="s">
        <v>918</v>
      </c>
      <c r="H179" s="998"/>
      <c r="I179" s="1217">
        <v>328.69579412437918</v>
      </c>
      <c r="J179" s="986" t="s">
        <v>661</v>
      </c>
      <c r="K179" s="1217">
        <v>328.69579412437918</v>
      </c>
      <c r="N179" s="1058">
        <v>702.57544079104593</v>
      </c>
      <c r="O179" s="1075"/>
      <c r="P179" s="1075"/>
      <c r="Q179" s="1075"/>
      <c r="R179" s="1075"/>
      <c r="S179" s="1075"/>
      <c r="T179" s="1075"/>
      <c r="U179" s="1075"/>
      <c r="V179" s="1213"/>
      <c r="W179" s="1214"/>
      <c r="X179" s="1214"/>
      <c r="Y179" s="1214"/>
      <c r="Z179" s="1214"/>
      <c r="AA179" s="1214"/>
      <c r="AB179" s="1215"/>
      <c r="AC179" s="1216"/>
    </row>
    <row r="180" spans="1:29" s="964" customFormat="1" ht="13.15" customHeight="1" x14ac:dyDescent="0.25">
      <c r="A180" s="956"/>
      <c r="B180" s="964" t="s">
        <v>919</v>
      </c>
      <c r="E180" s="967"/>
      <c r="F180" s="967"/>
      <c r="I180" s="1218">
        <v>256.74607745771249</v>
      </c>
      <c r="J180" s="964" t="s">
        <v>617</v>
      </c>
      <c r="K180" s="1218">
        <v>256.74607745771249</v>
      </c>
      <c r="M180" s="966"/>
      <c r="N180" s="1063">
        <v>535.18931079104595</v>
      </c>
      <c r="O180" s="964" t="s">
        <v>920</v>
      </c>
      <c r="P180" s="1093"/>
      <c r="Q180" s="1093"/>
      <c r="R180" s="966"/>
      <c r="S180" s="966"/>
      <c r="T180" s="966"/>
      <c r="U180" s="966"/>
      <c r="V180" s="1213"/>
      <c r="W180" s="1214"/>
      <c r="X180" s="1214"/>
      <c r="Y180" s="1214"/>
      <c r="Z180" s="1214"/>
      <c r="AA180" s="1214"/>
      <c r="AB180" s="1215"/>
      <c r="AC180" s="1216"/>
    </row>
    <row r="181" spans="1:29" s="1155" customFormat="1" ht="12" x14ac:dyDescent="0.2">
      <c r="B181" s="978" t="s">
        <v>921</v>
      </c>
      <c r="C181" s="978"/>
      <c r="D181" s="978"/>
      <c r="E181" s="978"/>
      <c r="F181" s="978"/>
      <c r="G181" s="978"/>
      <c r="I181" s="1219">
        <v>248.35843582500002</v>
      </c>
      <c r="J181" s="964" t="s">
        <v>617</v>
      </c>
      <c r="K181" s="964"/>
      <c r="L181" s="964"/>
      <c r="M181" s="956"/>
      <c r="N181" s="1220"/>
      <c r="O181" s="1221"/>
      <c r="P181" s="1221"/>
      <c r="Q181" s="1221"/>
      <c r="R181" s="1221"/>
      <c r="S181" s="1221"/>
      <c r="T181" s="1221"/>
      <c r="U181" s="1221"/>
      <c r="V181" s="1221"/>
    </row>
    <row r="182" spans="1:29" s="1155" customFormat="1" ht="12" x14ac:dyDescent="0.2">
      <c r="B182" s="978" t="s">
        <v>922</v>
      </c>
      <c r="C182" s="978"/>
      <c r="D182" s="978"/>
      <c r="E182" s="978"/>
      <c r="F182" s="978"/>
      <c r="G182" s="978"/>
      <c r="I182" s="1219">
        <v>8.3876416327124996</v>
      </c>
      <c r="J182" s="964" t="s">
        <v>617</v>
      </c>
      <c r="K182" s="964"/>
      <c r="L182" s="964"/>
      <c r="M182" s="1221"/>
      <c r="N182" s="1220"/>
      <c r="O182" s="1221"/>
      <c r="P182" s="1221"/>
      <c r="Q182" s="1221"/>
      <c r="R182" s="1221"/>
      <c r="S182" s="1221"/>
      <c r="T182" s="1221"/>
      <c r="U182" s="1221"/>
      <c r="V182" s="1221"/>
    </row>
    <row r="183" spans="1:29" s="1155" customFormat="1" ht="12" x14ac:dyDescent="0.2">
      <c r="B183" s="978"/>
      <c r="C183" s="978"/>
      <c r="D183" s="978"/>
      <c r="E183" s="978"/>
      <c r="F183" s="978"/>
      <c r="G183" s="978"/>
      <c r="I183" s="1222"/>
      <c r="J183" s="964"/>
      <c r="K183" s="964"/>
      <c r="L183" s="964"/>
      <c r="M183" s="1221"/>
      <c r="N183" s="1220"/>
      <c r="O183" s="1221"/>
      <c r="P183" s="1221"/>
      <c r="Q183" s="1221"/>
      <c r="R183" s="1221"/>
      <c r="S183" s="1221"/>
      <c r="T183" s="1221"/>
      <c r="U183" s="1221"/>
      <c r="V183" s="1221"/>
    </row>
    <row r="184" spans="1:29" s="986" customFormat="1" ht="19.899999999999999" customHeight="1" x14ac:dyDescent="0.2">
      <c r="B184" s="1223" t="s">
        <v>923</v>
      </c>
      <c r="C184" s="1223"/>
      <c r="D184" s="1223"/>
      <c r="E184" s="1223"/>
      <c r="F184" s="1223"/>
      <c r="G184" s="1223"/>
      <c r="I184" s="1058">
        <v>42.86975000000001</v>
      </c>
      <c r="J184" s="986" t="s">
        <v>15</v>
      </c>
      <c r="K184" s="1058">
        <v>42.86975000000001</v>
      </c>
      <c r="M184" s="1224"/>
      <c r="N184" s="1225">
        <v>125.58618000000001</v>
      </c>
      <c r="O184" s="964" t="s">
        <v>920</v>
      </c>
      <c r="P184" s="1226">
        <v>0</v>
      </c>
      <c r="Q184" s="1226"/>
      <c r="R184" s="1075"/>
      <c r="S184" s="1075"/>
      <c r="T184" s="1227"/>
      <c r="U184" s="1224"/>
      <c r="V184" s="1224"/>
      <c r="W184" s="1228"/>
    </row>
    <row r="185" spans="1:29" s="986" customFormat="1" ht="14.45" customHeight="1" x14ac:dyDescent="0.2">
      <c r="B185" s="986" t="s">
        <v>924</v>
      </c>
      <c r="M185" s="1075"/>
      <c r="N185" s="990"/>
      <c r="O185" s="1075"/>
      <c r="P185" s="1075"/>
      <c r="Q185" s="1075"/>
      <c r="R185" s="1075"/>
      <c r="S185" s="1075"/>
      <c r="T185" s="1075"/>
      <c r="U185" s="1229"/>
      <c r="V185" s="1229"/>
      <c r="W185" s="1230"/>
    </row>
    <row r="186" spans="1:29" s="978" customFormat="1" ht="12" x14ac:dyDescent="0.2">
      <c r="B186" s="978" t="s">
        <v>925</v>
      </c>
      <c r="G186" s="681" t="s">
        <v>926</v>
      </c>
      <c r="H186" s="1072"/>
      <c r="I186" s="961">
        <v>42.86975000000001</v>
      </c>
      <c r="J186" s="986" t="s">
        <v>15</v>
      </c>
      <c r="K186" s="986"/>
      <c r="L186" s="986"/>
      <c r="M186" s="956"/>
      <c r="N186" s="1231"/>
      <c r="O186" s="1232"/>
      <c r="P186" s="1232"/>
      <c r="Q186" s="1232"/>
      <c r="R186" s="1232"/>
      <c r="S186" s="1232"/>
      <c r="T186" s="1232"/>
      <c r="U186" s="1233"/>
      <c r="V186" s="1233"/>
      <c r="W186" s="1222"/>
    </row>
    <row r="187" spans="1:29" s="1234" customFormat="1" ht="12" x14ac:dyDescent="0.2">
      <c r="B187" s="1235" t="s">
        <v>927</v>
      </c>
      <c r="C187" s="1235"/>
      <c r="D187" s="1235" t="s">
        <v>928</v>
      </c>
      <c r="E187" s="1235">
        <v>1.0249999999999999</v>
      </c>
      <c r="F187" s="1235"/>
      <c r="G187" s="1235" t="s">
        <v>671</v>
      </c>
      <c r="H187" s="1235"/>
      <c r="I187" s="1235">
        <v>0</v>
      </c>
      <c r="J187" s="826" t="s">
        <v>15</v>
      </c>
      <c r="K187" s="826"/>
      <c r="L187" s="826"/>
      <c r="N187" s="1236"/>
      <c r="U187" s="1237"/>
      <c r="V187" s="1237"/>
      <c r="W187" s="1237"/>
    </row>
    <row r="188" spans="1:29" s="1238" customFormat="1" ht="15" customHeight="1" x14ac:dyDescent="0.2">
      <c r="B188" s="1235" t="s">
        <v>929</v>
      </c>
      <c r="C188" s="1235"/>
      <c r="D188" s="1235" t="s">
        <v>928</v>
      </c>
      <c r="E188" s="1235">
        <v>2.1505200000000002</v>
      </c>
      <c r="F188" s="1235"/>
      <c r="G188" s="1238" t="s">
        <v>671</v>
      </c>
      <c r="I188" s="1239">
        <v>0</v>
      </c>
      <c r="J188" s="826" t="s">
        <v>15</v>
      </c>
      <c r="N188" s="1084"/>
      <c r="U188" s="1240"/>
      <c r="V188" s="1240"/>
      <c r="W188" s="1240"/>
    </row>
    <row r="189" spans="1:29" s="986" customFormat="1" ht="23.45" customHeight="1" x14ac:dyDescent="0.2">
      <c r="B189" s="2077" t="s">
        <v>930</v>
      </c>
      <c r="C189" s="2077"/>
      <c r="D189" s="2077"/>
      <c r="E189" s="1241"/>
      <c r="F189" s="1241"/>
      <c r="G189" s="1242">
        <v>0.90277777777777779</v>
      </c>
      <c r="H189" s="1072">
        <v>3.64</v>
      </c>
      <c r="I189" s="1250">
        <v>25.306666666666668</v>
      </c>
      <c r="J189" s="1072" t="s">
        <v>719</v>
      </c>
      <c r="K189" s="1058">
        <v>25.306666666666668</v>
      </c>
      <c r="M189" s="956"/>
      <c r="N189" s="1243">
        <v>36.774950000000004</v>
      </c>
      <c r="O189" s="1075"/>
      <c r="P189" s="1244">
        <v>3.1374500000000003</v>
      </c>
      <c r="Q189" s="1244"/>
      <c r="R189" s="1075"/>
      <c r="S189" s="1075"/>
      <c r="T189" s="1075"/>
      <c r="U189" s="1229"/>
      <c r="V189" s="1229"/>
      <c r="W189" s="1230"/>
    </row>
    <row r="190" spans="1:29" s="986" customFormat="1" ht="23.45" customHeight="1" x14ac:dyDescent="0.2">
      <c r="B190" s="2077" t="s">
        <v>931</v>
      </c>
      <c r="C190" s="2077"/>
      <c r="D190" s="2077"/>
      <c r="E190" s="1902"/>
      <c r="F190" s="1902"/>
      <c r="G190" s="1245"/>
      <c r="H190" s="1072">
        <v>3.64</v>
      </c>
      <c r="I190" s="1250">
        <v>0.42330000000000001</v>
      </c>
      <c r="J190" s="986" t="s">
        <v>719</v>
      </c>
      <c r="K190" s="1246">
        <v>0.42330000000000001</v>
      </c>
      <c r="M190" s="956"/>
      <c r="N190" s="1243"/>
      <c r="O190" s="1075"/>
      <c r="P190" s="1244">
        <v>3.1374500000000003</v>
      </c>
      <c r="Q190" s="1244"/>
      <c r="R190" s="1075"/>
      <c r="S190" s="1075"/>
      <c r="T190" s="1075"/>
      <c r="U190" s="1229"/>
      <c r="V190" s="1229"/>
      <c r="W190" s="1230"/>
    </row>
    <row r="191" spans="1:29" s="978" customFormat="1" ht="15" customHeight="1" x14ac:dyDescent="0.2">
      <c r="B191" s="1247" t="s">
        <v>932</v>
      </c>
      <c r="C191" s="1248">
        <v>2</v>
      </c>
      <c r="D191" s="1248" t="s">
        <v>637</v>
      </c>
      <c r="E191" s="1248">
        <v>249</v>
      </c>
      <c r="F191" s="1248"/>
      <c r="G191" s="1249" t="s">
        <v>637</v>
      </c>
      <c r="H191" s="1248">
        <v>0.85</v>
      </c>
      <c r="I191" s="1250">
        <v>423.3</v>
      </c>
      <c r="M191" s="956"/>
      <c r="N191" s="1251"/>
      <c r="O191" s="1232"/>
      <c r="P191" s="1252"/>
      <c r="Q191" s="1252"/>
      <c r="R191" s="1232"/>
      <c r="S191" s="1232"/>
      <c r="T191" s="1232"/>
      <c r="U191" s="1233"/>
      <c r="V191" s="1233"/>
      <c r="W191" s="1222"/>
    </row>
    <row r="192" spans="1:29" s="986" customFormat="1" ht="10.15" customHeight="1" x14ac:dyDescent="0.2">
      <c r="B192" s="1902"/>
      <c r="C192" s="1902"/>
      <c r="D192" s="1902"/>
      <c r="E192" s="1902"/>
      <c r="F192" s="1902"/>
      <c r="G192" s="1902"/>
      <c r="I192" s="1253"/>
      <c r="M192" s="956"/>
      <c r="N192" s="1243"/>
      <c r="O192" s="1075"/>
      <c r="P192" s="1244"/>
      <c r="Q192" s="1244"/>
      <c r="R192" s="1075"/>
      <c r="S192" s="1075"/>
      <c r="T192" s="1075"/>
      <c r="U192" s="1229"/>
      <c r="V192" s="1229"/>
      <c r="W192" s="1230"/>
    </row>
    <row r="193" spans="2:23" s="681" customFormat="1" ht="15" customHeight="1" x14ac:dyDescent="0.2">
      <c r="B193" s="2076" t="s">
        <v>933</v>
      </c>
      <c r="C193" s="2076"/>
      <c r="D193" s="2076"/>
      <c r="E193" s="1903"/>
      <c r="F193" s="1903">
        <v>1675</v>
      </c>
      <c r="I193" s="1925">
        <v>3.35</v>
      </c>
      <c r="J193" s="681" t="s">
        <v>719</v>
      </c>
      <c r="K193" s="682">
        <v>3.35</v>
      </c>
      <c r="M193" s="1044"/>
      <c r="N193" s="1254">
        <v>5.0250000000000004</v>
      </c>
      <c r="O193" s="1926" t="s">
        <v>934</v>
      </c>
      <c r="P193" s="1255"/>
      <c r="Q193" s="678"/>
      <c r="R193" s="678"/>
      <c r="S193" s="678"/>
      <c r="T193" s="905"/>
      <c r="U193" s="905"/>
      <c r="V193" s="679"/>
    </row>
    <row r="194" spans="2:23" s="964" customFormat="1" ht="12" customHeight="1" x14ac:dyDescent="0.2">
      <c r="H194" s="1256"/>
      <c r="I194" s="1257"/>
      <c r="M194" s="966"/>
      <c r="N194" s="1258" t="s">
        <v>935</v>
      </c>
      <c r="O194" s="966"/>
      <c r="P194" s="1258" t="s">
        <v>936</v>
      </c>
      <c r="Q194" s="966"/>
      <c r="R194" s="966"/>
      <c r="S194" s="966"/>
      <c r="T194" s="966"/>
      <c r="U194" s="966"/>
      <c r="V194" s="966"/>
    </row>
    <row r="195" spans="2:23" s="986" customFormat="1" ht="12" x14ac:dyDescent="0.2">
      <c r="B195" s="1033" t="s">
        <v>937</v>
      </c>
      <c r="I195" s="974">
        <v>401.81020500000005</v>
      </c>
      <c r="J195" s="1259" t="s">
        <v>938</v>
      </c>
      <c r="K195" s="974">
        <v>373.87964666666676</v>
      </c>
      <c r="L195" s="1260">
        <v>27.930558333333295</v>
      </c>
      <c r="N195" s="1063">
        <v>373.87964666666676</v>
      </c>
      <c r="O195" s="1261">
        <v>659.77991500000007</v>
      </c>
      <c r="P195" s="1058">
        <v>27.930558333333295</v>
      </c>
      <c r="Q195" s="1058"/>
      <c r="R195" s="1075"/>
      <c r="S195" s="1075"/>
      <c r="T195" s="1075"/>
      <c r="U195" s="1075"/>
      <c r="V195" s="1075"/>
      <c r="W195" s="1230"/>
    </row>
    <row r="196" spans="2:23" s="986" customFormat="1" ht="15.75" x14ac:dyDescent="0.25">
      <c r="B196" s="1262" t="s">
        <v>939</v>
      </c>
      <c r="I196" s="1263">
        <v>373.87964666666676</v>
      </c>
      <c r="J196" s="1259"/>
      <c r="K196" s="1259"/>
      <c r="L196" s="1259"/>
      <c r="M196" s="1264"/>
      <c r="N196" s="1300"/>
      <c r="O196" s="1265" t="s">
        <v>940</v>
      </c>
      <c r="P196" s="1058">
        <v>0</v>
      </c>
      <c r="Q196" s="1075"/>
      <c r="R196" s="1075"/>
      <c r="S196" s="1075"/>
      <c r="T196" s="1075"/>
      <c r="U196" s="1075"/>
      <c r="V196" s="1075"/>
      <c r="W196" s="1230"/>
    </row>
    <row r="197" spans="2:23" s="964" customFormat="1" ht="12" x14ac:dyDescent="0.2">
      <c r="B197" s="964" t="s">
        <v>919</v>
      </c>
      <c r="E197" s="967"/>
      <c r="F197" s="967"/>
      <c r="G197" s="1266">
        <v>0.90883502736512911</v>
      </c>
      <c r="H197" s="1267">
        <v>0.49434558248631738</v>
      </c>
      <c r="I197" s="1217">
        <v>306.3737916666667</v>
      </c>
      <c r="J197" s="964" t="s">
        <v>661</v>
      </c>
      <c r="K197" s="967">
        <v>278.44323333333341</v>
      </c>
      <c r="L197" s="1268">
        <v>27.930558333333295</v>
      </c>
      <c r="M197" s="1264">
        <v>23.688072416666667</v>
      </c>
      <c r="N197" s="1063">
        <v>278.44323333333341</v>
      </c>
      <c r="O197" s="966"/>
      <c r="P197" s="1058">
        <v>27.930558333333295</v>
      </c>
      <c r="R197" s="966"/>
      <c r="S197" s="966"/>
      <c r="T197" s="966"/>
      <c r="U197" s="966"/>
      <c r="V197" s="966"/>
    </row>
    <row r="198" spans="2:23" s="964" customFormat="1" ht="12" x14ac:dyDescent="0.2">
      <c r="B198" s="964" t="s">
        <v>941</v>
      </c>
      <c r="G198" s="1269">
        <v>278.44323333333341</v>
      </c>
      <c r="H198" s="1270">
        <v>151.4545305</v>
      </c>
      <c r="M198" s="966"/>
      <c r="N198" s="990"/>
      <c r="O198" s="966"/>
      <c r="P198" s="966"/>
      <c r="Q198" s="966"/>
      <c r="R198" s="966"/>
      <c r="S198" s="966"/>
      <c r="T198" s="966"/>
      <c r="U198" s="966"/>
      <c r="V198" s="966"/>
    </row>
    <row r="199" spans="2:23" s="964" customFormat="1" ht="12.6" customHeight="1" x14ac:dyDescent="0.2">
      <c r="G199" s="1065"/>
      <c r="I199" s="1270">
        <v>82.716430000000003</v>
      </c>
      <c r="M199" s="966"/>
      <c r="N199" s="990"/>
      <c r="O199" s="966"/>
      <c r="P199" s="991"/>
      <c r="Q199" s="966"/>
      <c r="R199" s="966"/>
      <c r="S199" s="966"/>
      <c r="T199" s="966"/>
      <c r="U199" s="966"/>
      <c r="V199" s="966"/>
    </row>
    <row r="200" spans="2:23" s="986" customFormat="1" ht="33" customHeight="1" x14ac:dyDescent="0.2">
      <c r="B200" s="2077" t="s">
        <v>923</v>
      </c>
      <c r="C200" s="2078"/>
      <c r="D200" s="2078"/>
      <c r="E200" s="1902"/>
      <c r="F200" s="1902"/>
      <c r="G200" s="1902"/>
      <c r="I200" s="974">
        <v>82.716430000000003</v>
      </c>
      <c r="J200" s="986" t="s">
        <v>719</v>
      </c>
      <c r="K200" s="1058">
        <v>82.716430000000003</v>
      </c>
      <c r="L200" s="1268">
        <v>0</v>
      </c>
      <c r="M200" s="1264"/>
      <c r="N200" s="1063">
        <v>82.716430000000003</v>
      </c>
      <c r="O200" s="1075"/>
      <c r="Q200" s="1075"/>
      <c r="R200" s="1075"/>
      <c r="S200" s="1075"/>
      <c r="T200" s="1075"/>
      <c r="U200" s="1075"/>
      <c r="V200" s="1075"/>
    </row>
    <row r="201" spans="2:23" s="986" customFormat="1" ht="12" x14ac:dyDescent="0.2">
      <c r="B201" s="986" t="s">
        <v>942</v>
      </c>
      <c r="C201" s="998"/>
      <c r="D201" s="998"/>
      <c r="E201" s="998"/>
      <c r="F201" s="998"/>
      <c r="I201" s="1058">
        <v>7.8049999999999997</v>
      </c>
      <c r="J201" s="986" t="s">
        <v>719</v>
      </c>
      <c r="M201" s="956"/>
      <c r="O201" s="1075"/>
      <c r="P201" s="1075"/>
      <c r="Q201" s="1075"/>
      <c r="R201" s="1075"/>
      <c r="S201" s="1075"/>
      <c r="T201" s="1075"/>
      <c r="U201" s="1075"/>
      <c r="V201" s="1075"/>
    </row>
    <row r="202" spans="2:23" s="978" customFormat="1" ht="12" hidden="1" x14ac:dyDescent="0.2">
      <c r="B202" s="1271"/>
      <c r="I202" s="961"/>
      <c r="J202" s="986"/>
      <c r="K202" s="986"/>
      <c r="L202" s="986"/>
      <c r="N202" s="1231"/>
      <c r="O202" s="960"/>
    </row>
    <row r="203" spans="2:23" s="978" customFormat="1" ht="12" x14ac:dyDescent="0.2">
      <c r="B203" s="978" t="s">
        <v>943</v>
      </c>
      <c r="I203" s="1272">
        <v>7.8049999999999997</v>
      </c>
      <c r="J203" s="986" t="s">
        <v>719</v>
      </c>
      <c r="K203" s="986"/>
      <c r="L203" s="986"/>
      <c r="N203" s="990"/>
      <c r="O203" s="986"/>
      <c r="P203" s="986"/>
      <c r="Q203" s="986"/>
      <c r="R203" s="986"/>
      <c r="S203" s="986"/>
      <c r="T203" s="986"/>
      <c r="U203" s="986"/>
      <c r="V203" s="986"/>
    </row>
    <row r="204" spans="2:23" s="986" customFormat="1" x14ac:dyDescent="0.2">
      <c r="B204" s="986" t="s">
        <v>944</v>
      </c>
      <c r="D204" s="148" t="s">
        <v>828</v>
      </c>
      <c r="E204" s="1230"/>
      <c r="F204" s="1230"/>
      <c r="I204" s="682">
        <v>74.911429999999996</v>
      </c>
      <c r="J204" s="986" t="s">
        <v>719</v>
      </c>
      <c r="L204" s="1268"/>
      <c r="M204" s="1075"/>
      <c r="N204" s="990"/>
      <c r="O204" s="1075"/>
      <c r="P204" s="1075"/>
      <c r="Q204" s="1075"/>
      <c r="R204" s="1075"/>
      <c r="S204" s="1075"/>
      <c r="T204" s="1075"/>
      <c r="U204" s="1075"/>
      <c r="V204" s="1075"/>
    </row>
    <row r="205" spans="2:23" s="978" customFormat="1" ht="12" hidden="1" x14ac:dyDescent="0.2">
      <c r="B205" s="1072" t="s">
        <v>927</v>
      </c>
      <c r="C205" s="1072"/>
      <c r="D205" s="1072" t="s">
        <v>928</v>
      </c>
      <c r="E205" s="1072">
        <v>11</v>
      </c>
      <c r="F205" s="1072"/>
      <c r="G205" s="1072" t="s">
        <v>945</v>
      </c>
      <c r="H205" s="1072"/>
      <c r="I205" s="1072">
        <v>0</v>
      </c>
      <c r="J205" s="681" t="s">
        <v>15</v>
      </c>
      <c r="K205" s="681"/>
      <c r="L205" s="681"/>
      <c r="M205" s="1232"/>
      <c r="N205" s="1231"/>
      <c r="O205" s="1232"/>
      <c r="P205" s="1232"/>
      <c r="R205" s="1232"/>
      <c r="S205" s="1232"/>
      <c r="T205" s="1232"/>
      <c r="U205" s="1233"/>
      <c r="V205" s="1233"/>
      <c r="W205" s="1222"/>
    </row>
    <row r="206" spans="2:23" s="986" customFormat="1" ht="12" x14ac:dyDescent="0.2">
      <c r="E206" s="1230"/>
      <c r="F206" s="1230"/>
      <c r="I206" s="974"/>
      <c r="M206" s="1075"/>
      <c r="N206" s="990"/>
      <c r="O206" s="1075"/>
      <c r="P206" s="1075"/>
      <c r="Q206" s="1075"/>
      <c r="R206" s="1075"/>
      <c r="S206" s="1075"/>
      <c r="T206" s="1075"/>
      <c r="U206" s="1075"/>
      <c r="V206" s="1075"/>
    </row>
    <row r="207" spans="2:23" s="986" customFormat="1" ht="12" customHeight="1" x14ac:dyDescent="0.2">
      <c r="B207" s="1223" t="s">
        <v>946</v>
      </c>
      <c r="C207" s="1223"/>
      <c r="D207" s="1223"/>
      <c r="E207" s="1223"/>
      <c r="F207" s="1223"/>
      <c r="G207" s="1223"/>
      <c r="I207" s="1925">
        <v>10.833333333333334</v>
      </c>
      <c r="J207" s="986" t="s">
        <v>719</v>
      </c>
      <c r="K207" s="1058">
        <v>10.833333333333334</v>
      </c>
      <c r="L207" s="1268">
        <v>0</v>
      </c>
      <c r="M207" s="956"/>
      <c r="N207" s="1063">
        <v>10.833333333333334</v>
      </c>
      <c r="O207" s="1075"/>
      <c r="P207" s="1075"/>
      <c r="R207" s="1075"/>
      <c r="S207" s="1075"/>
      <c r="T207" s="1075"/>
      <c r="U207" s="1075"/>
      <c r="V207" s="1075"/>
    </row>
    <row r="208" spans="2:23" s="986" customFormat="1" ht="23.45" customHeight="1" x14ac:dyDescent="0.2">
      <c r="B208" s="2077" t="s">
        <v>931</v>
      </c>
      <c r="C208" s="2077"/>
      <c r="D208" s="2077"/>
      <c r="E208" s="1902"/>
      <c r="F208" s="1902"/>
      <c r="G208" s="1274">
        <v>10201.799999999999</v>
      </c>
      <c r="H208" s="681"/>
      <c r="I208" s="1925">
        <v>0.21165</v>
      </c>
      <c r="J208" s="986" t="s">
        <v>719</v>
      </c>
      <c r="K208" s="1058">
        <v>0.21165</v>
      </c>
      <c r="L208" s="1268">
        <v>0</v>
      </c>
      <c r="M208" s="956"/>
      <c r="N208" s="1243">
        <v>0.21165</v>
      </c>
      <c r="O208" s="1075"/>
      <c r="P208" s="1244">
        <v>3.1374500000000003</v>
      </c>
      <c r="Q208" s="1244"/>
      <c r="R208" s="1075"/>
      <c r="S208" s="1075"/>
      <c r="T208" s="1075"/>
      <c r="U208" s="1229"/>
      <c r="V208" s="1229"/>
      <c r="W208" s="1230"/>
    </row>
    <row r="209" spans="1:29" s="978" customFormat="1" ht="15" customHeight="1" x14ac:dyDescent="0.2">
      <c r="B209" s="1247" t="s">
        <v>932</v>
      </c>
      <c r="C209" s="1248">
        <v>1</v>
      </c>
      <c r="D209" s="1248" t="s">
        <v>637</v>
      </c>
      <c r="E209" s="1248">
        <v>249</v>
      </c>
      <c r="F209" s="1248"/>
      <c r="G209" s="1249" t="s">
        <v>637</v>
      </c>
      <c r="H209" s="1207">
        <v>0.85</v>
      </c>
      <c r="I209" s="1250">
        <v>211.65</v>
      </c>
      <c r="M209" s="956"/>
      <c r="N209" s="1251"/>
      <c r="O209" s="1232"/>
      <c r="P209" s="1252"/>
      <c r="Q209" s="1252"/>
      <c r="R209" s="1232"/>
      <c r="S209" s="1232"/>
      <c r="T209" s="1232"/>
      <c r="U209" s="1233"/>
      <c r="V209" s="1233"/>
      <c r="W209" s="1222"/>
    </row>
    <row r="210" spans="1:29" s="148" customFormat="1" x14ac:dyDescent="0.2">
      <c r="A210" s="681"/>
      <c r="B210" s="2076" t="s">
        <v>933</v>
      </c>
      <c r="C210" s="2076"/>
      <c r="D210" s="2076"/>
      <c r="E210" s="1903"/>
      <c r="F210" s="681"/>
      <c r="I210" s="1925">
        <v>1.675</v>
      </c>
      <c r="J210" s="681" t="s">
        <v>719</v>
      </c>
      <c r="K210" s="790">
        <v>1.675</v>
      </c>
      <c r="L210" s="1268">
        <v>0</v>
      </c>
      <c r="M210" s="1044"/>
      <c r="N210" s="1275">
        <v>1.675</v>
      </c>
      <c r="O210" s="678"/>
      <c r="P210" s="1276">
        <v>1.675</v>
      </c>
      <c r="Q210" s="1926" t="s">
        <v>934</v>
      </c>
      <c r="R210" s="1255"/>
      <c r="S210" s="681"/>
    </row>
    <row r="211" spans="1:29" s="986" customFormat="1" ht="12" customHeight="1" x14ac:dyDescent="0.2">
      <c r="B211" s="1277"/>
      <c r="C211" s="1277"/>
      <c r="D211" s="1277"/>
      <c r="E211" s="1277"/>
      <c r="F211" s="1277"/>
      <c r="G211" s="1277"/>
      <c r="I211" s="1278">
        <v>10.833333333333334</v>
      </c>
      <c r="M211" s="956"/>
      <c r="N211" s="990"/>
      <c r="O211" s="1075"/>
      <c r="P211" s="1075"/>
      <c r="Q211" s="1075"/>
      <c r="R211" s="1075"/>
      <c r="S211" s="1075"/>
      <c r="T211" s="1075"/>
      <c r="U211" s="1075"/>
      <c r="V211" s="1075"/>
    </row>
    <row r="212" spans="1:29" s="681" customFormat="1" ht="12" x14ac:dyDescent="0.2">
      <c r="B212" s="1279" t="s">
        <v>947</v>
      </c>
      <c r="I212" s="1140">
        <v>38.840600666666674</v>
      </c>
      <c r="J212" s="681" t="s">
        <v>719</v>
      </c>
      <c r="K212" s="682">
        <v>38.840600666666674</v>
      </c>
      <c r="M212" s="1044"/>
      <c r="P212" s="678"/>
      <c r="Q212" s="901">
        <v>133.337354</v>
      </c>
      <c r="R212" s="901">
        <v>582.03782966666677</v>
      </c>
      <c r="S212" s="678"/>
      <c r="T212" s="678"/>
      <c r="U212" s="678"/>
    </row>
    <row r="213" spans="1:29" s="681" customFormat="1" ht="8.25" hidden="1" customHeight="1" x14ac:dyDescent="0.2">
      <c r="B213" s="1279"/>
      <c r="I213" s="1140"/>
      <c r="M213" s="1044"/>
      <c r="N213" s="735"/>
      <c r="O213" s="678"/>
      <c r="R213" s="678"/>
      <c r="S213" s="678"/>
      <c r="T213" s="678"/>
      <c r="U213" s="678"/>
    </row>
    <row r="214" spans="1:29" s="681" customFormat="1" ht="8.25" hidden="1" customHeight="1" x14ac:dyDescent="0.2">
      <c r="B214" s="1279"/>
      <c r="I214" s="1140"/>
      <c r="M214" s="1044"/>
      <c r="N214" s="735"/>
      <c r="O214" s="678"/>
      <c r="R214" s="678"/>
      <c r="S214" s="678"/>
      <c r="T214" s="678"/>
      <c r="U214" s="678"/>
    </row>
    <row r="215" spans="1:29" s="681" customFormat="1" ht="8.25" hidden="1" customHeight="1" x14ac:dyDescent="0.2">
      <c r="B215" s="1279"/>
      <c r="I215" s="1140"/>
      <c r="M215" s="1044"/>
      <c r="N215" s="735"/>
      <c r="O215" s="678"/>
      <c r="R215" s="678"/>
      <c r="S215" s="678"/>
      <c r="T215" s="678"/>
      <c r="U215" s="678"/>
    </row>
    <row r="216" spans="1:29" s="681" customFormat="1" ht="8.25" customHeight="1" x14ac:dyDescent="0.2">
      <c r="B216" s="1279"/>
      <c r="I216" s="1140"/>
      <c r="M216" s="1044"/>
      <c r="N216" s="735"/>
      <c r="O216" s="678"/>
      <c r="R216" s="678"/>
      <c r="S216" s="678"/>
      <c r="T216" s="678"/>
      <c r="U216" s="678"/>
    </row>
    <row r="217" spans="1:29" s="681" customFormat="1" ht="12" x14ac:dyDescent="0.2">
      <c r="B217" s="999" t="s">
        <v>948</v>
      </c>
      <c r="I217" s="1140">
        <v>30.246404560000002</v>
      </c>
      <c r="J217" s="681" t="s">
        <v>719</v>
      </c>
      <c r="K217" s="1140">
        <v>30.246404560000002</v>
      </c>
      <c r="M217" s="1044"/>
      <c r="N217" s="735"/>
      <c r="O217" s="678"/>
      <c r="P217" s="678"/>
      <c r="Q217" s="678"/>
      <c r="R217" s="678"/>
      <c r="S217" s="678"/>
      <c r="T217" s="678"/>
      <c r="U217" s="678"/>
    </row>
    <row r="218" spans="1:29" s="682" customFormat="1" hidden="1" x14ac:dyDescent="0.2">
      <c r="A218" s="681"/>
      <c r="B218" s="1043" t="s">
        <v>949</v>
      </c>
      <c r="D218" s="148" t="s">
        <v>681</v>
      </c>
      <c r="H218" s="986"/>
      <c r="J218" s="681" t="s">
        <v>719</v>
      </c>
      <c r="K218" s="682">
        <v>0</v>
      </c>
      <c r="L218" s="681"/>
      <c r="M218" s="1193"/>
      <c r="N218" s="901"/>
      <c r="O218" s="1193"/>
      <c r="P218" s="1193"/>
      <c r="Q218" s="1193"/>
      <c r="R218" s="1193"/>
      <c r="S218" s="1193"/>
      <c r="T218" s="1193"/>
      <c r="U218" s="1193"/>
      <c r="X218" s="681">
        <v>9</v>
      </c>
      <c r="Y218" s="1194" t="s">
        <v>950</v>
      </c>
      <c r="Z218" s="1195" t="s">
        <v>951</v>
      </c>
      <c r="AA218" s="142">
        <v>5</v>
      </c>
      <c r="AB218" s="1195">
        <v>18.925000000000001</v>
      </c>
      <c r="AC218" s="1195">
        <v>94.625</v>
      </c>
    </row>
    <row r="219" spans="1:29" s="964" customFormat="1" ht="12" hidden="1" x14ac:dyDescent="0.2">
      <c r="B219" s="1043" t="s">
        <v>952</v>
      </c>
      <c r="D219" s="681" t="s">
        <v>910</v>
      </c>
      <c r="E219" s="1280"/>
      <c r="F219" s="1280"/>
      <c r="I219" s="682"/>
      <c r="J219" s="986" t="s">
        <v>719</v>
      </c>
      <c r="K219" s="682">
        <v>0</v>
      </c>
      <c r="L219" s="986"/>
      <c r="M219" s="960"/>
      <c r="N219" s="990"/>
      <c r="O219" s="966"/>
      <c r="P219" s="966"/>
      <c r="Q219" s="964" t="s">
        <v>953</v>
      </c>
      <c r="R219" s="966"/>
      <c r="S219" s="966"/>
      <c r="T219" s="966"/>
      <c r="U219" s="966"/>
      <c r="V219" s="966"/>
    </row>
    <row r="220" spans="1:29" s="964" customFormat="1" ht="12" x14ac:dyDescent="0.2">
      <c r="B220" s="1043" t="s">
        <v>954</v>
      </c>
      <c r="D220" s="1062">
        <v>1197.2548999999999</v>
      </c>
      <c r="E220" s="1061" t="s">
        <v>696</v>
      </c>
      <c r="F220" s="1062">
        <v>5</v>
      </c>
      <c r="G220" s="1060" t="s">
        <v>637</v>
      </c>
      <c r="H220" s="1062">
        <v>12</v>
      </c>
      <c r="I220" s="1283">
        <v>2.8734117599999998</v>
      </c>
      <c r="J220" s="986" t="s">
        <v>719</v>
      </c>
      <c r="K220" s="682">
        <v>2.8734117599999998</v>
      </c>
      <c r="L220" s="986"/>
      <c r="M220" s="960"/>
      <c r="N220" s="990"/>
      <c r="O220" s="966"/>
      <c r="P220" s="966"/>
      <c r="Q220" s="966"/>
      <c r="R220" s="966"/>
      <c r="S220" s="966"/>
      <c r="T220" s="966"/>
      <c r="U220" s="966"/>
      <c r="V220" s="966"/>
    </row>
    <row r="221" spans="1:29" s="964" customFormat="1" x14ac:dyDescent="0.2">
      <c r="B221" s="1043" t="s">
        <v>955</v>
      </c>
      <c r="D221" s="148"/>
      <c r="I221" s="682">
        <v>3.1929928000000003</v>
      </c>
      <c r="J221" s="986" t="s">
        <v>719</v>
      </c>
      <c r="K221" s="682">
        <v>3.1929928000000003</v>
      </c>
      <c r="L221" s="986"/>
      <c r="M221" s="966"/>
      <c r="N221" s="990"/>
      <c r="O221" s="966"/>
      <c r="P221" s="966"/>
      <c r="Q221" s="966"/>
      <c r="R221" s="966"/>
      <c r="S221" s="966"/>
      <c r="T221" s="966"/>
      <c r="U221" s="966"/>
      <c r="V221" s="966"/>
    </row>
    <row r="222" spans="1:29" s="681" customFormat="1" ht="12" x14ac:dyDescent="0.2">
      <c r="B222" s="1281" t="s">
        <v>956</v>
      </c>
      <c r="D222" s="1072">
        <v>20</v>
      </c>
      <c r="E222" s="1072" t="s">
        <v>957</v>
      </c>
      <c r="F222" s="1072"/>
      <c r="G222" s="1072">
        <v>402</v>
      </c>
      <c r="H222" s="1072" t="s">
        <v>835</v>
      </c>
      <c r="I222" s="1283">
        <v>20.04</v>
      </c>
      <c r="J222" s="681" t="s">
        <v>719</v>
      </c>
      <c r="K222" s="682">
        <v>20.04</v>
      </c>
      <c r="M222" s="1072"/>
      <c r="N222" s="735"/>
      <c r="O222" s="1049">
        <v>286.05</v>
      </c>
      <c r="P222" s="1209" t="s">
        <v>958</v>
      </c>
      <c r="Q222" s="1282">
        <v>12</v>
      </c>
      <c r="R222" s="1209" t="s">
        <v>959</v>
      </c>
      <c r="S222" s="1208">
        <v>30</v>
      </c>
      <c r="T222" s="1209" t="s">
        <v>671</v>
      </c>
      <c r="U222" s="678"/>
    </row>
    <row r="223" spans="1:29" s="681" customFormat="1" ht="12" x14ac:dyDescent="0.2">
      <c r="B223" s="1281"/>
      <c r="D223" s="1072">
        <v>8</v>
      </c>
      <c r="E223" s="1072" t="s">
        <v>957</v>
      </c>
      <c r="F223" s="1072"/>
      <c r="G223" s="1072">
        <v>1500</v>
      </c>
      <c r="H223" s="1072" t="s">
        <v>835</v>
      </c>
      <c r="I223" s="1283"/>
      <c r="K223" s="682">
        <v>0</v>
      </c>
      <c r="M223" s="1072"/>
      <c r="N223" s="735"/>
      <c r="O223" s="1049"/>
      <c r="P223" s="1209"/>
      <c r="Q223" s="1282"/>
      <c r="R223" s="1209"/>
      <c r="S223" s="1208"/>
      <c r="T223" s="1209"/>
      <c r="U223" s="678"/>
    </row>
    <row r="224" spans="1:29" s="681" customFormat="1" ht="12" x14ac:dyDescent="0.2">
      <c r="B224" s="1281" t="s">
        <v>960</v>
      </c>
      <c r="D224" s="681">
        <v>4</v>
      </c>
      <c r="E224" s="681" t="s">
        <v>643</v>
      </c>
      <c r="F224" s="681">
        <v>350</v>
      </c>
      <c r="G224" s="681" t="s">
        <v>835</v>
      </c>
      <c r="I224" s="1283">
        <v>1.4</v>
      </c>
      <c r="J224" s="681" t="s">
        <v>719</v>
      </c>
      <c r="K224" s="682">
        <v>1.4</v>
      </c>
      <c r="M224" s="1072"/>
      <c r="N224" s="735"/>
      <c r="O224" s="678"/>
      <c r="P224" s="678"/>
      <c r="Q224" s="678"/>
      <c r="R224" s="678"/>
      <c r="S224" s="678"/>
      <c r="T224" s="678"/>
      <c r="U224" s="678"/>
    </row>
    <row r="225" spans="1:23" s="681" customFormat="1" ht="12" x14ac:dyDescent="0.2">
      <c r="B225" s="1281" t="s">
        <v>961</v>
      </c>
      <c r="D225" s="681" t="s">
        <v>910</v>
      </c>
      <c r="I225" s="1283">
        <v>2.74</v>
      </c>
      <c r="J225" s="681" t="s">
        <v>719</v>
      </c>
      <c r="K225" s="682">
        <v>2.74</v>
      </c>
      <c r="M225" s="1072"/>
      <c r="N225" s="735"/>
      <c r="O225" s="678"/>
      <c r="P225" s="678"/>
      <c r="Q225" s="678"/>
      <c r="R225" s="678"/>
      <c r="S225" s="678"/>
      <c r="T225" s="678"/>
      <c r="U225" s="678"/>
    </row>
    <row r="226" spans="1:23" s="681" customFormat="1" ht="12" hidden="1" x14ac:dyDescent="0.2">
      <c r="B226" s="1281" t="s">
        <v>962</v>
      </c>
      <c r="D226" s="681" t="s">
        <v>701</v>
      </c>
      <c r="I226" s="1283">
        <v>0</v>
      </c>
      <c r="J226" s="681" t="s">
        <v>719</v>
      </c>
      <c r="K226" s="682">
        <v>0</v>
      </c>
      <c r="M226" s="1072"/>
      <c r="N226" s="735"/>
      <c r="O226" s="678"/>
      <c r="P226" s="678"/>
      <c r="Q226" s="678"/>
      <c r="R226" s="678"/>
      <c r="S226" s="678"/>
      <c r="T226" s="678"/>
      <c r="U226" s="678"/>
    </row>
    <row r="227" spans="1:23" x14ac:dyDescent="0.2">
      <c r="G227" s="941"/>
      <c r="M227" s="944"/>
      <c r="N227" s="946"/>
      <c r="O227" s="944"/>
      <c r="W227" s="941"/>
    </row>
    <row r="228" spans="1:23" s="951" customFormat="1" ht="15.75" x14ac:dyDescent="0.25">
      <c r="A228" s="951" t="s">
        <v>963</v>
      </c>
      <c r="G228" s="954">
        <v>12350.776585013711</v>
      </c>
      <c r="H228" s="1002" t="s">
        <v>661</v>
      </c>
      <c r="I228" s="1284">
        <v>3625.1620721329527</v>
      </c>
      <c r="J228" s="1285">
        <v>0</v>
      </c>
      <c r="K228" s="1285"/>
      <c r="L228" s="1286">
        <v>12322.846026680378</v>
      </c>
      <c r="M228" s="1138"/>
      <c r="N228" s="1096">
        <v>3625.1620721329527</v>
      </c>
      <c r="O228" s="1287">
        <v>12322.846026680374</v>
      </c>
      <c r="P228" s="1288">
        <v>3625.1620721329509</v>
      </c>
      <c r="Q228" s="1288"/>
      <c r="R228" s="1289"/>
      <c r="S228" s="1138"/>
      <c r="T228" s="1138"/>
      <c r="U228" s="1138"/>
      <c r="V228" s="1138"/>
    </row>
    <row r="229" spans="1:23" s="951" customFormat="1" ht="15.75" x14ac:dyDescent="0.25">
      <c r="A229" s="1290" t="s">
        <v>964</v>
      </c>
      <c r="B229" s="1290"/>
      <c r="C229" s="1290"/>
      <c r="D229" s="1290"/>
      <c r="E229" s="1290"/>
      <c r="F229" s="1291">
        <v>0</v>
      </c>
      <c r="G229" s="1292">
        <v>12322.846026680378</v>
      </c>
      <c r="H229" s="1293" t="s">
        <v>661</v>
      </c>
      <c r="I229" s="1294" t="s">
        <v>965</v>
      </c>
      <c r="J229" s="1290"/>
      <c r="K229" s="1290"/>
      <c r="N229" s="1927">
        <v>3625.1620721329509</v>
      </c>
    </row>
    <row r="230" spans="1:23" s="951" customFormat="1" ht="15.75" x14ac:dyDescent="0.25">
      <c r="G230" s="1289"/>
      <c r="H230" s="1295"/>
      <c r="I230" s="998"/>
      <c r="L230" s="1138"/>
      <c r="N230" s="1928">
        <v>0</v>
      </c>
      <c r="P230" s="1296">
        <v>0</v>
      </c>
      <c r="Q230" s="952"/>
    </row>
    <row r="231" spans="1:23" s="951" customFormat="1" ht="15.75" x14ac:dyDescent="0.25">
      <c r="B231" s="986" t="s">
        <v>218</v>
      </c>
      <c r="C231" s="986"/>
      <c r="D231" s="986"/>
      <c r="E231" s="986"/>
      <c r="F231" s="986"/>
      <c r="G231" s="986"/>
      <c r="H231" s="986"/>
      <c r="I231" s="967" t="s">
        <v>148</v>
      </c>
    </row>
    <row r="232" spans="1:23" s="986" customFormat="1" ht="12" x14ac:dyDescent="0.2">
      <c r="I232" s="1058"/>
    </row>
    <row r="233" spans="1:23" s="986" customFormat="1" ht="12" x14ac:dyDescent="0.2">
      <c r="H233" s="1297" t="s">
        <v>247</v>
      </c>
      <c r="I233" s="1297" t="s">
        <v>254</v>
      </c>
    </row>
    <row r="234" spans="1:23" s="986" customFormat="1" ht="12" x14ac:dyDescent="0.2">
      <c r="H234" s="1298">
        <v>6988.2051460517032</v>
      </c>
      <c r="I234" s="1298">
        <v>5334.6408806286709</v>
      </c>
      <c r="J234" s="1298">
        <v>12322.846026680374</v>
      </c>
    </row>
    <row r="235" spans="1:23" s="986" customFormat="1" ht="12" x14ac:dyDescent="0.2">
      <c r="E235" s="1058"/>
      <c r="F235" s="1058"/>
      <c r="G235" s="1058"/>
      <c r="H235" s="1298">
        <v>0</v>
      </c>
      <c r="I235" s="1238"/>
      <c r="J235" s="1238"/>
    </row>
    <row r="236" spans="1:23" s="1299" customFormat="1" ht="12" hidden="1" x14ac:dyDescent="0.2">
      <c r="E236" s="1300"/>
      <c r="F236" s="1300"/>
      <c r="G236" s="1300"/>
      <c r="O236" s="990"/>
    </row>
    <row r="237" spans="1:23" s="964" customFormat="1" ht="12" hidden="1" x14ac:dyDescent="0.2">
      <c r="E237" s="967"/>
      <c r="F237" s="967"/>
      <c r="G237" s="967"/>
      <c r="H237" s="967">
        <v>12322.846026680374</v>
      </c>
      <c r="N237" s="966"/>
      <c r="O237" s="990"/>
      <c r="P237" s="966"/>
      <c r="Q237" s="966"/>
      <c r="R237" s="966"/>
      <c r="S237" s="966"/>
      <c r="T237" s="966"/>
      <c r="U237" s="966"/>
      <c r="V237" s="966"/>
      <c r="W237" s="966"/>
    </row>
    <row r="238" spans="1:23" s="964" customFormat="1" ht="12" hidden="1" x14ac:dyDescent="0.2">
      <c r="E238" s="967"/>
      <c r="F238" s="967"/>
      <c r="G238" s="967"/>
      <c r="N238" s="966"/>
      <c r="O238" s="990"/>
      <c r="P238" s="966"/>
      <c r="Q238" s="966"/>
      <c r="R238" s="966"/>
      <c r="S238" s="966"/>
      <c r="T238" s="966"/>
      <c r="U238" s="966"/>
      <c r="V238" s="966"/>
      <c r="W238" s="966"/>
    </row>
    <row r="239" spans="1:23" s="964" customFormat="1" ht="12" hidden="1" x14ac:dyDescent="0.2">
      <c r="E239" s="967"/>
      <c r="F239" s="967"/>
      <c r="G239" s="967"/>
      <c r="N239" s="966"/>
      <c r="O239" s="990"/>
      <c r="P239" s="966"/>
      <c r="Q239" s="966"/>
      <c r="R239" s="966"/>
      <c r="S239" s="966"/>
      <c r="T239" s="966"/>
      <c r="U239" s="966"/>
      <c r="V239" s="966"/>
      <c r="W239" s="966"/>
    </row>
    <row r="240" spans="1:23" s="964" customFormat="1" ht="12" hidden="1" x14ac:dyDescent="0.2">
      <c r="E240" s="967"/>
      <c r="F240" s="967"/>
      <c r="G240" s="967"/>
      <c r="N240" s="966"/>
      <c r="O240" s="990"/>
      <c r="P240" s="966"/>
      <c r="Q240" s="966"/>
      <c r="R240" s="966"/>
      <c r="S240" s="966"/>
      <c r="T240" s="966"/>
      <c r="U240" s="966"/>
      <c r="V240" s="966"/>
      <c r="W240" s="966"/>
    </row>
    <row r="241" spans="1:23" hidden="1" x14ac:dyDescent="0.2">
      <c r="E241" s="941"/>
      <c r="F241" s="941"/>
      <c r="G241" s="941"/>
      <c r="I241" s="1096"/>
      <c r="N241" s="941"/>
      <c r="O241" s="825" t="s">
        <v>966</v>
      </c>
      <c r="Q241" s="941"/>
      <c r="R241" s="941"/>
      <c r="S241" s="941"/>
      <c r="T241" s="941"/>
      <c r="V241" s="941"/>
      <c r="W241" s="941"/>
    </row>
    <row r="242" spans="1:23" ht="18.75" hidden="1" x14ac:dyDescent="0.3">
      <c r="E242" s="1301" t="s">
        <v>967</v>
      </c>
      <c r="F242" s="1301"/>
      <c r="G242" s="1301"/>
      <c r="I242" s="1096"/>
      <c r="N242" s="941"/>
      <c r="O242" s="1164">
        <v>8872.0545030716567</v>
      </c>
      <c r="P242" s="1096">
        <v>8872.0545030716585</v>
      </c>
      <c r="Q242" s="1302">
        <v>5031.2839095919899</v>
      </c>
      <c r="R242" s="1302">
        <v>3840.7705934796686</v>
      </c>
      <c r="S242" s="1303">
        <v>538.20080000000007</v>
      </c>
      <c r="T242" s="941"/>
      <c r="U242" s="941"/>
      <c r="V242" s="946"/>
      <c r="W242" s="941"/>
    </row>
    <row r="243" spans="1:23" s="944" customFormat="1" ht="19.899999999999999" hidden="1" customHeight="1" x14ac:dyDescent="0.3">
      <c r="H243" s="1304"/>
      <c r="I243" s="948"/>
      <c r="J243" s="1118">
        <v>0.99999999999999989</v>
      </c>
      <c r="K243" s="946">
        <v>0.56709344017781582</v>
      </c>
      <c r="L243" s="946"/>
      <c r="M243" s="946">
        <v>0.43290655982218407</v>
      </c>
      <c r="O243" s="1305">
        <v>0</v>
      </c>
      <c r="P243" s="946"/>
      <c r="Q243" s="1302">
        <v>988.33348716273667</v>
      </c>
      <c r="R243" s="1302">
        <v>754.47187283726294</v>
      </c>
      <c r="S243" s="1302">
        <v>1742.8053599999996</v>
      </c>
      <c r="T243" s="1302"/>
      <c r="U243" s="1302"/>
    </row>
    <row r="244" spans="1:23" ht="63.6" hidden="1" customHeight="1" x14ac:dyDescent="0.2">
      <c r="A244" s="1306" t="s">
        <v>737</v>
      </c>
      <c r="B244" s="2066" t="s">
        <v>738</v>
      </c>
      <c r="C244" s="2067"/>
      <c r="D244" s="2068"/>
      <c r="E244" s="1306" t="s">
        <v>739</v>
      </c>
      <c r="F244" s="1098" t="s">
        <v>740</v>
      </c>
      <c r="G244" s="1098" t="s">
        <v>741</v>
      </c>
      <c r="H244" s="1929"/>
      <c r="I244" s="1929"/>
      <c r="J244" s="1929" t="s">
        <v>968</v>
      </c>
      <c r="K244" s="1929"/>
      <c r="L244" s="1930"/>
      <c r="M244" s="2074" t="s">
        <v>969</v>
      </c>
      <c r="N244" s="2075"/>
      <c r="O244" s="1931">
        <v>0</v>
      </c>
      <c r="P244" s="1307">
        <v>7129.2491430716591</v>
      </c>
      <c r="Q244" s="1308">
        <v>4042.9504224292532</v>
      </c>
      <c r="R244" s="1308">
        <v>3086.2987206424059</v>
      </c>
      <c r="S244" s="941"/>
      <c r="T244" s="941"/>
      <c r="U244" s="941"/>
      <c r="V244" s="941"/>
      <c r="W244" s="941"/>
    </row>
    <row r="245" spans="1:23" s="964" customFormat="1" ht="50.45" hidden="1" customHeight="1" x14ac:dyDescent="0.2">
      <c r="A245" s="1306"/>
      <c r="B245" s="1904"/>
      <c r="C245" s="1905"/>
      <c r="D245" s="1906"/>
      <c r="E245" s="1309"/>
      <c r="F245" s="1309"/>
      <c r="G245" s="1309"/>
      <c r="H245" s="1306" t="s">
        <v>920</v>
      </c>
      <c r="I245" s="1310" t="s">
        <v>970</v>
      </c>
      <c r="J245" s="1310" t="s">
        <v>971</v>
      </c>
      <c r="K245" s="1311" t="s">
        <v>972</v>
      </c>
      <c r="L245" s="1311"/>
      <c r="M245" s="1310" t="s">
        <v>970</v>
      </c>
      <c r="N245" s="1310" t="s">
        <v>973</v>
      </c>
      <c r="O245" s="1312">
        <v>0</v>
      </c>
      <c r="P245" s="1932" t="s">
        <v>920</v>
      </c>
      <c r="Q245" s="966">
        <v>13934.894286143321</v>
      </c>
      <c r="R245" s="964" t="s">
        <v>744</v>
      </c>
    </row>
    <row r="246" spans="1:23" ht="15" hidden="1" x14ac:dyDescent="0.25">
      <c r="A246" s="1100">
        <v>1</v>
      </c>
      <c r="B246" s="2054" t="s">
        <v>974</v>
      </c>
      <c r="C246" s="2055"/>
      <c r="D246" s="2056"/>
      <c r="E246" s="1313" t="s">
        <v>617</v>
      </c>
      <c r="F246" s="1314">
        <v>383.57465999999999</v>
      </c>
      <c r="G246" s="1314">
        <v>383.57465999999999</v>
      </c>
      <c r="H246" s="1315">
        <v>7129.2491430716591</v>
      </c>
      <c r="I246" s="1134">
        <v>4042.9504224292532</v>
      </c>
      <c r="J246" s="1134">
        <v>3086.2987206424059</v>
      </c>
      <c r="K246" s="1316">
        <v>0</v>
      </c>
      <c r="L246" s="1316"/>
      <c r="M246" s="1330">
        <v>356.33880153577189</v>
      </c>
      <c r="N246" s="1330">
        <v>110.98834406422812</v>
      </c>
      <c r="O246" s="1318"/>
      <c r="P246" s="1319">
        <v>7129.24914307166</v>
      </c>
      <c r="Q246" s="1096">
        <v>7129.24914307166</v>
      </c>
      <c r="R246" s="1096">
        <v>-6661.9219974716589</v>
      </c>
      <c r="S246" s="941"/>
      <c r="T246" s="941"/>
      <c r="U246" s="941"/>
      <c r="V246" s="941"/>
      <c r="W246" s="941"/>
    </row>
    <row r="247" spans="1:23" ht="15" hidden="1" x14ac:dyDescent="0.25">
      <c r="A247" s="1100"/>
      <c r="B247" s="2071" t="s">
        <v>975</v>
      </c>
      <c r="C247" s="2072"/>
      <c r="D247" s="2073"/>
      <c r="E247" s="1313" t="s">
        <v>617</v>
      </c>
      <c r="F247" s="1320"/>
      <c r="G247" s="1320"/>
      <c r="H247" s="1321">
        <v>6805.6451430716588</v>
      </c>
      <c r="I247" s="1322">
        <v>3859.4367168139511</v>
      </c>
      <c r="J247" s="1322">
        <v>2946.2084262577077</v>
      </c>
      <c r="K247" s="1323">
        <v>0</v>
      </c>
      <c r="L247" s="1323"/>
      <c r="M247" s="1933">
        <v>318.1176619800537</v>
      </c>
      <c r="N247" s="1933">
        <v>99.083659619946303</v>
      </c>
      <c r="O247" s="1324"/>
      <c r="P247" s="1325">
        <v>6805.6451430716597</v>
      </c>
      <c r="Q247" s="1096">
        <v>6805.6451430716597</v>
      </c>
      <c r="R247" s="1096">
        <v>3541.3190548338976</v>
      </c>
      <c r="S247" s="941"/>
      <c r="T247" s="941"/>
      <c r="U247" s="941"/>
      <c r="V247" s="941"/>
      <c r="W247" s="941"/>
    </row>
    <row r="248" spans="1:23" ht="15" hidden="1" x14ac:dyDescent="0.25">
      <c r="A248" s="1100"/>
      <c r="B248" s="2071" t="s">
        <v>976</v>
      </c>
      <c r="C248" s="2072"/>
      <c r="D248" s="2073"/>
      <c r="E248" s="1313" t="s">
        <v>617</v>
      </c>
      <c r="F248" s="1320"/>
      <c r="G248" s="1320"/>
      <c r="H248" s="1321">
        <v>6099.9368847135665</v>
      </c>
      <c r="I248" s="1322">
        <v>3459.2341928197657</v>
      </c>
      <c r="J248" s="1322">
        <v>2640.7026918938013</v>
      </c>
      <c r="K248" s="1326">
        <v>0</v>
      </c>
      <c r="L248" s="1326"/>
      <c r="M248" s="1933">
        <v>283.6483347343281</v>
      </c>
      <c r="N248" s="1933">
        <v>88.347546865671873</v>
      </c>
      <c r="O248" s="1324">
        <v>6099.9368847135665</v>
      </c>
      <c r="P248" s="1325">
        <v>6099.9368847135675</v>
      </c>
      <c r="Q248" s="1096">
        <v>0</v>
      </c>
      <c r="R248" s="1096">
        <v>3175.5858580854374</v>
      </c>
      <c r="S248" s="1096">
        <v>6423.5408847135668</v>
      </c>
      <c r="T248" s="941"/>
      <c r="U248" s="941"/>
      <c r="V248" s="941"/>
      <c r="W248" s="941"/>
    </row>
    <row r="249" spans="1:23" ht="15" hidden="1" x14ac:dyDescent="0.25">
      <c r="A249" s="1100"/>
      <c r="B249" s="2071" t="s">
        <v>977</v>
      </c>
      <c r="C249" s="2072"/>
      <c r="D249" s="2073"/>
      <c r="E249" s="1313" t="s">
        <v>617</v>
      </c>
      <c r="F249" s="1320"/>
      <c r="G249" s="1320"/>
      <c r="H249" s="1321">
        <v>416.99283999999989</v>
      </c>
      <c r="I249" s="1322">
        <v>236.47390416511749</v>
      </c>
      <c r="J249" s="1322">
        <v>180.5189358348824</v>
      </c>
      <c r="K249" s="1323">
        <v>0</v>
      </c>
      <c r="L249" s="1323"/>
      <c r="M249" s="1933">
        <v>20.331405726391043</v>
      </c>
      <c r="N249" s="1933">
        <v>6.3325942736089553</v>
      </c>
      <c r="O249" s="1324">
        <v>416.99283999999994</v>
      </c>
      <c r="P249" s="1327">
        <v>416.99283999999994</v>
      </c>
      <c r="Q249" s="1096">
        <v>0</v>
      </c>
      <c r="R249" s="1096">
        <v>216.14249843872645</v>
      </c>
      <c r="S249" s="941"/>
      <c r="T249" s="941"/>
      <c r="U249" s="941"/>
      <c r="V249" s="941"/>
      <c r="W249" s="941"/>
    </row>
    <row r="250" spans="1:23" ht="15" hidden="1" x14ac:dyDescent="0.25">
      <c r="A250" s="1100"/>
      <c r="B250" s="2071" t="s">
        <v>978</v>
      </c>
      <c r="C250" s="2072"/>
      <c r="D250" s="2073"/>
      <c r="E250" s="1313" t="s">
        <v>617</v>
      </c>
      <c r="F250" s="1320"/>
      <c r="G250" s="1320"/>
      <c r="H250" s="1321">
        <v>288.71541835809228</v>
      </c>
      <c r="I250" s="1322">
        <v>163.7286198290679</v>
      </c>
      <c r="J250" s="1322">
        <v>124.9867985290244</v>
      </c>
      <c r="K250" s="1326">
        <v>0</v>
      </c>
      <c r="L250" s="1323"/>
      <c r="M250" s="1933">
        <v>14.137921519334531</v>
      </c>
      <c r="N250" s="1933">
        <v>4.4035184806654692</v>
      </c>
      <c r="O250" s="1324">
        <v>288.71541835809234</v>
      </c>
      <c r="P250" s="1327">
        <v>288.71541835809234</v>
      </c>
      <c r="Q250" s="1096">
        <v>0</v>
      </c>
      <c r="R250" s="1096">
        <v>149.59069830973337</v>
      </c>
      <c r="S250" s="1328">
        <v>0</v>
      </c>
      <c r="T250" s="1329"/>
      <c r="U250" s="941"/>
      <c r="V250" s="941"/>
      <c r="W250" s="941"/>
    </row>
    <row r="251" spans="1:23" ht="15" hidden="1" x14ac:dyDescent="0.25">
      <c r="A251" s="1100"/>
      <c r="B251" s="2071" t="s">
        <v>979</v>
      </c>
      <c r="C251" s="2072"/>
      <c r="D251" s="2073"/>
      <c r="E251" s="1313" t="s">
        <v>617</v>
      </c>
      <c r="F251" s="1320"/>
      <c r="G251" s="1320"/>
      <c r="H251" s="1321">
        <v>323.60399999999993</v>
      </c>
      <c r="I251" s="1322">
        <v>183.51370561530192</v>
      </c>
      <c r="J251" s="1322">
        <v>140.09029438469804</v>
      </c>
      <c r="K251" s="1326">
        <v>0</v>
      </c>
      <c r="L251" s="1326"/>
      <c r="M251" s="1933">
        <v>38.221139555718182</v>
      </c>
      <c r="N251" s="1933">
        <v>11.904684444281816</v>
      </c>
      <c r="O251" s="1324">
        <v>323.60399999999998</v>
      </c>
      <c r="P251" s="1325">
        <v>323.60399999999998</v>
      </c>
      <c r="Q251" s="1096">
        <v>0</v>
      </c>
      <c r="R251" s="1096">
        <v>145.29256605958375</v>
      </c>
      <c r="S251" s="941"/>
      <c r="T251" s="941"/>
      <c r="U251" s="941"/>
      <c r="V251" s="941"/>
      <c r="W251" s="941"/>
    </row>
    <row r="252" spans="1:23" ht="15" hidden="1" x14ac:dyDescent="0.25">
      <c r="A252" s="1100">
        <v>2</v>
      </c>
      <c r="B252" s="2054" t="s">
        <v>818</v>
      </c>
      <c r="C252" s="2055"/>
      <c r="D252" s="2056"/>
      <c r="E252" s="1313" t="s">
        <v>617</v>
      </c>
      <c r="F252" s="1314">
        <v>145.47967</v>
      </c>
      <c r="G252" s="1314">
        <v>145.47967</v>
      </c>
      <c r="H252" s="1315">
        <v>1568.4348114757649</v>
      </c>
      <c r="I252" s="1134">
        <v>889.44909293443561</v>
      </c>
      <c r="J252" s="1134">
        <v>678.98571854132933</v>
      </c>
      <c r="K252" s="1316">
        <v>0</v>
      </c>
      <c r="L252" s="1316"/>
      <c r="M252" s="1330">
        <v>134.94550414159679</v>
      </c>
      <c r="N252" s="1330">
        <v>42.031285897123183</v>
      </c>
      <c r="O252" s="1318">
        <v>0</v>
      </c>
      <c r="P252" s="1319">
        <v>1568.4348114757652</v>
      </c>
      <c r="Q252" s="1096">
        <v>1568.4348114757649</v>
      </c>
      <c r="R252" s="1096">
        <v>754.50358879283885</v>
      </c>
      <c r="S252" s="941"/>
      <c r="T252" s="941"/>
      <c r="U252" s="941"/>
      <c r="V252" s="941"/>
      <c r="W252" s="941"/>
    </row>
    <row r="253" spans="1:23" ht="15" hidden="1" x14ac:dyDescent="0.25">
      <c r="A253" s="1100"/>
      <c r="B253" s="2071" t="s">
        <v>980</v>
      </c>
      <c r="C253" s="2072"/>
      <c r="D253" s="2073"/>
      <c r="E253" s="1313" t="s">
        <v>617</v>
      </c>
      <c r="F253" s="1320"/>
      <c r="G253" s="1320"/>
      <c r="H253" s="1321">
        <v>1497.2419314757649</v>
      </c>
      <c r="I253" s="1322">
        <v>849.07607769906917</v>
      </c>
      <c r="J253" s="1322">
        <v>648.16585377669571</v>
      </c>
      <c r="K253" s="1323">
        <v>0</v>
      </c>
      <c r="L253" s="1323"/>
      <c r="M253" s="1933">
        <v>120.47115859184632</v>
      </c>
      <c r="N253" s="1933">
        <v>37.52298189807366</v>
      </c>
      <c r="O253" s="1324"/>
      <c r="P253" s="1325">
        <v>1497.2419314757651</v>
      </c>
      <c r="Q253" s="941"/>
      <c r="R253" s="1096">
        <v>728.60491910722283</v>
      </c>
      <c r="S253" s="941"/>
      <c r="T253" s="941"/>
      <c r="U253" s="941"/>
      <c r="V253" s="941"/>
      <c r="W253" s="941"/>
    </row>
    <row r="254" spans="1:23" ht="13.9" hidden="1" customHeight="1" x14ac:dyDescent="0.25">
      <c r="A254" s="1100"/>
      <c r="B254" s="2071" t="s">
        <v>981</v>
      </c>
      <c r="C254" s="2072"/>
      <c r="D254" s="2073"/>
      <c r="E254" s="1313" t="s">
        <v>617</v>
      </c>
      <c r="F254" s="1320"/>
      <c r="G254" s="1320"/>
      <c r="H254" s="1321">
        <v>1341.9861146369844</v>
      </c>
      <c r="I254" s="1322">
        <v>761.03152242034832</v>
      </c>
      <c r="J254" s="1322">
        <v>580.95459221663612</v>
      </c>
      <c r="K254" s="1323">
        <v>0</v>
      </c>
      <c r="L254" s="1323"/>
      <c r="M254" s="1933">
        <v>107.41762436389004</v>
      </c>
      <c r="N254" s="1933">
        <v>33.457215998029938</v>
      </c>
      <c r="O254" s="1324"/>
      <c r="P254" s="1325">
        <v>1341.9861146369847</v>
      </c>
      <c r="Q254" s="941"/>
      <c r="R254" s="1096">
        <v>653.61389805645831</v>
      </c>
      <c r="S254" s="941"/>
      <c r="T254" s="941"/>
      <c r="U254" s="941"/>
      <c r="V254" s="941"/>
      <c r="W254" s="941"/>
    </row>
    <row r="255" spans="1:23" ht="13.9" hidden="1" customHeight="1" x14ac:dyDescent="0.25">
      <c r="A255" s="1100"/>
      <c r="B255" s="2071" t="s">
        <v>982</v>
      </c>
      <c r="C255" s="2072"/>
      <c r="D255" s="2073"/>
      <c r="E255" s="1313" t="s">
        <v>617</v>
      </c>
      <c r="F255" s="1320"/>
      <c r="G255" s="1320"/>
      <c r="H255" s="1321">
        <v>91.738424799999976</v>
      </c>
      <c r="I255" s="1322">
        <v>52.024258916325849</v>
      </c>
      <c r="J255" s="1322">
        <v>39.714165883674127</v>
      </c>
      <c r="K255" s="1323">
        <v>0</v>
      </c>
      <c r="L255" s="1323"/>
      <c r="M255" s="1933">
        <v>7.6995033485842876</v>
      </c>
      <c r="N255" s="1933">
        <v>2.3981534514157112</v>
      </c>
      <c r="O255" s="1324"/>
      <c r="P255" s="1325">
        <v>91.73842479999999</v>
      </c>
      <c r="Q255" s="941"/>
      <c r="R255" s="1096">
        <v>44.324755567741562</v>
      </c>
      <c r="S255" s="941"/>
      <c r="T255" s="941"/>
      <c r="U255" s="941"/>
      <c r="V255" s="941"/>
      <c r="W255" s="941"/>
    </row>
    <row r="256" spans="1:23" ht="15" hidden="1" x14ac:dyDescent="0.25">
      <c r="A256" s="1100"/>
      <c r="B256" s="2071" t="s">
        <v>983</v>
      </c>
      <c r="C256" s="2072"/>
      <c r="D256" s="2073"/>
      <c r="E256" s="1313" t="s">
        <v>617</v>
      </c>
      <c r="F256" s="1320"/>
      <c r="G256" s="1320"/>
      <c r="H256" s="1321">
        <v>63.517392038780301</v>
      </c>
      <c r="I256" s="1322">
        <v>36.020296362394937</v>
      </c>
      <c r="J256" s="1322">
        <v>27.497095676385367</v>
      </c>
      <c r="K256" s="1323">
        <v>0</v>
      </c>
      <c r="L256" s="1323"/>
      <c r="M256" s="1933">
        <v>5.3540308793719866</v>
      </c>
      <c r="N256" s="1933">
        <v>1.6676124486280131</v>
      </c>
      <c r="O256" s="1324"/>
      <c r="P256" s="1325">
        <v>63.517392038780315</v>
      </c>
      <c r="Q256" s="941"/>
      <c r="R256" s="1096">
        <v>30.666265483022951</v>
      </c>
      <c r="S256" s="941"/>
      <c r="T256" s="941"/>
      <c r="U256" s="941"/>
      <c r="V256" s="941"/>
      <c r="W256" s="941"/>
    </row>
    <row r="257" spans="1:23" ht="15" hidden="1" x14ac:dyDescent="0.25">
      <c r="A257" s="1100"/>
      <c r="B257" s="2071" t="s">
        <v>984</v>
      </c>
      <c r="C257" s="2072"/>
      <c r="D257" s="2073"/>
      <c r="E257" s="1313" t="s">
        <v>617</v>
      </c>
      <c r="F257" s="1320"/>
      <c r="G257" s="1320"/>
      <c r="H257" s="1321">
        <v>71.192880000000002</v>
      </c>
      <c r="I257" s="1322">
        <v>40.373015235366424</v>
      </c>
      <c r="J257" s="1322">
        <v>30.819864764633571</v>
      </c>
      <c r="K257" s="1323">
        <v>0</v>
      </c>
      <c r="L257" s="1323"/>
      <c r="M257" s="1933">
        <v>14.474345549750474</v>
      </c>
      <c r="N257" s="1933">
        <v>4.5083039990495237</v>
      </c>
      <c r="O257" s="1324"/>
      <c r="P257" s="1325">
        <v>71.192880000000002</v>
      </c>
      <c r="Q257" s="941"/>
      <c r="R257" s="1096">
        <v>25.89866968561595</v>
      </c>
      <c r="S257" s="941"/>
      <c r="T257" s="941"/>
      <c r="U257" s="941"/>
      <c r="V257" s="941"/>
      <c r="W257" s="941"/>
    </row>
    <row r="258" spans="1:23" ht="15" hidden="1" x14ac:dyDescent="0.25">
      <c r="A258" s="1100"/>
      <c r="B258" s="2054" t="s">
        <v>649</v>
      </c>
      <c r="C258" s="2055"/>
      <c r="D258" s="2056"/>
      <c r="E258" s="1313" t="s">
        <v>617</v>
      </c>
      <c r="F258" s="1314">
        <v>3.5840700000000001</v>
      </c>
      <c r="G258" s="1314">
        <v>3.5840700000000001</v>
      </c>
      <c r="H258" s="1315">
        <v>356.43876</v>
      </c>
      <c r="I258" s="1134">
        <v>202.13408262111486</v>
      </c>
      <c r="J258" s="1134">
        <v>154.30467737888512</v>
      </c>
      <c r="K258" s="1134">
        <v>0</v>
      </c>
      <c r="L258" s="1134"/>
      <c r="M258" s="1330">
        <v>2.1800000000000002</v>
      </c>
      <c r="N258" s="1330">
        <v>0.72</v>
      </c>
      <c r="O258" s="954"/>
      <c r="P258" s="1319">
        <v>356.43876</v>
      </c>
      <c r="Q258" s="941"/>
      <c r="R258" s="1096">
        <v>199.95408262111485</v>
      </c>
      <c r="S258" s="941"/>
      <c r="T258" s="941"/>
      <c r="U258" s="941"/>
      <c r="V258" s="941"/>
      <c r="W258" s="941"/>
    </row>
    <row r="259" spans="1:23" ht="15" hidden="1" x14ac:dyDescent="0.25">
      <c r="A259" s="1100">
        <v>3</v>
      </c>
      <c r="B259" s="2054" t="s">
        <v>985</v>
      </c>
      <c r="C259" s="2055"/>
      <c r="D259" s="2056"/>
      <c r="E259" s="1313" t="s">
        <v>617</v>
      </c>
      <c r="F259" s="1314"/>
      <c r="G259" s="1314"/>
      <c r="H259" s="1315">
        <v>3296.6538704662844</v>
      </c>
      <c r="I259" s="1315">
        <v>1853.6715480669</v>
      </c>
      <c r="J259" s="1315">
        <v>1415.0517640660512</v>
      </c>
      <c r="K259" s="1315">
        <v>27.930558333333295</v>
      </c>
      <c r="L259" s="1315">
        <v>0</v>
      </c>
      <c r="M259" s="1315">
        <v>128.34</v>
      </c>
      <c r="N259" s="1315">
        <v>63.845000000000006</v>
      </c>
      <c r="O259" s="1319"/>
      <c r="P259" s="1319">
        <v>3653.0926304662848</v>
      </c>
      <c r="Q259" s="1096">
        <v>3296.6538704662844</v>
      </c>
      <c r="R259" s="1096">
        <v>1725.3315480669</v>
      </c>
      <c r="S259" s="941"/>
      <c r="T259" s="941"/>
      <c r="U259" s="941"/>
      <c r="V259" s="941"/>
      <c r="W259" s="941"/>
    </row>
    <row r="260" spans="1:23" ht="15" hidden="1" x14ac:dyDescent="0.25">
      <c r="A260" s="1100"/>
      <c r="B260" s="2054" t="s">
        <v>986</v>
      </c>
      <c r="C260" s="2055"/>
      <c r="D260" s="2056"/>
      <c r="E260" s="1313" t="s">
        <v>617</v>
      </c>
      <c r="F260" s="1314">
        <v>27.976659999999981</v>
      </c>
      <c r="G260" s="1314">
        <v>27.976659999999981</v>
      </c>
      <c r="H260" s="1315">
        <v>1847.1047999999998</v>
      </c>
      <c r="I260" s="1134">
        <v>1047.4810154009565</v>
      </c>
      <c r="J260" s="1134">
        <v>799.62378459904335</v>
      </c>
      <c r="K260" s="1134">
        <v>0</v>
      </c>
      <c r="L260" s="1134"/>
      <c r="M260" s="1330">
        <v>27.71</v>
      </c>
      <c r="N260" s="1330">
        <v>30.68</v>
      </c>
      <c r="O260" s="954"/>
      <c r="P260" s="1319">
        <v>1847.1048000000001</v>
      </c>
      <c r="Q260" s="941"/>
      <c r="R260" s="1096">
        <v>1019.7710154009565</v>
      </c>
      <c r="S260" s="941"/>
      <c r="T260" s="941"/>
      <c r="U260" s="941"/>
      <c r="V260" s="941"/>
      <c r="W260" s="941"/>
    </row>
    <row r="261" spans="1:23" ht="15" hidden="1" x14ac:dyDescent="0.25">
      <c r="A261" s="1100"/>
      <c r="B261" s="2054" t="s">
        <v>683</v>
      </c>
      <c r="C261" s="2055"/>
      <c r="D261" s="2056"/>
      <c r="E261" s="1313" t="s">
        <v>617</v>
      </c>
      <c r="F261" s="1330">
        <v>14.1412</v>
      </c>
      <c r="G261" s="1330">
        <v>14.1412</v>
      </c>
      <c r="H261" s="1315">
        <v>257.7875766253627</v>
      </c>
      <c r="I261" s="1134">
        <v>146.18964366357926</v>
      </c>
      <c r="J261" s="1134">
        <v>111.59793296178346</v>
      </c>
      <c r="K261" s="1134">
        <v>0</v>
      </c>
      <c r="L261" s="1134"/>
      <c r="M261" s="1330">
        <v>14.079999999999998</v>
      </c>
      <c r="N261" s="1330">
        <v>4.6399999999999997</v>
      </c>
      <c r="O261" s="954"/>
      <c r="P261" s="1319">
        <v>257.78757662536276</v>
      </c>
      <c r="Q261" s="941"/>
      <c r="R261" s="1096">
        <v>132.10964366357928</v>
      </c>
      <c r="S261" s="941"/>
      <c r="T261" s="941"/>
      <c r="U261" s="941"/>
      <c r="V261" s="941"/>
      <c r="W261" s="941"/>
    </row>
    <row r="262" spans="1:23" ht="15" hidden="1" x14ac:dyDescent="0.25">
      <c r="A262" s="1100"/>
      <c r="B262" s="2071" t="s">
        <v>895</v>
      </c>
      <c r="C262" s="2072"/>
      <c r="D262" s="2073"/>
      <c r="E262" s="1313" t="s">
        <v>617</v>
      </c>
      <c r="F262" s="1320">
        <v>4.0742200000000004</v>
      </c>
      <c r="G262" s="1320">
        <v>4.0742200000000004</v>
      </c>
      <c r="H262" s="1321">
        <v>42.143652688683005</v>
      </c>
      <c r="I262" s="1322">
        <v>23.899388984884304</v>
      </c>
      <c r="J262" s="1322">
        <v>18.244263703798698</v>
      </c>
      <c r="K262" s="1323"/>
      <c r="L262" s="1323"/>
      <c r="M262" s="1322">
        <v>3.64</v>
      </c>
      <c r="N262" s="1322">
        <v>1.2</v>
      </c>
      <c r="O262" s="1324"/>
      <c r="P262" s="1325">
        <v>42.143652688683005</v>
      </c>
      <c r="Q262" s="941"/>
      <c r="R262" s="1096">
        <v>20.259388984884303</v>
      </c>
      <c r="S262" s="941"/>
      <c r="T262" s="941"/>
      <c r="U262" s="941"/>
      <c r="V262" s="941"/>
      <c r="W262" s="941"/>
    </row>
    <row r="263" spans="1:23" ht="15" hidden="1" x14ac:dyDescent="0.25">
      <c r="A263" s="1100"/>
      <c r="B263" s="2071" t="s">
        <v>987</v>
      </c>
      <c r="C263" s="2072"/>
      <c r="D263" s="2073"/>
      <c r="E263" s="1313" t="s">
        <v>617</v>
      </c>
      <c r="F263" s="1320">
        <v>1.0818700000000001</v>
      </c>
      <c r="G263" s="1320">
        <v>1.0818700000000001</v>
      </c>
      <c r="H263" s="1321">
        <v>102.99762143667974</v>
      </c>
      <c r="I263" s="1322">
        <v>58.409275470659068</v>
      </c>
      <c r="J263" s="1322">
        <v>44.588345966020668</v>
      </c>
      <c r="K263" s="1323"/>
      <c r="L263" s="1323"/>
      <c r="M263" s="1322">
        <v>3.46</v>
      </c>
      <c r="N263" s="1322">
        <v>1.1399999999999999</v>
      </c>
      <c r="O263" s="1324"/>
      <c r="P263" s="1325">
        <v>102.99762143667975</v>
      </c>
      <c r="Q263" s="941"/>
      <c r="R263" s="1096">
        <v>54.949275470659067</v>
      </c>
      <c r="S263" s="941"/>
      <c r="T263" s="941"/>
      <c r="U263" s="941"/>
      <c r="V263" s="941"/>
      <c r="W263" s="941"/>
    </row>
    <row r="264" spans="1:23" ht="15" hidden="1" x14ac:dyDescent="0.25">
      <c r="A264" s="1100"/>
      <c r="B264" s="2071" t="s">
        <v>900</v>
      </c>
      <c r="C264" s="2072"/>
      <c r="D264" s="2073"/>
      <c r="E264" s="1313" t="s">
        <v>617</v>
      </c>
      <c r="F264" s="1320">
        <v>1.0818700000000001</v>
      </c>
      <c r="G264" s="1320">
        <v>1.0818700000000001</v>
      </c>
      <c r="H264" s="1321">
        <v>0</v>
      </c>
      <c r="I264" s="1322">
        <v>0</v>
      </c>
      <c r="J264" s="1322">
        <v>0</v>
      </c>
      <c r="K264" s="1323"/>
      <c r="L264" s="1323"/>
      <c r="M264" s="1322">
        <v>3.46</v>
      </c>
      <c r="N264" s="1322">
        <v>1.1399999999999999</v>
      </c>
      <c r="O264" s="1324"/>
      <c r="P264" s="1325">
        <v>0</v>
      </c>
      <c r="Q264" s="941"/>
      <c r="R264" s="1096">
        <v>-3.46</v>
      </c>
      <c r="S264" s="941"/>
      <c r="T264" s="941"/>
      <c r="U264" s="941"/>
      <c r="V264" s="941"/>
      <c r="W264" s="941"/>
    </row>
    <row r="265" spans="1:23" ht="15" hidden="1" x14ac:dyDescent="0.25">
      <c r="A265" s="1100"/>
      <c r="B265" s="2071" t="s">
        <v>988</v>
      </c>
      <c r="C265" s="2072"/>
      <c r="D265" s="2073"/>
      <c r="E265" s="1313" t="s">
        <v>617</v>
      </c>
      <c r="F265" s="1320">
        <v>1.9291199999999999</v>
      </c>
      <c r="G265" s="1320">
        <v>1.9291199999999999</v>
      </c>
      <c r="H265" s="1321">
        <v>18.729359999999996</v>
      </c>
      <c r="I265" s="1322">
        <v>10.621297194728776</v>
      </c>
      <c r="J265" s="1322">
        <v>8.1080628052712207</v>
      </c>
      <c r="K265" s="1331"/>
      <c r="L265" s="1331"/>
      <c r="M265" s="1322">
        <v>1.76</v>
      </c>
      <c r="N265" s="1322">
        <v>0.57999999999999996</v>
      </c>
      <c r="O265" s="1332"/>
      <c r="P265" s="1325">
        <v>18.72936</v>
      </c>
      <c r="Q265" s="941"/>
      <c r="R265" s="1096">
        <v>8.8612971947287758</v>
      </c>
      <c r="S265" s="941"/>
      <c r="T265" s="941"/>
      <c r="U265" s="941"/>
      <c r="V265" s="941"/>
      <c r="W265" s="941"/>
    </row>
    <row r="266" spans="1:23" ht="15" hidden="1" x14ac:dyDescent="0.25">
      <c r="A266" s="1100"/>
      <c r="B266" s="2071" t="s">
        <v>989</v>
      </c>
      <c r="C266" s="2072"/>
      <c r="D266" s="2073"/>
      <c r="E266" s="1313" t="s">
        <v>617</v>
      </c>
      <c r="F266" s="1320">
        <v>1.9291199999999999</v>
      </c>
      <c r="G266" s="1320">
        <v>1.9291199999999999</v>
      </c>
      <c r="H266" s="1321">
        <v>0.91694249999999977</v>
      </c>
      <c r="I266" s="1322">
        <v>0.51999207677024684</v>
      </c>
      <c r="J266" s="1322">
        <v>0.39695042322975299</v>
      </c>
      <c r="K266" s="1331"/>
      <c r="L266" s="1331"/>
      <c r="M266" s="1322">
        <v>1.76</v>
      </c>
      <c r="N266" s="1322">
        <v>0.57999999999999996</v>
      </c>
      <c r="O266" s="1332"/>
      <c r="P266" s="1325">
        <v>0.91694249999999999</v>
      </c>
      <c r="Q266" s="941"/>
      <c r="R266" s="1096">
        <v>-1.2400079232297532</v>
      </c>
      <c r="S266" s="941"/>
      <c r="T266" s="941"/>
      <c r="U266" s="941"/>
      <c r="V266" s="941"/>
      <c r="W266" s="941"/>
    </row>
    <row r="267" spans="1:23" ht="15" hidden="1" x14ac:dyDescent="0.25">
      <c r="A267" s="1100"/>
      <c r="B267" s="2071" t="s">
        <v>909</v>
      </c>
      <c r="C267" s="2072"/>
      <c r="D267" s="2073"/>
      <c r="E267" s="1313" t="s">
        <v>617</v>
      </c>
      <c r="F267" s="1320">
        <v>4.0449999999999999</v>
      </c>
      <c r="G267" s="1320">
        <v>4.0449999999999999</v>
      </c>
      <c r="H267" s="1321">
        <v>92.999999999999986</v>
      </c>
      <c r="I267" s="1322">
        <v>52.73968993653687</v>
      </c>
      <c r="J267" s="1322">
        <v>40.260310063463116</v>
      </c>
      <c r="K267" s="1331"/>
      <c r="L267" s="1331"/>
      <c r="M267" s="1322">
        <v>0</v>
      </c>
      <c r="N267" s="1322">
        <v>0</v>
      </c>
      <c r="O267" s="1332"/>
      <c r="P267" s="1325">
        <v>93</v>
      </c>
      <c r="Q267" s="941"/>
      <c r="R267" s="1096">
        <v>52.73968993653687</v>
      </c>
      <c r="S267" s="941"/>
      <c r="T267" s="941"/>
      <c r="U267" s="941"/>
      <c r="V267" s="941"/>
      <c r="W267" s="941"/>
    </row>
    <row r="268" spans="1:23" ht="13.9" hidden="1" customHeight="1" x14ac:dyDescent="0.25">
      <c r="A268" s="1100"/>
      <c r="B268" s="2071"/>
      <c r="C268" s="2072"/>
      <c r="D268" s="2073"/>
      <c r="E268" s="1313"/>
      <c r="F268" s="1320"/>
      <c r="G268" s="1320"/>
      <c r="H268" s="1321"/>
      <c r="I268" s="1322"/>
      <c r="J268" s="1322"/>
      <c r="K268" s="1331"/>
      <c r="L268" s="1331"/>
      <c r="M268" s="1322"/>
      <c r="N268" s="1322"/>
      <c r="O268" s="1332"/>
      <c r="P268" s="1325"/>
      <c r="Q268" s="941"/>
      <c r="R268" s="1096"/>
      <c r="S268" s="941"/>
      <c r="T268" s="941"/>
      <c r="U268" s="941"/>
      <c r="V268" s="941"/>
      <c r="W268" s="941"/>
    </row>
    <row r="269" spans="1:23" ht="15" hidden="1" x14ac:dyDescent="0.25">
      <c r="A269" s="1100"/>
      <c r="B269" s="2054" t="s">
        <v>990</v>
      </c>
      <c r="C269" s="2055"/>
      <c r="D269" s="2056"/>
      <c r="E269" s="1313" t="s">
        <v>617</v>
      </c>
      <c r="F269" s="1333">
        <v>13.54684</v>
      </c>
      <c r="G269" s="1333">
        <v>13.54684</v>
      </c>
      <c r="H269" s="1315">
        <v>389.91268948987545</v>
      </c>
      <c r="I269" s="1134">
        <v>221.116928451798</v>
      </c>
      <c r="J269" s="1134">
        <v>168.79576103807747</v>
      </c>
      <c r="K269" s="1134">
        <v>0</v>
      </c>
      <c r="L269" s="1134"/>
      <c r="M269" s="1134">
        <v>13.77</v>
      </c>
      <c r="N269" s="1134">
        <v>4.54</v>
      </c>
      <c r="O269" s="1324">
        <v>389.91268948987545</v>
      </c>
      <c r="P269" s="1319">
        <v>389.9126894898755</v>
      </c>
      <c r="Q269" s="941"/>
      <c r="R269" s="1096">
        <v>207.34692845179799</v>
      </c>
      <c r="S269" s="941"/>
      <c r="T269" s="941"/>
      <c r="U269" s="941"/>
      <c r="V269" s="941"/>
      <c r="W269" s="941"/>
    </row>
    <row r="270" spans="1:23" ht="15" hidden="1" x14ac:dyDescent="0.25">
      <c r="A270" s="1100"/>
      <c r="B270" s="2071" t="s">
        <v>991</v>
      </c>
      <c r="C270" s="2072"/>
      <c r="D270" s="2073"/>
      <c r="E270" s="1313" t="s">
        <v>617</v>
      </c>
      <c r="F270" s="1320">
        <v>2.5851000000000002</v>
      </c>
      <c r="G270" s="1320">
        <v>2.5851000000000002</v>
      </c>
      <c r="H270" s="1321">
        <v>5.5190849999999996</v>
      </c>
      <c r="I270" s="1322">
        <v>3.1298368992837808</v>
      </c>
      <c r="J270" s="1322">
        <v>2.3892481007162187</v>
      </c>
      <c r="K270" s="1323"/>
      <c r="L270" s="1323"/>
      <c r="M270" s="1322">
        <v>0.36</v>
      </c>
      <c r="N270" s="1322">
        <v>0.13</v>
      </c>
      <c r="O270" s="1324">
        <v>5.5190849999999996</v>
      </c>
      <c r="P270" s="1325">
        <v>5.5190850000000005</v>
      </c>
      <c r="Q270" s="941"/>
      <c r="R270" s="1096">
        <v>2.769836899283781</v>
      </c>
      <c r="S270" s="941"/>
      <c r="T270" s="941"/>
      <c r="U270" s="941"/>
      <c r="V270" s="941"/>
      <c r="W270" s="941"/>
    </row>
    <row r="271" spans="1:23" ht="13.9" hidden="1" customHeight="1" x14ac:dyDescent="0.25">
      <c r="A271" s="1100"/>
      <c r="B271" s="2071" t="s">
        <v>992</v>
      </c>
      <c r="C271" s="2072"/>
      <c r="D271" s="2073"/>
      <c r="E271" s="1313" t="s">
        <v>617</v>
      </c>
      <c r="F271" s="1320">
        <v>1.33487</v>
      </c>
      <c r="G271" s="1320">
        <v>1.33487</v>
      </c>
      <c r="H271" s="1321">
        <v>47.188217357310393</v>
      </c>
      <c r="I271" s="1322">
        <v>26.760128517015676</v>
      </c>
      <c r="J271" s="1322">
        <v>20.42808884029472</v>
      </c>
      <c r="K271" s="1323"/>
      <c r="L271" s="1323"/>
      <c r="M271" s="1322">
        <v>1.81</v>
      </c>
      <c r="N271" s="1322">
        <v>0.59</v>
      </c>
      <c r="O271" s="1324">
        <v>47.188217357310393</v>
      </c>
      <c r="P271" s="1325">
        <v>47.1882173573104</v>
      </c>
      <c r="Q271" s="941"/>
      <c r="R271" s="1096">
        <v>24.950128517015678</v>
      </c>
      <c r="S271" s="941"/>
      <c r="T271" s="941"/>
      <c r="U271" s="941"/>
      <c r="V271" s="941"/>
      <c r="W271" s="941"/>
    </row>
    <row r="272" spans="1:23" ht="15" hidden="1" x14ac:dyDescent="0.25">
      <c r="A272" s="1100"/>
      <c r="B272" s="2071" t="s">
        <v>993</v>
      </c>
      <c r="C272" s="2072"/>
      <c r="D272" s="2073"/>
      <c r="E272" s="1313" t="s">
        <v>617</v>
      </c>
      <c r="F272" s="1320">
        <v>0.85687000000000002</v>
      </c>
      <c r="G272" s="1320">
        <v>0.85687000000000002</v>
      </c>
      <c r="H272" s="1321">
        <v>23.553017051772777</v>
      </c>
      <c r="I272" s="1322">
        <v>13.356761466456582</v>
      </c>
      <c r="J272" s="1322">
        <v>10.196255585316194</v>
      </c>
      <c r="K272" s="1323"/>
      <c r="L272" s="1323"/>
      <c r="M272" s="1322">
        <v>2.4900000000000002</v>
      </c>
      <c r="N272" s="1322">
        <v>0.82</v>
      </c>
      <c r="O272" s="1324">
        <v>23.553017051772777</v>
      </c>
      <c r="P272" s="1325">
        <v>23.55301705177278</v>
      </c>
      <c r="Q272" s="941"/>
      <c r="R272" s="1096">
        <v>10.866761466456582</v>
      </c>
      <c r="S272" s="941"/>
      <c r="T272" s="941"/>
      <c r="U272" s="941"/>
      <c r="V272" s="941"/>
      <c r="W272" s="941"/>
    </row>
    <row r="273" spans="1:23" ht="15" hidden="1" x14ac:dyDescent="0.25">
      <c r="A273" s="1100"/>
      <c r="B273" s="2071" t="s">
        <v>994</v>
      </c>
      <c r="C273" s="2072"/>
      <c r="D273" s="2073"/>
      <c r="E273" s="1313" t="s">
        <v>617</v>
      </c>
      <c r="F273" s="1320">
        <v>0.375</v>
      </c>
      <c r="G273" s="1320">
        <v>0.375</v>
      </c>
      <c r="H273" s="1321">
        <v>284.31189940057334</v>
      </c>
      <c r="I273" s="1322">
        <v>161.23141311456027</v>
      </c>
      <c r="J273" s="1322">
        <v>123.0804862860131</v>
      </c>
      <c r="K273" s="1323"/>
      <c r="L273" s="1323"/>
      <c r="M273" s="1322">
        <v>9.11</v>
      </c>
      <c r="N273" s="1322">
        <v>3</v>
      </c>
      <c r="O273" s="1324">
        <v>284.31189940057334</v>
      </c>
      <c r="P273" s="1325">
        <v>284.3118994005734</v>
      </c>
      <c r="Q273" s="941"/>
      <c r="R273" s="1096">
        <v>152.12141311456026</v>
      </c>
      <c r="S273" s="941"/>
      <c r="T273" s="941"/>
      <c r="U273" s="941"/>
      <c r="V273" s="941"/>
      <c r="W273" s="941"/>
    </row>
    <row r="274" spans="1:23" ht="13.9" hidden="1" customHeight="1" x14ac:dyDescent="0.25">
      <c r="A274" s="1100"/>
      <c r="B274" s="2071" t="s">
        <v>995</v>
      </c>
      <c r="C274" s="2072"/>
      <c r="D274" s="2073"/>
      <c r="E274" s="1313" t="s">
        <v>617</v>
      </c>
      <c r="F274" s="1320">
        <v>8.3949999999999996</v>
      </c>
      <c r="G274" s="1320">
        <v>8.3949999999999996</v>
      </c>
      <c r="H274" s="1321">
        <v>29.340470680218921</v>
      </c>
      <c r="I274" s="1322">
        <v>16.638788454481691</v>
      </c>
      <c r="J274" s="1322">
        <v>12.701682225737231</v>
      </c>
      <c r="K274" s="1323"/>
      <c r="L274" s="1323"/>
      <c r="M274" s="1322">
        <v>1.81</v>
      </c>
      <c r="N274" s="1322">
        <v>0.59</v>
      </c>
      <c r="O274" s="1324">
        <v>29.340470680218921</v>
      </c>
      <c r="P274" s="1325">
        <v>29.340470680218925</v>
      </c>
      <c r="Q274" s="941"/>
      <c r="R274" s="1096">
        <v>14.828788454481691</v>
      </c>
      <c r="S274" s="941"/>
      <c r="T274" s="941"/>
      <c r="U274" s="941"/>
      <c r="V274" s="941"/>
      <c r="W274" s="941"/>
    </row>
    <row r="275" spans="1:23" ht="15" hidden="1" x14ac:dyDescent="0.25">
      <c r="A275" s="1100"/>
      <c r="B275" s="2054" t="s">
        <v>996</v>
      </c>
      <c r="C275" s="2055"/>
      <c r="D275" s="2056"/>
      <c r="E275" s="1313" t="s">
        <v>617</v>
      </c>
      <c r="F275" s="1333">
        <v>137.95314999999999</v>
      </c>
      <c r="G275" s="1333">
        <v>137.95314999999999</v>
      </c>
      <c r="H275" s="1315">
        <v>732.76179912437919</v>
      </c>
      <c r="I275" s="1134">
        <v>399.70517308499274</v>
      </c>
      <c r="J275" s="1134">
        <v>305.12606770605316</v>
      </c>
      <c r="K275" s="1134">
        <v>27.930558333333295</v>
      </c>
      <c r="L275" s="1134"/>
      <c r="M275" s="1134">
        <v>51.83</v>
      </c>
      <c r="N275" s="1134">
        <v>17.074999999999999</v>
      </c>
      <c r="O275" s="954"/>
      <c r="P275" s="1319">
        <v>732.76179912437919</v>
      </c>
      <c r="Q275" s="941"/>
      <c r="R275" s="1096">
        <v>347.87517308499275</v>
      </c>
      <c r="S275" s="941"/>
      <c r="T275" s="941"/>
      <c r="U275" s="941"/>
      <c r="V275" s="941"/>
      <c r="W275" s="941"/>
    </row>
    <row r="276" spans="1:23" ht="15" hidden="1" x14ac:dyDescent="0.25">
      <c r="A276" s="1100"/>
      <c r="B276" s="2071" t="s">
        <v>997</v>
      </c>
      <c r="C276" s="2072"/>
      <c r="D276" s="2073"/>
      <c r="E276" s="1313" t="s">
        <v>617</v>
      </c>
      <c r="F276" s="1320">
        <v>5.5939699999999997</v>
      </c>
      <c r="G276" s="1320">
        <v>5.5939699999999997</v>
      </c>
      <c r="H276" s="1321">
        <v>2.2557999999999989</v>
      </c>
      <c r="I276" s="1322">
        <v>1.2792493823531164</v>
      </c>
      <c r="J276" s="1322">
        <v>0.97655061764688234</v>
      </c>
      <c r="K276" s="1331"/>
      <c r="L276" s="1331"/>
      <c r="M276" s="1490">
        <v>0</v>
      </c>
      <c r="N276" s="1490">
        <v>0</v>
      </c>
      <c r="O276" s="1332"/>
      <c r="P276" s="1325">
        <v>2.2557999999999989</v>
      </c>
      <c r="Q276" s="941"/>
      <c r="R276" s="1096">
        <v>1.2792493823531164</v>
      </c>
      <c r="S276" s="941"/>
      <c r="T276" s="941"/>
      <c r="U276" s="941"/>
      <c r="V276" s="941"/>
      <c r="W276" s="941"/>
    </row>
    <row r="277" spans="1:23" ht="15" hidden="1" x14ac:dyDescent="0.25">
      <c r="A277" s="1100"/>
      <c r="B277" s="2071" t="s">
        <v>998</v>
      </c>
      <c r="C277" s="2072"/>
      <c r="D277" s="2073"/>
      <c r="E277" s="1313" t="s">
        <v>617</v>
      </c>
      <c r="F277" s="1320">
        <v>44.275999999999996</v>
      </c>
      <c r="G277" s="1320">
        <v>44.275999999999996</v>
      </c>
      <c r="H277" s="1321">
        <v>328.69579412437912</v>
      </c>
      <c r="I277" s="1322">
        <v>186.40122866197328</v>
      </c>
      <c r="J277" s="1322">
        <v>142.29456546240584</v>
      </c>
      <c r="K277" s="1323">
        <v>0</v>
      </c>
      <c r="L277" s="1331"/>
      <c r="M277" s="1322">
        <v>33.22</v>
      </c>
      <c r="N277" s="1322">
        <v>10.94</v>
      </c>
      <c r="O277" s="1332"/>
      <c r="P277" s="1325">
        <v>328.69579412437918</v>
      </c>
      <c r="Q277" s="941"/>
      <c r="R277" s="1096">
        <v>153.18122866197328</v>
      </c>
      <c r="S277" s="941"/>
      <c r="T277" s="941"/>
      <c r="U277" s="941"/>
      <c r="V277" s="941"/>
      <c r="W277" s="941"/>
    </row>
    <row r="278" spans="1:23" ht="15" hidden="1" x14ac:dyDescent="0.25">
      <c r="A278" s="1100"/>
      <c r="B278" s="2071" t="s">
        <v>999</v>
      </c>
      <c r="C278" s="2072"/>
      <c r="D278" s="2073"/>
      <c r="E278" s="1313" t="s">
        <v>617</v>
      </c>
      <c r="F278" s="1320">
        <v>88.083180000000013</v>
      </c>
      <c r="G278" s="1320">
        <v>88.083180000000013</v>
      </c>
      <c r="H278" s="1321">
        <v>401.81020500000005</v>
      </c>
      <c r="I278" s="1322">
        <v>212.0246950406663</v>
      </c>
      <c r="J278" s="1322">
        <v>161.85495162600043</v>
      </c>
      <c r="K278" s="1323">
        <v>27.930558333333295</v>
      </c>
      <c r="L278" s="1323"/>
      <c r="M278" s="1322">
        <v>18.61</v>
      </c>
      <c r="N278" s="1322">
        <v>6.1349999999999998</v>
      </c>
      <c r="O278" s="1324"/>
      <c r="P278" s="1325">
        <v>401.81020500000005</v>
      </c>
      <c r="Q278" s="941"/>
      <c r="R278" s="1096">
        <v>193.41469504066629</v>
      </c>
      <c r="S278" s="941"/>
      <c r="T278" s="941"/>
      <c r="U278" s="941"/>
      <c r="V278" s="941"/>
      <c r="W278" s="941"/>
    </row>
    <row r="279" spans="1:23" ht="15" hidden="1" x14ac:dyDescent="0.25">
      <c r="A279" s="1100"/>
      <c r="B279" s="2054" t="s">
        <v>1000</v>
      </c>
      <c r="C279" s="2055"/>
      <c r="D279" s="2056"/>
      <c r="E279" s="1313" t="s">
        <v>617</v>
      </c>
      <c r="F279" s="1314"/>
      <c r="G279" s="1314"/>
      <c r="H279" s="1315">
        <v>38.840600666666667</v>
      </c>
      <c r="I279" s="1134">
        <v>22.02624985063277</v>
      </c>
      <c r="J279" s="1134">
        <v>16.814350816033897</v>
      </c>
      <c r="K279" s="1134">
        <v>0</v>
      </c>
      <c r="L279" s="1134"/>
      <c r="M279" s="1134"/>
      <c r="N279" s="1134"/>
      <c r="O279" s="954"/>
      <c r="P279" s="1319">
        <v>38.840600666666674</v>
      </c>
      <c r="Q279" s="941"/>
      <c r="R279" s="1096">
        <v>22.02624985063277</v>
      </c>
      <c r="S279" s="941"/>
      <c r="T279" s="941"/>
      <c r="U279" s="941"/>
      <c r="V279" s="941"/>
      <c r="W279" s="941"/>
    </row>
    <row r="280" spans="1:23" ht="15" hidden="1" x14ac:dyDescent="0.25">
      <c r="A280" s="1100"/>
      <c r="B280" s="2054" t="s">
        <v>952</v>
      </c>
      <c r="C280" s="2055"/>
      <c r="D280" s="2056"/>
      <c r="E280" s="1313" t="s">
        <v>617</v>
      </c>
      <c r="F280" s="1314">
        <v>5.2560000000000002</v>
      </c>
      <c r="G280" s="1314">
        <v>5.2560000000000002</v>
      </c>
      <c r="H280" s="1315">
        <v>0</v>
      </c>
      <c r="I280" s="1134">
        <v>0</v>
      </c>
      <c r="J280" s="1134">
        <v>0</v>
      </c>
      <c r="K280" s="1134">
        <v>0</v>
      </c>
      <c r="L280" s="1134"/>
      <c r="M280" s="1134">
        <v>3.29</v>
      </c>
      <c r="N280" s="1134">
        <v>1.0900000000000001</v>
      </c>
      <c r="O280" s="954"/>
      <c r="P280" s="1319">
        <v>0</v>
      </c>
      <c r="Q280" s="941"/>
      <c r="R280" s="1096">
        <v>-3.29</v>
      </c>
      <c r="S280" s="941"/>
      <c r="T280" s="941"/>
      <c r="U280" s="941"/>
      <c r="V280" s="941"/>
      <c r="W280" s="941"/>
    </row>
    <row r="281" spans="1:23" s="1334" customFormat="1" ht="15" hidden="1" x14ac:dyDescent="0.25">
      <c r="A281" s="1100"/>
      <c r="B281" s="2054" t="s">
        <v>1001</v>
      </c>
      <c r="C281" s="2055"/>
      <c r="D281" s="2056"/>
      <c r="E281" s="1313" t="s">
        <v>617</v>
      </c>
      <c r="F281" s="1314">
        <v>0.46740000000000004</v>
      </c>
      <c r="G281" s="1314">
        <v>0.46740000000000004</v>
      </c>
      <c r="H281" s="1315">
        <v>2.8734117599999998</v>
      </c>
      <c r="I281" s="1134">
        <v>1.6294929600257924</v>
      </c>
      <c r="J281" s="1134">
        <v>1.2439187999742072</v>
      </c>
      <c r="K281" s="1134">
        <v>0</v>
      </c>
      <c r="L281" s="1134"/>
      <c r="M281" s="1134">
        <v>0.74</v>
      </c>
      <c r="N281" s="1134">
        <v>0.24</v>
      </c>
      <c r="O281" s="954"/>
      <c r="P281" s="1319">
        <v>2.8734117599999998</v>
      </c>
      <c r="R281" s="1096">
        <v>0.88949296002579237</v>
      </c>
    </row>
    <row r="282" spans="1:23" s="1334" customFormat="1" ht="15" hidden="1" x14ac:dyDescent="0.25">
      <c r="A282" s="1100"/>
      <c r="B282" s="2054" t="s">
        <v>1002</v>
      </c>
      <c r="C282" s="2055"/>
      <c r="D282" s="2056"/>
      <c r="E282" s="1313" t="s">
        <v>617</v>
      </c>
      <c r="F282" s="1314">
        <v>0.35</v>
      </c>
      <c r="G282" s="1314">
        <v>0.35</v>
      </c>
      <c r="H282" s="1315">
        <v>1.4</v>
      </c>
      <c r="I282" s="1134">
        <v>0.79393081624894213</v>
      </c>
      <c r="J282" s="1134">
        <v>0.60606918375105767</v>
      </c>
      <c r="K282" s="1134"/>
      <c r="L282" s="1134"/>
      <c r="M282" s="1134">
        <v>0</v>
      </c>
      <c r="N282" s="1134">
        <v>0</v>
      </c>
      <c r="O282" s="954"/>
      <c r="P282" s="1319">
        <v>1.4</v>
      </c>
      <c r="R282" s="1096">
        <v>0.79393081624894213</v>
      </c>
    </row>
    <row r="283" spans="1:23" s="1334" customFormat="1" ht="15" hidden="1" x14ac:dyDescent="0.25">
      <c r="A283" s="1100"/>
      <c r="B283" s="2054" t="s">
        <v>1003</v>
      </c>
      <c r="C283" s="2055"/>
      <c r="D283" s="2056"/>
      <c r="E283" s="1313" t="s">
        <v>617</v>
      </c>
      <c r="F283" s="1314">
        <v>10.020849999999998</v>
      </c>
      <c r="G283" s="1314">
        <v>10.020849999999998</v>
      </c>
      <c r="H283" s="1315">
        <v>3.1929927999999999</v>
      </c>
      <c r="I283" s="1134">
        <v>1.8107252714149968</v>
      </c>
      <c r="J283" s="1134">
        <v>1.3822675285850032</v>
      </c>
      <c r="K283" s="1134"/>
      <c r="L283" s="1134"/>
      <c r="M283" s="1134">
        <v>0</v>
      </c>
      <c r="N283" s="1134">
        <v>0</v>
      </c>
      <c r="O283" s="954"/>
      <c r="P283" s="1319">
        <v>3.1929928000000003</v>
      </c>
      <c r="R283" s="1096">
        <v>1.8107252714149968</v>
      </c>
    </row>
    <row r="284" spans="1:23" s="1334" customFormat="1" ht="15" hidden="1" x14ac:dyDescent="0.25">
      <c r="A284" s="1100"/>
      <c r="B284" s="2054" t="s">
        <v>1004</v>
      </c>
      <c r="C284" s="2055"/>
      <c r="D284" s="2056"/>
      <c r="E284" s="1313" t="s">
        <v>617</v>
      </c>
      <c r="F284" s="1314">
        <v>4.0449999999999999</v>
      </c>
      <c r="G284" s="1314">
        <v>4.0449999999999999</v>
      </c>
      <c r="H284" s="1315">
        <v>22.779999999999998</v>
      </c>
      <c r="I284" s="1134">
        <v>12.918388567250645</v>
      </c>
      <c r="J284" s="1134">
        <v>9.8616114327493527</v>
      </c>
      <c r="K284" s="1134"/>
      <c r="L284" s="1134"/>
      <c r="M284" s="1134">
        <v>0</v>
      </c>
      <c r="N284" s="1134">
        <v>0</v>
      </c>
      <c r="O284" s="954"/>
      <c r="P284" s="1319">
        <v>22.78</v>
      </c>
      <c r="R284" s="1096">
        <v>12.918388567250645</v>
      </c>
    </row>
    <row r="285" spans="1:23" s="1334" customFormat="1" ht="15" hidden="1" x14ac:dyDescent="0.25">
      <c r="A285" s="1100"/>
      <c r="B285" s="2054" t="s">
        <v>1005</v>
      </c>
      <c r="C285" s="2055"/>
      <c r="D285" s="2056"/>
      <c r="E285" s="1313" t="s">
        <v>617</v>
      </c>
      <c r="F285" s="1314"/>
      <c r="G285" s="1314"/>
      <c r="H285" s="1315">
        <v>0</v>
      </c>
      <c r="I285" s="1134">
        <v>0</v>
      </c>
      <c r="J285" s="1134">
        <v>0</v>
      </c>
      <c r="K285" s="1134"/>
      <c r="L285" s="1134"/>
      <c r="M285" s="1134">
        <v>16.920000000000002</v>
      </c>
      <c r="N285" s="1134">
        <v>5.58</v>
      </c>
      <c r="O285" s="954"/>
      <c r="P285" s="1319">
        <v>0</v>
      </c>
      <c r="R285" s="1096">
        <v>-16.920000000000002</v>
      </c>
    </row>
    <row r="286" spans="1:23" hidden="1" x14ac:dyDescent="0.2">
      <c r="A286" s="1105"/>
      <c r="B286" s="2054"/>
      <c r="C286" s="2055"/>
      <c r="D286" s="2056"/>
      <c r="E286" s="1313" t="s">
        <v>617</v>
      </c>
      <c r="F286" s="1320"/>
      <c r="G286" s="1320"/>
      <c r="H286" s="1335"/>
      <c r="I286" s="1336"/>
      <c r="J286" s="1336"/>
      <c r="K286" s="1336"/>
      <c r="L286" s="1336"/>
      <c r="M286" s="1336"/>
      <c r="N286" s="1336"/>
      <c r="O286" s="1096"/>
      <c r="P286" s="1302"/>
      <c r="Q286" s="941"/>
      <c r="R286" s="1096">
        <v>0</v>
      </c>
      <c r="S286" s="941"/>
      <c r="T286" s="941"/>
      <c r="U286" s="941"/>
      <c r="V286" s="941"/>
      <c r="W286" s="941"/>
    </row>
    <row r="287" spans="1:23" hidden="1" x14ac:dyDescent="0.2">
      <c r="A287" s="1105"/>
      <c r="B287" s="2054" t="s">
        <v>963</v>
      </c>
      <c r="C287" s="2055"/>
      <c r="D287" s="2056"/>
      <c r="E287" s="1313" t="s">
        <v>617</v>
      </c>
      <c r="F287" s="1333">
        <v>746.39549999999997</v>
      </c>
      <c r="G287" s="1333">
        <v>746.39549999999997</v>
      </c>
      <c r="H287" s="1315">
        <v>12350.776585013708</v>
      </c>
      <c r="I287" s="1134">
        <v>6988.2051460517032</v>
      </c>
      <c r="J287" s="1134">
        <v>5334.6408806286709</v>
      </c>
      <c r="K287" s="1316">
        <v>27.930558333333295</v>
      </c>
      <c r="L287" s="1316"/>
      <c r="M287" s="1134">
        <v>621.80430567736869</v>
      </c>
      <c r="N287" s="1134">
        <v>217.58462996135131</v>
      </c>
      <c r="O287" s="1318"/>
      <c r="P287" s="1319">
        <v>12350.776585013709</v>
      </c>
      <c r="Q287" s="941"/>
      <c r="R287" s="1096">
        <v>6366.4008403743346</v>
      </c>
      <c r="S287" s="941"/>
      <c r="T287" s="941"/>
      <c r="U287" s="941"/>
      <c r="V287" s="941"/>
      <c r="W287" s="941"/>
    </row>
    <row r="288" spans="1:23" ht="15.75" hidden="1" customHeight="1" x14ac:dyDescent="0.3">
      <c r="D288" s="1097"/>
      <c r="H288" s="1096">
        <v>12350.776585013708</v>
      </c>
      <c r="I288" s="1096">
        <v>6988.2051460517032</v>
      </c>
      <c r="J288" s="1096">
        <v>5334.6408806286709</v>
      </c>
      <c r="K288" s="1096">
        <v>27.930558333333295</v>
      </c>
      <c r="L288" s="1096"/>
      <c r="M288" s="1338">
        <v>22284.927510533849</v>
      </c>
      <c r="N288" s="1096"/>
      <c r="O288" s="1096"/>
      <c r="P288" s="1118"/>
      <c r="Q288" s="1339"/>
      <c r="R288" s="1096"/>
      <c r="S288" s="1096">
        <v>12322.846026680374</v>
      </c>
      <c r="T288" s="1096"/>
      <c r="U288" s="1096"/>
      <c r="V288" s="1096"/>
      <c r="W288" s="941"/>
    </row>
    <row r="289" spans="2:26" ht="15.75" hidden="1" customHeight="1" x14ac:dyDescent="0.3">
      <c r="D289" s="1097"/>
      <c r="H289" s="1096">
        <v>1421.6185121329513</v>
      </c>
      <c r="I289" s="1096">
        <v>806.19053266594346</v>
      </c>
      <c r="J289" s="1096">
        <v>615.42797946700784</v>
      </c>
      <c r="K289" s="1096">
        <v>0</v>
      </c>
      <c r="L289" s="1096"/>
      <c r="M289" s="1338"/>
      <c r="N289" s="1096"/>
      <c r="O289" s="1096"/>
      <c r="P289" s="1118"/>
      <c r="Q289" s="1339"/>
      <c r="R289" s="1096"/>
      <c r="S289" s="1096"/>
      <c r="T289" s="1096"/>
      <c r="U289" s="1096"/>
      <c r="V289" s="1096"/>
      <c r="W289" s="941"/>
    </row>
    <row r="290" spans="2:26" hidden="1" x14ac:dyDescent="0.2">
      <c r="D290" s="1340"/>
      <c r="E290" s="941"/>
      <c r="F290" s="941"/>
      <c r="G290" s="941"/>
      <c r="M290" s="1096">
        <v>0</v>
      </c>
      <c r="N290" s="941"/>
      <c r="O290" s="1096">
        <v>0</v>
      </c>
      <c r="P290" s="941"/>
      <c r="Q290" s="1096"/>
      <c r="R290" s="1341"/>
      <c r="S290" s="1096"/>
      <c r="T290" s="941"/>
      <c r="U290" s="941"/>
      <c r="V290" s="941"/>
      <c r="W290" s="941"/>
      <c r="Z290" s="1096"/>
    </row>
    <row r="291" spans="2:26" hidden="1" x14ac:dyDescent="0.2">
      <c r="D291" s="1340"/>
      <c r="E291" s="941"/>
      <c r="F291" s="941"/>
      <c r="G291" s="941"/>
      <c r="M291" s="1096">
        <v>12350.776585013708</v>
      </c>
      <c r="N291" s="941"/>
      <c r="O291" s="941"/>
      <c r="P291" s="941"/>
      <c r="Q291" s="1096">
        <v>-32.927035363141044</v>
      </c>
      <c r="R291" s="1096">
        <v>-32.414592346432272</v>
      </c>
      <c r="S291" s="941"/>
      <c r="T291" s="941"/>
      <c r="U291" s="948">
        <v>12322.846026680374</v>
      </c>
      <c r="V291" s="941"/>
      <c r="W291" s="941"/>
    </row>
    <row r="292" spans="2:26" hidden="1" x14ac:dyDescent="0.2">
      <c r="B292" s="148" t="s">
        <v>801</v>
      </c>
      <c r="C292" s="148"/>
      <c r="D292" s="148"/>
      <c r="E292" s="148"/>
      <c r="F292" s="148"/>
      <c r="G292" s="148"/>
      <c r="H292" s="564">
        <v>0</v>
      </c>
      <c r="I292" s="564"/>
      <c r="J292" s="1096">
        <v>12322.846026680374</v>
      </c>
      <c r="K292" s="148"/>
      <c r="L292" s="148"/>
      <c r="N292" s="1096"/>
      <c r="O292" s="941"/>
      <c r="P292" s="941"/>
      <c r="Q292" s="941"/>
      <c r="R292" s="148"/>
      <c r="S292" s="941"/>
      <c r="T292" s="941"/>
      <c r="U292" s="941"/>
      <c r="V292" s="941"/>
      <c r="W292" s="941"/>
    </row>
    <row r="293" spans="2:26" s="964" customFormat="1" ht="12" hidden="1" x14ac:dyDescent="0.2">
      <c r="E293" s="967"/>
      <c r="F293" s="967"/>
      <c r="G293" s="967"/>
      <c r="N293" s="966"/>
      <c r="O293" s="990"/>
      <c r="P293" s="966"/>
      <c r="Q293" s="966"/>
      <c r="R293" s="966"/>
      <c r="S293" s="966"/>
      <c r="T293" s="966"/>
      <c r="U293" s="966"/>
      <c r="V293" s="966"/>
      <c r="W293" s="966"/>
    </row>
    <row r="294" spans="2:26" s="964" customFormat="1" ht="12" hidden="1" x14ac:dyDescent="0.2">
      <c r="E294" s="967"/>
      <c r="F294" s="967"/>
      <c r="G294" s="967"/>
      <c r="N294" s="966"/>
      <c r="O294" s="990"/>
      <c r="P294" s="966"/>
      <c r="Q294" s="966"/>
      <c r="R294" s="966"/>
      <c r="S294" s="966"/>
      <c r="T294" s="966"/>
      <c r="U294" s="966"/>
      <c r="V294" s="966"/>
      <c r="W294" s="966"/>
    </row>
    <row r="295" spans="2:26" s="964" customFormat="1" ht="12" hidden="1" x14ac:dyDescent="0.2">
      <c r="E295" s="967"/>
      <c r="F295" s="967"/>
      <c r="G295" s="967"/>
      <c r="N295" s="966"/>
      <c r="O295" s="990"/>
      <c r="P295" s="966"/>
      <c r="Q295" s="966"/>
      <c r="R295" s="966"/>
      <c r="S295" s="966"/>
      <c r="T295" s="966"/>
      <c r="U295" s="966"/>
      <c r="V295" s="966"/>
      <c r="W295" s="966"/>
    </row>
    <row r="296" spans="2:26" s="964" customFormat="1" ht="12" hidden="1" x14ac:dyDescent="0.2">
      <c r="E296" s="967"/>
      <c r="F296" s="967"/>
      <c r="G296" s="967"/>
      <c r="N296" s="966"/>
      <c r="O296" s="990"/>
      <c r="P296" s="966"/>
      <c r="Q296" s="966"/>
      <c r="R296" s="966"/>
      <c r="S296" s="966"/>
      <c r="T296" s="966"/>
      <c r="U296" s="966"/>
      <c r="V296" s="966"/>
      <c r="W296" s="966"/>
    </row>
    <row r="297" spans="2:26" s="964" customFormat="1" ht="12" hidden="1" x14ac:dyDescent="0.2">
      <c r="E297" s="967"/>
      <c r="F297" s="967"/>
      <c r="G297" s="967"/>
      <c r="N297" s="966"/>
      <c r="O297" s="990"/>
      <c r="P297" s="966"/>
      <c r="Q297" s="966"/>
      <c r="R297" s="966"/>
      <c r="S297" s="966"/>
      <c r="T297" s="966"/>
      <c r="U297" s="966"/>
      <c r="V297" s="966"/>
      <c r="W297" s="966"/>
    </row>
    <row r="298" spans="2:26" s="964" customFormat="1" ht="12" hidden="1" x14ac:dyDescent="0.2">
      <c r="E298" s="967"/>
      <c r="F298" s="967"/>
      <c r="G298" s="967"/>
      <c r="N298" s="966"/>
      <c r="O298" s="990"/>
      <c r="P298" s="966"/>
      <c r="Q298" s="966"/>
      <c r="R298" s="966"/>
      <c r="S298" s="966"/>
      <c r="T298" s="966"/>
      <c r="U298" s="966"/>
      <c r="V298" s="966"/>
      <c r="W298" s="966"/>
    </row>
    <row r="299" spans="2:26" s="964" customFormat="1" ht="12" hidden="1" x14ac:dyDescent="0.2">
      <c r="E299" s="967"/>
      <c r="F299" s="967"/>
      <c r="G299" s="967"/>
      <c r="N299" s="966"/>
      <c r="O299" s="990"/>
      <c r="P299" s="966"/>
      <c r="Q299" s="966"/>
      <c r="R299" s="966"/>
      <c r="S299" s="966"/>
      <c r="T299" s="966"/>
      <c r="U299" s="966"/>
      <c r="V299" s="966"/>
      <c r="W299" s="966"/>
    </row>
    <row r="300" spans="2:26" s="964" customFormat="1" ht="12" hidden="1" x14ac:dyDescent="0.2">
      <c r="E300" s="967"/>
      <c r="F300" s="967"/>
      <c r="G300" s="967"/>
      <c r="N300" s="966"/>
      <c r="O300" s="990"/>
      <c r="P300" s="966"/>
      <c r="Q300" s="966"/>
      <c r="R300" s="966"/>
      <c r="S300" s="966"/>
      <c r="T300" s="966"/>
      <c r="U300" s="966"/>
      <c r="V300" s="966"/>
      <c r="W300" s="966"/>
    </row>
    <row r="301" spans="2:26" s="964" customFormat="1" ht="12" hidden="1" x14ac:dyDescent="0.2">
      <c r="E301" s="967"/>
      <c r="F301" s="967"/>
      <c r="G301" s="967"/>
      <c r="N301" s="966"/>
      <c r="O301" s="990"/>
      <c r="P301" s="966"/>
      <c r="Q301" s="966"/>
      <c r="R301" s="966"/>
      <c r="S301" s="966"/>
      <c r="T301" s="966"/>
      <c r="U301" s="966"/>
      <c r="V301" s="966"/>
      <c r="W301" s="966"/>
    </row>
    <row r="302" spans="2:26" s="964" customFormat="1" ht="12" hidden="1" x14ac:dyDescent="0.2">
      <c r="E302" s="967"/>
      <c r="F302" s="967"/>
      <c r="G302" s="967"/>
      <c r="N302" s="966"/>
      <c r="O302" s="990"/>
      <c r="P302" s="966"/>
      <c r="Q302" s="966"/>
      <c r="R302" s="966"/>
      <c r="S302" s="966"/>
      <c r="T302" s="966"/>
      <c r="U302" s="966"/>
      <c r="V302" s="966"/>
      <c r="W302" s="966"/>
    </row>
    <row r="303" spans="2:26" s="964" customFormat="1" ht="12" hidden="1" x14ac:dyDescent="0.2">
      <c r="E303" s="967"/>
      <c r="F303" s="967"/>
      <c r="G303" s="967"/>
      <c r="N303" s="966"/>
      <c r="O303" s="990"/>
      <c r="P303" s="966"/>
      <c r="Q303" s="966"/>
      <c r="R303" s="966"/>
      <c r="S303" s="966"/>
      <c r="T303" s="966"/>
      <c r="U303" s="966"/>
      <c r="V303" s="966"/>
      <c r="W303" s="966"/>
    </row>
    <row r="304" spans="2:26" s="964" customFormat="1" ht="12" hidden="1" x14ac:dyDescent="0.2">
      <c r="E304" s="967"/>
      <c r="F304" s="967"/>
      <c r="G304" s="967"/>
      <c r="N304" s="966"/>
      <c r="O304" s="990"/>
      <c r="P304" s="966"/>
      <c r="Q304" s="966"/>
      <c r="R304" s="966"/>
      <c r="S304" s="966"/>
      <c r="T304" s="966"/>
      <c r="U304" s="966"/>
      <c r="V304" s="966"/>
      <c r="W304" s="966"/>
    </row>
    <row r="305" spans="5:23" s="964" customFormat="1" ht="12" x14ac:dyDescent="0.2">
      <c r="E305" s="967"/>
      <c r="F305" s="967"/>
      <c r="G305" s="967"/>
      <c r="N305" s="966"/>
      <c r="O305" s="990"/>
      <c r="P305" s="966"/>
      <c r="Q305" s="966"/>
      <c r="R305" s="966"/>
      <c r="S305" s="966"/>
      <c r="T305" s="966"/>
      <c r="U305" s="966"/>
      <c r="V305" s="966"/>
      <c r="W305" s="966"/>
    </row>
    <row r="306" spans="5:23" s="964" customFormat="1" ht="12" x14ac:dyDescent="0.2">
      <c r="E306" s="967"/>
      <c r="F306" s="967"/>
      <c r="G306" s="967"/>
      <c r="N306" s="966"/>
      <c r="O306" s="990"/>
      <c r="P306" s="966"/>
      <c r="Q306" s="966"/>
      <c r="R306" s="966"/>
      <c r="S306" s="966"/>
      <c r="T306" s="966"/>
      <c r="U306" s="966"/>
      <c r="V306" s="966"/>
      <c r="W306" s="966"/>
    </row>
  </sheetData>
  <mergeCells count="50">
    <mergeCell ref="B210:D210"/>
    <mergeCell ref="B189:D189"/>
    <mergeCell ref="B190:D190"/>
    <mergeCell ref="B193:D193"/>
    <mergeCell ref="B200:D200"/>
    <mergeCell ref="B208:D208"/>
    <mergeCell ref="B255:D255"/>
    <mergeCell ref="B244:D244"/>
    <mergeCell ref="M244:N244"/>
    <mergeCell ref="B246:D246"/>
    <mergeCell ref="B247:D247"/>
    <mergeCell ref="B248:D248"/>
    <mergeCell ref="B249:D249"/>
    <mergeCell ref="B250:D250"/>
    <mergeCell ref="B251:D251"/>
    <mergeCell ref="B252:D252"/>
    <mergeCell ref="B253:D253"/>
    <mergeCell ref="B254:D254"/>
    <mergeCell ref="B267:D267"/>
    <mergeCell ref="B256:D256"/>
    <mergeCell ref="B257:D257"/>
    <mergeCell ref="B258:D258"/>
    <mergeCell ref="B259:D259"/>
    <mergeCell ref="B260:D260"/>
    <mergeCell ref="B261:D261"/>
    <mergeCell ref="B262:D262"/>
    <mergeCell ref="B263:D263"/>
    <mergeCell ref="B264:D264"/>
    <mergeCell ref="B265:D265"/>
    <mergeCell ref="B266:D266"/>
    <mergeCell ref="B279:D279"/>
    <mergeCell ref="B268:D268"/>
    <mergeCell ref="B269:D269"/>
    <mergeCell ref="B270:D270"/>
    <mergeCell ref="B271:D271"/>
    <mergeCell ref="B272:D272"/>
    <mergeCell ref="B273:D273"/>
    <mergeCell ref="B274:D274"/>
    <mergeCell ref="B275:D275"/>
    <mergeCell ref="B276:D276"/>
    <mergeCell ref="B277:D277"/>
    <mergeCell ref="B278:D278"/>
    <mergeCell ref="B286:D286"/>
    <mergeCell ref="B287:D287"/>
    <mergeCell ref="B280:D280"/>
    <mergeCell ref="B281:D281"/>
    <mergeCell ref="B282:D282"/>
    <mergeCell ref="B283:D283"/>
    <mergeCell ref="B284:D284"/>
    <mergeCell ref="B285:D285"/>
  </mergeCell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47"/>
  <sheetViews>
    <sheetView view="pageBreakPreview" topLeftCell="A3" zoomScale="84" zoomScaleNormal="100" zoomScaleSheetLayoutView="84" workbookViewId="0">
      <selection activeCell="V23" sqref="V23"/>
    </sheetView>
  </sheetViews>
  <sheetFormatPr defaultColWidth="9.140625" defaultRowHeight="12.75" x14ac:dyDescent="0.2"/>
  <cols>
    <col min="1" max="1" width="4.85546875" style="148" customWidth="1"/>
    <col min="2" max="2" width="35.140625" style="148" customWidth="1"/>
    <col min="3" max="3" width="7.7109375" style="148" customWidth="1"/>
    <col min="4" max="4" width="8.85546875" style="148" customWidth="1"/>
    <col min="5" max="5" width="8.28515625" style="148" customWidth="1"/>
    <col min="6" max="6" width="9.85546875" style="148" customWidth="1"/>
    <col min="7" max="7" width="8.7109375" style="148" customWidth="1"/>
    <col min="8" max="8" width="8.28515625" style="148" customWidth="1"/>
    <col min="9" max="9" width="10.7109375" style="148" customWidth="1"/>
    <col min="10" max="10" width="10.7109375" style="148" hidden="1" customWidth="1"/>
    <col min="11" max="11" width="9" style="148" hidden="1" customWidth="1"/>
    <col min="12" max="12" width="8.28515625" style="148" hidden="1" customWidth="1"/>
    <col min="13" max="13" width="29.42578125" style="148" customWidth="1"/>
    <col min="14" max="14" width="8.5703125" style="148" hidden="1" customWidth="1"/>
    <col min="15" max="15" width="9.140625" style="148" hidden="1" customWidth="1"/>
    <col min="16" max="16" width="14" style="148" hidden="1" customWidth="1"/>
    <col min="17" max="17" width="9.140625" style="148" hidden="1" customWidth="1"/>
    <col min="18" max="20" width="0" style="148" hidden="1" customWidth="1"/>
    <col min="21" max="16384" width="9.140625" style="148"/>
  </cols>
  <sheetData>
    <row r="1" spans="1:19" hidden="1" x14ac:dyDescent="0.2"/>
    <row r="2" spans="1:19" hidden="1" x14ac:dyDescent="0.2"/>
    <row r="3" spans="1:19" ht="18.75" x14ac:dyDescent="0.3">
      <c r="B3" s="522" t="s">
        <v>97</v>
      </c>
      <c r="E3" s="522"/>
      <c r="F3" s="522"/>
      <c r="H3" s="4"/>
      <c r="I3" s="825" t="s">
        <v>1006</v>
      </c>
    </row>
    <row r="4" spans="1:19" ht="33" customHeight="1" x14ac:dyDescent="0.3">
      <c r="B4" s="522"/>
      <c r="F4" s="522"/>
      <c r="H4" s="4"/>
      <c r="I4" s="1342" t="s">
        <v>1007</v>
      </c>
      <c r="J4" s="1342" t="s">
        <v>1008</v>
      </c>
      <c r="K4" s="1342" t="s">
        <v>1009</v>
      </c>
      <c r="L4" s="1342" t="s">
        <v>1010</v>
      </c>
      <c r="O4" s="1343"/>
    </row>
    <row r="5" spans="1:19" s="680" customFormat="1" x14ac:dyDescent="0.2">
      <c r="A5" s="680">
        <v>1</v>
      </c>
      <c r="B5" s="680" t="s">
        <v>821</v>
      </c>
      <c r="C5" s="1344"/>
      <c r="D5" s="1345"/>
      <c r="E5" s="1345"/>
      <c r="F5" s="1345"/>
      <c r="G5" s="1345"/>
      <c r="H5" s="1345"/>
      <c r="I5" s="1346">
        <f>[3]ФОТ!$BC$697/1000</f>
        <v>8039.002559999999</v>
      </c>
      <c r="J5" s="1346">
        <f>[11]ВОП!BH74/1000</f>
        <v>8039.002559999999</v>
      </c>
      <c r="K5" s="1346"/>
      <c r="L5" s="1346">
        <f>I5-J5</f>
        <v>0</v>
      </c>
      <c r="M5" s="680" t="s">
        <v>617</v>
      </c>
      <c r="N5" s="1283">
        <f>L5+J5</f>
        <v>8039.002559999999</v>
      </c>
      <c r="O5" s="564">
        <f>N5-I5</f>
        <v>0</v>
      </c>
      <c r="R5" s="1001" t="s">
        <v>822</v>
      </c>
    </row>
    <row r="6" spans="1:19" s="680" customFormat="1" ht="13.5" customHeight="1" x14ac:dyDescent="0.2">
      <c r="A6" s="680">
        <v>2</v>
      </c>
      <c r="B6" s="680" t="s">
        <v>1011</v>
      </c>
      <c r="C6" s="1344"/>
      <c r="D6" s="1345"/>
      <c r="E6" s="1345"/>
      <c r="F6" s="1345"/>
      <c r="G6" s="1345"/>
      <c r="H6" s="1345"/>
      <c r="I6" s="1346">
        <f>I5*22%</f>
        <v>1768.5805631999997</v>
      </c>
      <c r="J6" s="1346">
        <f>J5*22%</f>
        <v>1768.5805631999997</v>
      </c>
      <c r="K6" s="1346"/>
      <c r="L6" s="1346">
        <f>I6-J6</f>
        <v>0</v>
      </c>
      <c r="M6" s="680" t="s">
        <v>617</v>
      </c>
      <c r="N6" s="1283">
        <f t="shared" ref="N6:N40" si="0">L6+J6</f>
        <v>1768.5805631999997</v>
      </c>
      <c r="O6" s="680">
        <v>0.19929819647386518</v>
      </c>
      <c r="P6" s="1347"/>
      <c r="R6" s="1001" t="s">
        <v>823</v>
      </c>
    </row>
    <row r="7" spans="1:19" s="680" customFormat="1" ht="13.5" customHeight="1" x14ac:dyDescent="0.2">
      <c r="A7" s="680">
        <v>3</v>
      </c>
      <c r="B7" s="680" t="s">
        <v>1012</v>
      </c>
      <c r="C7" s="1065"/>
      <c r="D7" s="1344"/>
      <c r="E7" s="1344"/>
      <c r="F7" s="1344"/>
      <c r="G7" s="1344"/>
      <c r="H7" s="1348"/>
      <c r="I7" s="1349">
        <f>[11]Аморт!E46/1000</f>
        <v>535.66692000000012</v>
      </c>
      <c r="J7" s="1346">
        <f>I7</f>
        <v>535.66692000000012</v>
      </c>
      <c r="K7" s="1346"/>
      <c r="L7" s="1346">
        <f>I7-J7</f>
        <v>0</v>
      </c>
      <c r="M7" s="680" t="s">
        <v>617</v>
      </c>
      <c r="N7" s="1283">
        <f t="shared" si="0"/>
        <v>535.66692000000012</v>
      </c>
      <c r="P7" s="1347"/>
      <c r="R7" s="1001" t="s">
        <v>819</v>
      </c>
    </row>
    <row r="8" spans="1:19" s="680" customFormat="1" ht="13.5" customHeight="1" x14ac:dyDescent="0.2">
      <c r="A8" s="120">
        <v>4</v>
      </c>
      <c r="B8" s="120" t="s">
        <v>972</v>
      </c>
      <c r="C8" s="1065"/>
      <c r="D8" s="575">
        <f>([11]дох!C5+[11]дох!C14)*1000</f>
        <v>53342764.83998999</v>
      </c>
      <c r="E8" s="575">
        <f>([11]дох!C25)*1000</f>
        <v>6584389.9199999999</v>
      </c>
      <c r="F8" s="575"/>
      <c r="G8" s="1350">
        <f>SUM(D8:F8)</f>
        <v>59927154.759989992</v>
      </c>
      <c r="H8" s="1348"/>
      <c r="I8" s="1351">
        <f>SUM(I9:I25)</f>
        <v>591.83730209199291</v>
      </c>
      <c r="J8" s="1346"/>
      <c r="K8" s="1346"/>
      <c r="L8" s="1346"/>
      <c r="N8" s="1283"/>
      <c r="P8" s="1347"/>
      <c r="R8" s="1001"/>
    </row>
    <row r="9" spans="1:19" s="680" customFormat="1" ht="13.5" customHeight="1" x14ac:dyDescent="0.2">
      <c r="B9" s="680" t="s">
        <v>1013</v>
      </c>
      <c r="C9" s="1344"/>
      <c r="D9" s="575">
        <v>53342764.83998999</v>
      </c>
      <c r="E9" s="826">
        <v>6584389.9199999999</v>
      </c>
      <c r="F9" s="1352"/>
      <c r="G9" s="575">
        <v>59927154.759989992</v>
      </c>
      <c r="H9" s="1344"/>
      <c r="I9" s="1353">
        <f>((549+72.5+40+150+175)*12+(D10)*2%+371*3)/1000</f>
        <v>54.900008331993</v>
      </c>
      <c r="J9" s="1346">
        <f t="shared" ref="J9:J25" si="1">I9</f>
        <v>54.900008331993</v>
      </c>
      <c r="K9" s="1346"/>
      <c r="L9" s="1346">
        <f>I9-J9</f>
        <v>0</v>
      </c>
      <c r="M9" s="680" t="s">
        <v>617</v>
      </c>
      <c r="N9" s="1283">
        <f t="shared" si="0"/>
        <v>54.900008331993</v>
      </c>
      <c r="P9" s="1347"/>
      <c r="S9" s="1354" t="s">
        <v>1014</v>
      </c>
    </row>
    <row r="10" spans="1:19" s="681" customFormat="1" ht="13.5" customHeight="1" x14ac:dyDescent="0.2">
      <c r="B10" s="681" t="s">
        <v>1015</v>
      </c>
      <c r="C10" s="681" t="s">
        <v>1016</v>
      </c>
      <c r="D10" s="681">
        <f>G9*3.5%</f>
        <v>2097450.4165996499</v>
      </c>
      <c r="E10" s="681" t="s">
        <v>1017</v>
      </c>
      <c r="F10" s="681" t="s">
        <v>1018</v>
      </c>
      <c r="G10" s="681" t="s">
        <v>1019</v>
      </c>
      <c r="H10" s="826"/>
      <c r="I10" s="1283"/>
      <c r="J10" s="1346"/>
      <c r="K10" s="1346"/>
      <c r="L10" s="1346"/>
      <c r="N10" s="1283">
        <f t="shared" si="0"/>
        <v>0</v>
      </c>
      <c r="P10" s="1347"/>
    </row>
    <row r="11" spans="1:19" s="680" customFormat="1" ht="13.5" customHeight="1" x14ac:dyDescent="0.2">
      <c r="B11" s="680" t="s">
        <v>1020</v>
      </c>
      <c r="G11" s="677"/>
      <c r="H11" s="739"/>
      <c r="I11" s="1140">
        <f>((2*243.33+190.83)*12+500*12+479.17/5*3)/1000+[11]ВНС!J164</f>
        <v>17.29079376</v>
      </c>
      <c r="J11" s="1346">
        <f t="shared" si="1"/>
        <v>17.29079376</v>
      </c>
      <c r="K11" s="1346"/>
      <c r="L11" s="1346">
        <f t="shared" ref="L11:L25" si="2">I11-J11</f>
        <v>0</v>
      </c>
      <c r="M11" s="680" t="s">
        <v>617</v>
      </c>
      <c r="N11" s="1283">
        <f t="shared" si="0"/>
        <v>17.29079376</v>
      </c>
      <c r="P11" s="1347"/>
    </row>
    <row r="12" spans="1:19" s="681" customFormat="1" ht="13.5" customHeight="1" x14ac:dyDescent="0.2">
      <c r="B12" s="681" t="s">
        <v>1021</v>
      </c>
      <c r="I12" s="1283"/>
      <c r="J12" s="1346"/>
      <c r="K12" s="1346"/>
      <c r="L12" s="1346"/>
      <c r="N12" s="1283">
        <f t="shared" si="0"/>
        <v>0</v>
      </c>
      <c r="P12" s="1347"/>
      <c r="R12" s="1001" t="s">
        <v>838</v>
      </c>
    </row>
    <row r="13" spans="1:19" s="680" customFormat="1" ht="13.5" customHeight="1" x14ac:dyDescent="0.2">
      <c r="B13" s="680" t="s">
        <v>1022</v>
      </c>
      <c r="E13" s="1355">
        <f>[11]Збут!G14</f>
        <v>156.25</v>
      </c>
      <c r="F13" s="964" t="s">
        <v>1023</v>
      </c>
      <c r="G13" s="1086">
        <v>12</v>
      </c>
      <c r="H13" s="843"/>
      <c r="I13" s="1346">
        <f>E13*G13/1000</f>
        <v>1.875</v>
      </c>
      <c r="J13" s="1346">
        <f t="shared" si="1"/>
        <v>1.875</v>
      </c>
      <c r="K13" s="1143"/>
      <c r="L13" s="1346">
        <f t="shared" si="2"/>
        <v>0</v>
      </c>
      <c r="M13" s="680" t="s">
        <v>617</v>
      </c>
      <c r="N13" s="1283">
        <f t="shared" si="0"/>
        <v>1.875</v>
      </c>
      <c r="P13" s="1347"/>
      <c r="R13" s="1001" t="s">
        <v>1024</v>
      </c>
      <c r="S13" s="680" t="s">
        <v>1025</v>
      </c>
    </row>
    <row r="14" spans="1:19" s="680" customFormat="1" ht="13.5" customHeight="1" x14ac:dyDescent="0.2">
      <c r="B14" s="680" t="s">
        <v>1026</v>
      </c>
      <c r="E14" s="1356">
        <f>1044/1.2</f>
        <v>870</v>
      </c>
      <c r="F14" s="964" t="s">
        <v>1023</v>
      </c>
      <c r="G14" s="1086">
        <v>8</v>
      </c>
      <c r="H14" s="739"/>
      <c r="I14" s="1346">
        <f>E14*G14/1000</f>
        <v>6.96</v>
      </c>
      <c r="J14" s="1346">
        <f t="shared" si="1"/>
        <v>6.96</v>
      </c>
      <c r="K14" s="1143"/>
      <c r="L14" s="1346">
        <f t="shared" si="2"/>
        <v>0</v>
      </c>
      <c r="M14" s="680" t="s">
        <v>617</v>
      </c>
      <c r="N14" s="1283">
        <f t="shared" si="0"/>
        <v>6.96</v>
      </c>
      <c r="O14" s="680">
        <f>1398*4</f>
        <v>5592</v>
      </c>
      <c r="P14" s="1347"/>
      <c r="R14" s="1001" t="s">
        <v>1027</v>
      </c>
    </row>
    <row r="15" spans="1:19" s="680" customFormat="1" ht="13.5" customHeight="1" x14ac:dyDescent="0.2">
      <c r="B15" s="680" t="s">
        <v>1028</v>
      </c>
      <c r="E15" s="1356">
        <f>9800/2</f>
        <v>4900</v>
      </c>
      <c r="F15" s="964" t="s">
        <v>1023</v>
      </c>
      <c r="G15" s="1086">
        <v>12</v>
      </c>
      <c r="H15" s="739"/>
      <c r="I15" s="1346">
        <f>E15*G15/1000</f>
        <v>58.8</v>
      </c>
      <c r="J15" s="1346">
        <f t="shared" si="1"/>
        <v>58.8</v>
      </c>
      <c r="K15" s="1143"/>
      <c r="L15" s="1346">
        <f t="shared" si="2"/>
        <v>0</v>
      </c>
      <c r="M15" s="680" t="s">
        <v>617</v>
      </c>
      <c r="N15" s="1283">
        <f t="shared" si="0"/>
        <v>58.8</v>
      </c>
      <c r="P15" s="1347"/>
      <c r="R15" s="1001" t="s">
        <v>1029</v>
      </c>
    </row>
    <row r="16" spans="1:19" s="680" customFormat="1" ht="13.5" customHeight="1" x14ac:dyDescent="0.2">
      <c r="B16" s="955" t="s">
        <v>1030</v>
      </c>
      <c r="E16" s="148" t="s">
        <v>681</v>
      </c>
      <c r="H16" s="739"/>
      <c r="I16" s="1346">
        <v>0</v>
      </c>
      <c r="J16" s="1346">
        <f t="shared" si="1"/>
        <v>0</v>
      </c>
      <c r="K16" s="1143"/>
      <c r="L16" s="1346">
        <f t="shared" si="2"/>
        <v>0</v>
      </c>
      <c r="M16" s="680" t="s">
        <v>617</v>
      </c>
      <c r="N16" s="1283">
        <f t="shared" si="0"/>
        <v>0</v>
      </c>
      <c r="P16" s="1347"/>
    </row>
    <row r="17" spans="1:19" s="680" customFormat="1" ht="13.5" customHeight="1" x14ac:dyDescent="0.2">
      <c r="B17" s="955" t="s">
        <v>1031</v>
      </c>
      <c r="E17" s="682">
        <f>150/1.2</f>
        <v>125</v>
      </c>
      <c r="F17" s="681" t="s">
        <v>1032</v>
      </c>
      <c r="G17" s="681">
        <v>192</v>
      </c>
      <c r="H17" s="681"/>
      <c r="I17" s="1140">
        <f>E17*G17/1000</f>
        <v>24</v>
      </c>
      <c r="J17" s="1346">
        <f t="shared" si="1"/>
        <v>24</v>
      </c>
      <c r="K17" s="1143"/>
      <c r="L17" s="1346">
        <f t="shared" si="2"/>
        <v>0</v>
      </c>
      <c r="M17" s="680" t="s">
        <v>617</v>
      </c>
      <c r="N17" s="1283"/>
      <c r="P17" s="1347"/>
    </row>
    <row r="18" spans="1:19" s="680" customFormat="1" ht="13.5" customHeight="1" x14ac:dyDescent="0.2">
      <c r="B18" s="2079" t="str">
        <f>[7]Адм!$B$18:$D$18</f>
        <v>Системи баз даних (Підписки та програми)</v>
      </c>
      <c r="C18" s="2079"/>
      <c r="D18" s="2079"/>
      <c r="E18" s="681" t="s">
        <v>1033</v>
      </c>
      <c r="H18" s="739"/>
      <c r="I18" s="1140">
        <f>(F204)/1000</f>
        <v>55.4</v>
      </c>
      <c r="J18" s="1346">
        <f t="shared" si="1"/>
        <v>55.4</v>
      </c>
      <c r="K18" s="1143"/>
      <c r="L18" s="1346">
        <f t="shared" si="2"/>
        <v>0</v>
      </c>
      <c r="M18" s="680" t="s">
        <v>617</v>
      </c>
      <c r="N18" s="1283"/>
      <c r="P18" s="1347"/>
    </row>
    <row r="19" spans="1:19" s="680" customFormat="1" ht="13.5" customHeight="1" x14ac:dyDescent="0.25">
      <c r="B19" s="680" t="s">
        <v>1034</v>
      </c>
      <c r="E19" s="148" t="s">
        <v>681</v>
      </c>
      <c r="H19" s="739"/>
      <c r="I19" s="1346">
        <f>[7]Адм!$I$19</f>
        <v>41.189499999999995</v>
      </c>
      <c r="J19" s="1346">
        <f t="shared" si="1"/>
        <v>41.189499999999995</v>
      </c>
      <c r="K19" s="1143"/>
      <c r="L19" s="1346">
        <f t="shared" si="2"/>
        <v>0</v>
      </c>
      <c r="M19" s="680" t="s">
        <v>617</v>
      </c>
      <c r="N19" s="1283">
        <f t="shared" si="0"/>
        <v>41.189499999999995</v>
      </c>
      <c r="P19" s="1357"/>
    </row>
    <row r="20" spans="1:19" s="680" customFormat="1" ht="13.5" customHeight="1" x14ac:dyDescent="0.25">
      <c r="B20" s="680" t="s">
        <v>1035</v>
      </c>
      <c r="E20" s="148" t="s">
        <v>681</v>
      </c>
      <c r="H20" s="739"/>
      <c r="I20" s="1346">
        <f>[7]Адм!$I$20</f>
        <v>6.5679999999999996</v>
      </c>
      <c r="J20" s="1346">
        <f t="shared" si="1"/>
        <v>6.5679999999999996</v>
      </c>
      <c r="K20" s="1143"/>
      <c r="L20" s="1346">
        <f t="shared" si="2"/>
        <v>0</v>
      </c>
      <c r="M20" s="680" t="s">
        <v>617</v>
      </c>
      <c r="N20" s="1283"/>
      <c r="P20" s="1357"/>
    </row>
    <row r="21" spans="1:19" s="680" customFormat="1" ht="13.5" customHeight="1" x14ac:dyDescent="0.2">
      <c r="B21" s="680" t="s">
        <v>1036</v>
      </c>
      <c r="E21" s="148" t="s">
        <v>681</v>
      </c>
      <c r="H21" s="739"/>
      <c r="I21" s="1346">
        <f>[7]Адм!$I$21</f>
        <v>195.20099999999999</v>
      </c>
      <c r="J21" s="1346">
        <f t="shared" si="1"/>
        <v>195.20099999999999</v>
      </c>
      <c r="K21" s="1143"/>
      <c r="L21" s="1346">
        <f t="shared" si="2"/>
        <v>0</v>
      </c>
      <c r="M21" s="680" t="s">
        <v>617</v>
      </c>
      <c r="N21" s="1283">
        <f t="shared" si="0"/>
        <v>195.20099999999999</v>
      </c>
      <c r="R21" s="1001" t="s">
        <v>1037</v>
      </c>
    </row>
    <row r="22" spans="1:19" s="680" customFormat="1" ht="13.5" customHeight="1" x14ac:dyDescent="0.2">
      <c r="B22" s="680" t="s">
        <v>1038</v>
      </c>
      <c r="E22" s="148" t="s">
        <v>692</v>
      </c>
      <c r="H22" s="739"/>
      <c r="I22" s="1346">
        <f>[7]Адм!$I$22</f>
        <v>85.674999999999997</v>
      </c>
      <c r="J22" s="1346">
        <f>I22</f>
        <v>85.674999999999997</v>
      </c>
      <c r="K22" s="1143"/>
      <c r="L22" s="1346">
        <f>I22-J22</f>
        <v>0</v>
      </c>
      <c r="M22" s="680" t="s">
        <v>617</v>
      </c>
      <c r="N22" s="1283">
        <f>L22+J22</f>
        <v>85.674999999999997</v>
      </c>
      <c r="P22" s="1140">
        <f>I38+I22</f>
        <v>208.685</v>
      </c>
      <c r="R22" s="1001" t="s">
        <v>1037</v>
      </c>
    </row>
    <row r="23" spans="1:19" s="680" customFormat="1" ht="13.5" customHeight="1" x14ac:dyDescent="0.2">
      <c r="B23" s="680" t="s">
        <v>1039</v>
      </c>
      <c r="E23" s="148" t="s">
        <v>692</v>
      </c>
      <c r="H23" s="739"/>
      <c r="I23" s="1346">
        <f>F196/1000</f>
        <v>42.79</v>
      </c>
      <c r="J23" s="1346">
        <f t="shared" si="1"/>
        <v>42.79</v>
      </c>
      <c r="K23" s="1143"/>
      <c r="L23" s="1346">
        <f t="shared" si="2"/>
        <v>0</v>
      </c>
      <c r="M23" s="680" t="s">
        <v>617</v>
      </c>
      <c r="N23" s="1283"/>
      <c r="R23" s="1001"/>
    </row>
    <row r="24" spans="1:19" s="680" customFormat="1" ht="13.5" customHeight="1" x14ac:dyDescent="0.2">
      <c r="B24" s="680" t="s">
        <v>714</v>
      </c>
      <c r="E24" s="148" t="s">
        <v>681</v>
      </c>
      <c r="H24" s="739"/>
      <c r="I24" s="1346">
        <f>[7]Адм!$I$24</f>
        <v>1.1879999999999999</v>
      </c>
      <c r="J24" s="1346">
        <f t="shared" si="1"/>
        <v>1.1879999999999999</v>
      </c>
      <c r="K24" s="1143"/>
      <c r="L24" s="1346">
        <f t="shared" si="2"/>
        <v>0</v>
      </c>
      <c r="M24" s="680" t="s">
        <v>617</v>
      </c>
      <c r="N24" s="1283">
        <f t="shared" si="0"/>
        <v>1.1879999999999999</v>
      </c>
    </row>
    <row r="25" spans="1:19" s="680" customFormat="1" ht="13.5" customHeight="1" x14ac:dyDescent="0.2">
      <c r="B25" s="680" t="s">
        <v>1040</v>
      </c>
      <c r="C25" s="148"/>
      <c r="E25" s="148" t="s">
        <v>681</v>
      </c>
      <c r="H25" s="739"/>
      <c r="I25" s="1346">
        <f>[7]Адм!$I$25</f>
        <v>0</v>
      </c>
      <c r="J25" s="1346">
        <f t="shared" si="1"/>
        <v>0</v>
      </c>
      <c r="K25" s="1143"/>
      <c r="L25" s="1346">
        <f t="shared" si="2"/>
        <v>0</v>
      </c>
      <c r="M25" s="680" t="s">
        <v>617</v>
      </c>
      <c r="N25" s="1283">
        <f t="shared" si="0"/>
        <v>0</v>
      </c>
    </row>
    <row r="26" spans="1:19" s="680" customFormat="1" ht="13.5" customHeight="1" x14ac:dyDescent="0.2">
      <c r="A26" s="680">
        <v>5</v>
      </c>
      <c r="B26" s="120" t="s">
        <v>1041</v>
      </c>
      <c r="C26" s="148"/>
      <c r="D26" s="120"/>
      <c r="E26" s="148"/>
      <c r="F26" s="120"/>
      <c r="G26" s="120"/>
      <c r="H26" s="160"/>
      <c r="I26" s="1351">
        <f>SUM(I27:I29)</f>
        <v>145.72113833333333</v>
      </c>
      <c r="J26" s="1346"/>
      <c r="K26" s="1143"/>
      <c r="L26" s="1346"/>
      <c r="N26" s="1283"/>
    </row>
    <row r="27" spans="1:19" s="680" customFormat="1" ht="13.5" customHeight="1" x14ac:dyDescent="0.2">
      <c r="B27" s="680" t="s">
        <v>1042</v>
      </c>
      <c r="E27" s="681" t="s">
        <v>1033</v>
      </c>
      <c r="H27" s="843"/>
      <c r="I27" s="1346">
        <f>F146/1000*1</f>
        <v>89.149120400000001</v>
      </c>
      <c r="J27" s="1346">
        <f t="shared" ref="J27:J36" si="3">I27</f>
        <v>89.149120400000001</v>
      </c>
      <c r="K27" s="1143"/>
      <c r="L27" s="1346">
        <f t="shared" ref="L27:L36" si="4">I27-J27</f>
        <v>0</v>
      </c>
      <c r="M27" s="680" t="s">
        <v>617</v>
      </c>
      <c r="N27" s="1283">
        <f>L27+J27</f>
        <v>89.149120400000001</v>
      </c>
      <c r="P27" s="1347"/>
    </row>
    <row r="28" spans="1:19" s="680" customFormat="1" ht="13.5" customHeight="1" x14ac:dyDescent="0.2">
      <c r="B28" s="680" t="s">
        <v>1043</v>
      </c>
      <c r="E28" s="681" t="s">
        <v>1033</v>
      </c>
      <c r="H28" s="843"/>
      <c r="I28" s="1346">
        <f>F163/1000*1</f>
        <v>25.352260000000001</v>
      </c>
      <c r="J28" s="1346">
        <f t="shared" si="3"/>
        <v>25.352260000000001</v>
      </c>
      <c r="K28" s="1143"/>
      <c r="L28" s="1346">
        <f t="shared" si="4"/>
        <v>0</v>
      </c>
      <c r="M28" s="680" t="s">
        <v>617</v>
      </c>
      <c r="N28" s="1283">
        <f>L28+J28</f>
        <v>25.352260000000001</v>
      </c>
      <c r="P28" s="1347"/>
    </row>
    <row r="29" spans="1:19" s="680" customFormat="1" ht="13.5" customHeight="1" x14ac:dyDescent="0.2">
      <c r="B29" s="680" t="s">
        <v>1041</v>
      </c>
      <c r="E29" s="681" t="s">
        <v>1033</v>
      </c>
      <c r="H29" s="843"/>
      <c r="I29" s="1346">
        <f>(F77+F188)/1000*1</f>
        <v>31.219757933333334</v>
      </c>
      <c r="J29" s="1346">
        <f t="shared" si="3"/>
        <v>31.219757933333334</v>
      </c>
      <c r="K29" s="1143"/>
      <c r="L29" s="1346">
        <f t="shared" si="4"/>
        <v>0</v>
      </c>
      <c r="N29" s="1283"/>
      <c r="P29" s="1347"/>
    </row>
    <row r="30" spans="1:19" s="680" customFormat="1" ht="13.5" customHeight="1" x14ac:dyDescent="0.25">
      <c r="A30" s="1358" t="s">
        <v>1044</v>
      </c>
      <c r="B30" s="680" t="s">
        <v>1045</v>
      </c>
      <c r="D30" s="1344"/>
      <c r="E30" s="1344"/>
      <c r="F30" s="1344"/>
      <c r="G30" s="1344"/>
      <c r="H30" s="1344"/>
      <c r="I30" s="1346">
        <f>SUM(I31:I37)</f>
        <v>211.49757875949612</v>
      </c>
      <c r="J30" s="1346">
        <f t="shared" si="3"/>
        <v>211.49757875949612</v>
      </c>
      <c r="K30" s="1346"/>
      <c r="L30" s="1346">
        <f t="shared" si="4"/>
        <v>0</v>
      </c>
      <c r="M30" s="729" t="s">
        <v>617</v>
      </c>
      <c r="N30" s="1283">
        <f>L30+J30</f>
        <v>211.49757875949612</v>
      </c>
      <c r="O30"/>
      <c r="P30" s="1359"/>
    </row>
    <row r="31" spans="1:19" s="681" customFormat="1" ht="13.5" customHeight="1" x14ac:dyDescent="0.25">
      <c r="B31" s="681" t="s">
        <v>1046</v>
      </c>
      <c r="C31" s="152">
        <f>([11]норми!E20+[11]норми!F20)*1000</f>
        <v>5520.55</v>
      </c>
      <c r="D31" s="1139" t="s">
        <v>1047</v>
      </c>
      <c r="E31" s="1360">
        <f>[11]ВНС!F16</f>
        <v>8.9062855699999997</v>
      </c>
      <c r="F31" s="1139" t="s">
        <v>671</v>
      </c>
      <c r="I31" s="1283">
        <f>C31*E31/1000</f>
        <v>49.167594803463501</v>
      </c>
      <c r="J31" s="1283">
        <f t="shared" si="3"/>
        <v>49.167594803463501</v>
      </c>
      <c r="K31" s="1346"/>
      <c r="L31" s="1283">
        <f t="shared" si="4"/>
        <v>0</v>
      </c>
      <c r="M31" s="1146" t="s">
        <v>809</v>
      </c>
      <c r="N31" s="1283">
        <f>L31+J31</f>
        <v>49.167594803463501</v>
      </c>
      <c r="O31"/>
      <c r="P31" s="1361"/>
      <c r="R31" s="1001" t="s">
        <v>812</v>
      </c>
    </row>
    <row r="32" spans="1:19" s="964" customFormat="1" ht="15" x14ac:dyDescent="0.25">
      <c r="A32" s="956"/>
      <c r="B32" s="978" t="s">
        <v>898</v>
      </c>
      <c r="C32" s="1049">
        <f>S40/5</f>
        <v>6.521872391895978</v>
      </c>
      <c r="D32" s="1048" t="s">
        <v>892</v>
      </c>
      <c r="E32" s="1060">
        <v>4177.8599999999997</v>
      </c>
      <c r="F32" s="978" t="s">
        <v>899</v>
      </c>
      <c r="I32" s="1050">
        <f>C32*E32/1000*5</f>
        <v>136.23734895603263</v>
      </c>
      <c r="J32" s="1283">
        <f t="shared" si="3"/>
        <v>136.23734895603263</v>
      </c>
      <c r="K32" s="990"/>
      <c r="L32" s="1283">
        <f t="shared" si="4"/>
        <v>0</v>
      </c>
      <c r="M32" s="978" t="s">
        <v>617</v>
      </c>
      <c r="N32" s="966"/>
      <c r="O32"/>
      <c r="P32" s="1361"/>
      <c r="Q32" s="966"/>
      <c r="R32" s="966"/>
      <c r="S32" s="976"/>
    </row>
    <row r="33" spans="1:19" s="964" customFormat="1" ht="15" hidden="1" x14ac:dyDescent="0.25">
      <c r="A33" s="956"/>
      <c r="B33" s="978" t="s">
        <v>900</v>
      </c>
      <c r="C33" s="1362">
        <f>R40</f>
        <v>2.0560387057756275E-2</v>
      </c>
      <c r="D33" s="1048" t="s">
        <v>901</v>
      </c>
      <c r="E33" s="1060"/>
      <c r="F33" s="978" t="s">
        <v>902</v>
      </c>
      <c r="I33" s="1050">
        <f>C33*E33/1000*12</f>
        <v>0</v>
      </c>
      <c r="J33" s="1283">
        <f t="shared" si="3"/>
        <v>0</v>
      </c>
      <c r="K33" s="990"/>
      <c r="L33" s="1283">
        <f t="shared" si="4"/>
        <v>0</v>
      </c>
      <c r="M33" s="978" t="s">
        <v>617</v>
      </c>
      <c r="N33" s="966"/>
      <c r="O33"/>
      <c r="P33" s="1361"/>
      <c r="Q33" s="966"/>
      <c r="R33" s="966"/>
      <c r="S33" s="976"/>
    </row>
    <row r="34" spans="1:19" s="681" customFormat="1" ht="13.5" customHeight="1" x14ac:dyDescent="0.25">
      <c r="B34" s="681" t="s">
        <v>1048</v>
      </c>
      <c r="C34" s="1049">
        <f>Q40</f>
        <v>299.2</v>
      </c>
      <c r="D34" s="1209" t="s">
        <v>958</v>
      </c>
      <c r="E34" s="1282">
        <v>12</v>
      </c>
      <c r="F34" s="1209" t="s">
        <v>959</v>
      </c>
      <c r="G34" s="1208">
        <f>[11]АВР!E162</f>
        <v>6.9</v>
      </c>
      <c r="H34" s="1209" t="s">
        <v>671</v>
      </c>
      <c r="I34" s="1210">
        <f>C34*E34*G34/1000</f>
        <v>24.773759999999999</v>
      </c>
      <c r="J34" s="1283">
        <f t="shared" si="3"/>
        <v>24.773759999999999</v>
      </c>
      <c r="K34" s="1346"/>
      <c r="L34" s="1283">
        <f t="shared" si="4"/>
        <v>0</v>
      </c>
      <c r="M34" s="1146" t="s">
        <v>809</v>
      </c>
      <c r="N34" s="1283">
        <f>L34+J34</f>
        <v>24.773759999999999</v>
      </c>
      <c r="O34"/>
      <c r="P34" s="1363"/>
      <c r="R34" s="1001" t="s">
        <v>1049</v>
      </c>
    </row>
    <row r="35" spans="1:19" s="681" customFormat="1" ht="13.5" hidden="1" customHeight="1" x14ac:dyDescent="0.2">
      <c r="B35" s="681" t="s">
        <v>1050</v>
      </c>
      <c r="C35" s="1049"/>
      <c r="D35" s="1209" t="s">
        <v>958</v>
      </c>
      <c r="E35" s="1282">
        <v>12</v>
      </c>
      <c r="F35" s="1209" t="s">
        <v>959</v>
      </c>
      <c r="G35" s="1208">
        <v>30</v>
      </c>
      <c r="H35" s="1209" t="s">
        <v>671</v>
      </c>
      <c r="I35" s="1210">
        <f>C35*E35*G35/1000</f>
        <v>0</v>
      </c>
      <c r="J35" s="1283">
        <f t="shared" si="3"/>
        <v>0</v>
      </c>
      <c r="K35" s="1346"/>
      <c r="L35" s="1283">
        <f t="shared" si="4"/>
        <v>0</v>
      </c>
      <c r="M35" s="1146" t="s">
        <v>809</v>
      </c>
      <c r="N35" s="1283">
        <f>L35+J35</f>
        <v>0</v>
      </c>
      <c r="P35" s="1347"/>
      <c r="R35" s="1001" t="s">
        <v>1049</v>
      </c>
    </row>
    <row r="36" spans="1:19" s="1146" customFormat="1" ht="13.5" customHeight="1" x14ac:dyDescent="0.2">
      <c r="B36" s="1146" t="s">
        <v>907</v>
      </c>
      <c r="C36" s="1072">
        <f>ROUND([11]площі!G6,2)</f>
        <v>6.5</v>
      </c>
      <c r="D36" s="1146" t="s">
        <v>687</v>
      </c>
      <c r="E36" s="1364">
        <f>224.1/1.2</f>
        <v>186.75</v>
      </c>
      <c r="F36" s="1146" t="s">
        <v>908</v>
      </c>
      <c r="I36" s="1365">
        <f>(C36*(E36)+E37)/1000</f>
        <v>1.318875</v>
      </c>
      <c r="J36" s="1283">
        <f t="shared" si="3"/>
        <v>1.318875</v>
      </c>
      <c r="K36" s="1346"/>
      <c r="L36" s="1283">
        <f t="shared" si="4"/>
        <v>0</v>
      </c>
      <c r="M36" s="1146" t="s">
        <v>809</v>
      </c>
      <c r="N36" s="1283">
        <f>L36+J36</f>
        <v>1.318875</v>
      </c>
      <c r="P36" s="1347"/>
      <c r="R36" s="1001" t="s">
        <v>1051</v>
      </c>
    </row>
    <row r="37" spans="1:19" s="735" customFormat="1" ht="13.5" customHeight="1" x14ac:dyDescent="0.25">
      <c r="B37" s="1146"/>
      <c r="C37" s="1072"/>
      <c r="D37" s="1146"/>
      <c r="E37" s="1364">
        <f>10.5/1.2*12</f>
        <v>105</v>
      </c>
      <c r="F37" s="1146"/>
      <c r="I37" s="1365"/>
      <c r="J37" s="1283"/>
      <c r="K37" s="1346"/>
      <c r="L37" s="1283"/>
      <c r="N37" s="1283">
        <f>L37+J37</f>
        <v>0</v>
      </c>
      <c r="P37" s="941"/>
      <c r="Q37" s="1366" t="s">
        <v>885</v>
      </c>
      <c r="R37" s="1366" t="s">
        <v>886</v>
      </c>
      <c r="S37" s="964" t="s">
        <v>887</v>
      </c>
    </row>
    <row r="38" spans="1:19" s="680" customFormat="1" ht="13.5" customHeight="1" x14ac:dyDescent="0.25">
      <c r="A38" s="1358" t="s">
        <v>1052</v>
      </c>
      <c r="B38" s="680" t="s">
        <v>691</v>
      </c>
      <c r="E38" s="148" t="s">
        <v>692</v>
      </c>
      <c r="H38" s="739"/>
      <c r="I38" s="1140">
        <f>[11]площі!F6</f>
        <v>123.01</v>
      </c>
      <c r="J38" s="1346">
        <f>I38</f>
        <v>123.01</v>
      </c>
      <c r="K38" s="1143"/>
      <c r="L38" s="1346">
        <f>I38-J38</f>
        <v>0</v>
      </c>
      <c r="M38" s="680" t="s">
        <v>617</v>
      </c>
      <c r="N38" s="1283"/>
      <c r="P38" s="1367" t="s">
        <v>500</v>
      </c>
      <c r="Q38" s="1368">
        <f>[11]площі!C4</f>
        <v>226.2</v>
      </c>
      <c r="R38" s="1368">
        <f>[11]площі!D4</f>
        <v>1.5543982461445416E-2</v>
      </c>
      <c r="S38" s="1368">
        <f>[11]площі!E4</f>
        <v>24.653200786211062</v>
      </c>
    </row>
    <row r="39" spans="1:19" s="680" customFormat="1" ht="13.5" customHeight="1" x14ac:dyDescent="0.25">
      <c r="A39" s="680">
        <v>7</v>
      </c>
      <c r="B39" s="680" t="s">
        <v>1053</v>
      </c>
      <c r="I39" s="1369">
        <f>[11]ОП!BZ129/1000</f>
        <v>64.124651739130442</v>
      </c>
      <c r="J39" s="1346">
        <f>I39-L39</f>
        <v>64.124651739130442</v>
      </c>
      <c r="K39" s="1143"/>
      <c r="L39" s="1346">
        <v>0</v>
      </c>
      <c r="M39" s="680" t="s">
        <v>617</v>
      </c>
      <c r="N39" s="1283">
        <f t="shared" si="0"/>
        <v>64.124651739130442</v>
      </c>
      <c r="P39" s="1370" t="s">
        <v>913</v>
      </c>
      <c r="Q39" s="1368">
        <f>[11]площі!C5</f>
        <v>136</v>
      </c>
      <c r="R39" s="1368">
        <f>[11]площі!D5</f>
        <v>9.3456304807983063E-3</v>
      </c>
      <c r="S39" s="1368">
        <f>[11]площі!E5</f>
        <v>14.82243725430904</v>
      </c>
    </row>
    <row r="40" spans="1:19" s="1136" customFormat="1" ht="27.6" customHeight="1" x14ac:dyDescent="0.25">
      <c r="A40" s="681"/>
      <c r="B40" s="1136" t="s">
        <v>370</v>
      </c>
      <c r="I40" s="720">
        <f>SUM(I38:I39)+I26+I30+SUM(I5:I8)</f>
        <v>11479.440714123952</v>
      </c>
      <c r="J40" s="1351">
        <f>SUM(J38:J39)+SUM(J5:J30)</f>
        <v>11479.440714123946</v>
      </c>
      <c r="K40" s="1351">
        <f>SUM(K11:K39)+SUM(K5:K30)</f>
        <v>0</v>
      </c>
      <c r="L40" s="1351">
        <f>SUM(L11:L39)+SUM(L5:L30)</f>
        <v>0</v>
      </c>
      <c r="M40" s="680" t="s">
        <v>617</v>
      </c>
      <c r="N40" s="1283">
        <f t="shared" si="0"/>
        <v>11479.440714123946</v>
      </c>
      <c r="P40" s="1370" t="s">
        <v>914</v>
      </c>
      <c r="Q40" s="1368">
        <f>[11]площі!C6</f>
        <v>299.2</v>
      </c>
      <c r="R40" s="1368">
        <f>[11]площі!D6</f>
        <v>2.0560387057756275E-2</v>
      </c>
      <c r="S40" s="1368">
        <f>[11]площі!E6</f>
        <v>32.609361959479891</v>
      </c>
    </row>
    <row r="41" spans="1:19" s="681" customFormat="1" ht="15" x14ac:dyDescent="0.25">
      <c r="B41" s="826" t="s">
        <v>1054</v>
      </c>
      <c r="C41" s="826"/>
      <c r="D41" s="577">
        <f>J40</f>
        <v>11479.440714123946</v>
      </c>
      <c r="E41" s="826" t="s">
        <v>1055</v>
      </c>
      <c r="G41" s="751"/>
      <c r="H41" s="678"/>
      <c r="I41" s="576">
        <f>I40-I5-I6</f>
        <v>1671.857590923953</v>
      </c>
      <c r="J41" s="1371">
        <f>SUM(J13:J39)+J11+J30+J9+J7+J5+J6</f>
        <v>11902.435871642943</v>
      </c>
      <c r="K41" s="1372"/>
      <c r="L41" s="1372"/>
      <c r="P41" s="1370"/>
      <c r="Q41" s="1368"/>
      <c r="R41" s="1368"/>
      <c r="S41" s="1368"/>
    </row>
    <row r="42" spans="1:19" s="681" customFormat="1" ht="15.75" x14ac:dyDescent="0.25">
      <c r="D42" s="1140"/>
      <c r="G42" s="751"/>
      <c r="H42" s="678"/>
      <c r="I42" s="1193"/>
      <c r="J42" s="678"/>
      <c r="K42" s="1372"/>
      <c r="L42" s="1372"/>
      <c r="P42" s="1373" t="s">
        <v>916</v>
      </c>
      <c r="Q42" s="1368">
        <f>SUM(Q38:Q41)</f>
        <v>661.4</v>
      </c>
      <c r="R42" s="1368">
        <v>6.279846359618943E-2</v>
      </c>
      <c r="S42" s="1368">
        <v>72.084999999999994</v>
      </c>
    </row>
    <row r="43" spans="1:19" s="681" customFormat="1" ht="15" x14ac:dyDescent="0.2">
      <c r="B43" s="964" t="s">
        <v>218</v>
      </c>
      <c r="C43" s="964"/>
      <c r="D43" s="964"/>
      <c r="E43" s="964"/>
      <c r="F43" s="964"/>
      <c r="G43" s="964"/>
      <c r="H43" s="967" t="s">
        <v>148</v>
      </c>
      <c r="I43" s="1193"/>
      <c r="J43" s="678"/>
      <c r="K43" s="1372"/>
      <c r="L43" s="1372"/>
      <c r="P43" s="1347"/>
      <c r="Q43" s="735"/>
      <c r="R43" s="735"/>
      <c r="S43" s="735"/>
    </row>
    <row r="44" spans="1:19" s="681" customFormat="1" ht="15" x14ac:dyDescent="0.25">
      <c r="B44" s="964"/>
      <c r="C44" s="964"/>
      <c r="D44" s="964"/>
      <c r="E44" s="964"/>
      <c r="F44" s="964"/>
      <c r="G44" s="964"/>
      <c r="H44" s="967"/>
      <c r="I44" s="1193"/>
      <c r="J44" s="678"/>
      <c r="K44" s="1372"/>
      <c r="L44" s="1372"/>
      <c r="P44" s="1357"/>
      <c r="Q44" s="680"/>
      <c r="R44" s="680"/>
      <c r="S44" s="680"/>
    </row>
    <row r="45" spans="1:19" s="681" customFormat="1" ht="12" hidden="1" x14ac:dyDescent="0.2">
      <c r="B45" s="681" t="s">
        <v>1056</v>
      </c>
      <c r="G45" s="678"/>
      <c r="H45" s="678"/>
      <c r="I45" s="678"/>
      <c r="J45" s="682">
        <f>J40+L40</f>
        <v>11479.440714123946</v>
      </c>
      <c r="K45" s="1372"/>
      <c r="L45" s="1372"/>
    </row>
    <row r="46" spans="1:19" s="681" customFormat="1" ht="12" hidden="1" x14ac:dyDescent="0.2">
      <c r="G46" s="678"/>
      <c r="H46" s="678"/>
      <c r="I46" s="678"/>
      <c r="J46" s="595">
        <f>I40-J45</f>
        <v>0</v>
      </c>
      <c r="K46" s="1372"/>
      <c r="L46" s="1372"/>
    </row>
    <row r="47" spans="1:19" s="681" customFormat="1" ht="12" hidden="1" x14ac:dyDescent="0.2">
      <c r="B47" s="681" t="s">
        <v>1057</v>
      </c>
      <c r="D47" s="682">
        <v>172.50194014645101</v>
      </c>
      <c r="E47" s="681" t="s">
        <v>661</v>
      </c>
      <c r="H47" s="1193">
        <v>0</v>
      </c>
      <c r="I47" s="682"/>
      <c r="K47" s="1283"/>
      <c r="L47" s="1283"/>
    </row>
    <row r="48" spans="1:19" s="681" customFormat="1" ht="12" hidden="1" x14ac:dyDescent="0.2">
      <c r="B48" s="681" t="s">
        <v>1058</v>
      </c>
      <c r="D48" s="682">
        <v>226.24845695653215</v>
      </c>
      <c r="E48" s="681" t="s">
        <v>661</v>
      </c>
      <c r="H48" s="1193">
        <v>0</v>
      </c>
      <c r="I48" s="682"/>
      <c r="K48" s="1283"/>
      <c r="L48" s="1283"/>
    </row>
    <row r="49" spans="1:12" s="681" customFormat="1" ht="12" hidden="1" x14ac:dyDescent="0.2">
      <c r="D49" s="682">
        <f>SUM(D47:D48)</f>
        <v>398.75039710298313</v>
      </c>
      <c r="G49" s="678"/>
      <c r="H49" s="678"/>
      <c r="I49" s="678"/>
      <c r="K49" s="1283"/>
      <c r="L49" s="1283"/>
    </row>
    <row r="50" spans="1:12" s="681" customFormat="1" hidden="1" x14ac:dyDescent="0.2">
      <c r="G50" s="678"/>
      <c r="H50" s="678"/>
      <c r="I50" s="678"/>
      <c r="J50" s="148">
        <f>('[11]Адм.,збут'!I5+'[11]Адм.,збут'!K5)</f>
        <v>11479.440714123952</v>
      </c>
      <c r="K50" s="564"/>
      <c r="L50" s="564"/>
    </row>
    <row r="51" spans="1:12" s="681" customFormat="1" ht="12" hidden="1" x14ac:dyDescent="0.2">
      <c r="G51" s="678"/>
      <c r="H51" s="678"/>
      <c r="I51" s="1283">
        <f>'[11]Адм.,збут'!B5/1000</f>
        <v>11.479440714123951</v>
      </c>
      <c r="J51" s="1283">
        <f>J40-J50</f>
        <v>0</v>
      </c>
      <c r="K51" s="1283">
        <f>J40+K40</f>
        <v>11479.440714123946</v>
      </c>
      <c r="L51" s="1283"/>
    </row>
    <row r="52" spans="1:12" s="681" customFormat="1" ht="12" hidden="1" x14ac:dyDescent="0.2">
      <c r="B52" s="1374" t="s">
        <v>1059</v>
      </c>
      <c r="C52" s="1148" t="s">
        <v>247</v>
      </c>
      <c r="D52" s="1148" t="s">
        <v>1060</v>
      </c>
      <c r="E52" s="1189" t="s">
        <v>1061</v>
      </c>
      <c r="G52" s="1139"/>
      <c r="H52" s="1139"/>
      <c r="I52" s="1139"/>
    </row>
    <row r="53" spans="1:12" s="681" customFormat="1" ht="12" hidden="1" x14ac:dyDescent="0.2">
      <c r="B53" s="1375" t="s">
        <v>1062</v>
      </c>
      <c r="C53" s="1376">
        <v>0.46467269359611324</v>
      </c>
      <c r="D53" s="1376">
        <v>649.92185068615106</v>
      </c>
      <c r="E53" s="1195">
        <v>650.38652337974713</v>
      </c>
      <c r="G53" s="682"/>
      <c r="H53" s="682"/>
      <c r="I53" s="682"/>
    </row>
    <row r="54" spans="1:12" s="681" customFormat="1" ht="12" hidden="1" x14ac:dyDescent="0.2">
      <c r="B54" s="1377" t="s">
        <v>1063</v>
      </c>
      <c r="C54" s="1378">
        <v>0.60046430701457154</v>
      </c>
      <c r="D54" s="1378">
        <v>839.84894973211271</v>
      </c>
      <c r="E54" s="1379">
        <v>840.4494140391273</v>
      </c>
      <c r="G54" s="1283"/>
      <c r="H54" s="1283"/>
      <c r="I54" s="682"/>
    </row>
    <row r="55" spans="1:12" s="681" customFormat="1" ht="12" hidden="1" x14ac:dyDescent="0.2">
      <c r="C55" s="1380">
        <v>7.1445621471587673E-4</v>
      </c>
      <c r="D55" s="1380">
        <v>0.99928554378528411</v>
      </c>
      <c r="G55" s="751"/>
      <c r="H55" s="678"/>
      <c r="I55" s="682"/>
    </row>
    <row r="56" spans="1:12" s="681" customFormat="1" ht="12" hidden="1" x14ac:dyDescent="0.2">
      <c r="C56" s="681">
        <v>0.432606315629323</v>
      </c>
      <c r="D56" s="681">
        <v>0.56739368437067705</v>
      </c>
    </row>
    <row r="57" spans="1:12" s="681" customFormat="1" x14ac:dyDescent="0.2">
      <c r="A57" s="4"/>
    </row>
    <row r="58" spans="1:12" s="205" customFormat="1" x14ac:dyDescent="0.2">
      <c r="B58" s="98" t="s">
        <v>1064</v>
      </c>
      <c r="C58" s="98"/>
      <c r="D58" s="98"/>
      <c r="E58" s="98"/>
      <c r="F58" s="98"/>
      <c r="I58" s="205">
        <f>('[11]Адм.,збут'!B5-'[11]Адм.,збут'!B6-'[11]Адм.,збут'!B7)</f>
        <v>1671.857590923953</v>
      </c>
      <c r="J58" s="608">
        <f>J40-J5-J6</f>
        <v>1671.8575909239476</v>
      </c>
    </row>
    <row r="59" spans="1:12" x14ac:dyDescent="0.2">
      <c r="B59" s="149"/>
      <c r="C59" s="149"/>
      <c r="D59" s="149"/>
      <c r="E59" s="149"/>
      <c r="F59" s="149"/>
      <c r="J59" s="613">
        <f>J58-I58</f>
        <v>-5.4569682106375694E-12</v>
      </c>
    </row>
    <row r="60" spans="1:12" x14ac:dyDescent="0.2">
      <c r="B60" s="1381" t="s">
        <v>1065</v>
      </c>
      <c r="C60" s="98" t="s">
        <v>1066</v>
      </c>
      <c r="D60" s="98" t="s">
        <v>664</v>
      </c>
      <c r="E60" s="98" t="s">
        <v>1067</v>
      </c>
      <c r="F60" s="98" t="s">
        <v>1068</v>
      </c>
      <c r="I60" s="790">
        <f>I40-I5-I6-I9</f>
        <v>1616.9575825919601</v>
      </c>
      <c r="J60" s="564">
        <f>[6]Адм!$I$40-[6]Адм!$I$5-[6]Адм!$I$6-[6]Адм!$I$9</f>
        <v>748.28909761374541</v>
      </c>
    </row>
    <row r="61" spans="1:12" x14ac:dyDescent="0.2">
      <c r="B61" s="98" t="str">
        <f>[7]Адм!B61</f>
        <v>Розетка 1*Z CR-1608 внут.испол</v>
      </c>
      <c r="C61" s="98" t="str">
        <f>[7]Адм!C61</f>
        <v>шт</v>
      </c>
      <c r="D61" s="98">
        <f>[7]Адм!D61</f>
        <v>5</v>
      </c>
      <c r="E61" s="98">
        <f>[7]Адм!E61</f>
        <v>68.7</v>
      </c>
      <c r="F61" s="1382">
        <f t="shared" ref="F61:F75" si="5">E61*D61</f>
        <v>343.5</v>
      </c>
      <c r="I61" s="609"/>
      <c r="J61" s="609"/>
    </row>
    <row r="62" spans="1:12" x14ac:dyDescent="0.2">
      <c r="B62" s="98" t="str">
        <f>[7]Адм!B62</f>
        <v>Розетка 1*Z керам. В/М бел.наруж.испол.</v>
      </c>
      <c r="C62" s="98" t="str">
        <f>[7]Адм!C62</f>
        <v>шт</v>
      </c>
      <c r="D62" s="98">
        <f>[7]Адм!D62</f>
        <v>5</v>
      </c>
      <c r="E62" s="98">
        <f>[7]Адм!E62</f>
        <v>97.1</v>
      </c>
      <c r="F62" s="1382">
        <f t="shared" si="5"/>
        <v>485.5</v>
      </c>
      <c r="I62" s="609"/>
      <c r="J62" s="609"/>
    </row>
    <row r="63" spans="1:12" x14ac:dyDescent="0.2">
      <c r="B63" s="98" t="str">
        <f>[7]Адм!B63</f>
        <v>Вилка 16А з заземленням</v>
      </c>
      <c r="C63" s="98" t="str">
        <f>[7]Адм!C63</f>
        <v>шт</v>
      </c>
      <c r="D63" s="98">
        <f>[7]Адм!D63</f>
        <v>5</v>
      </c>
      <c r="E63" s="98">
        <f>[7]Адм!E63</f>
        <v>92.4</v>
      </c>
      <c r="F63" s="1382">
        <f t="shared" si="5"/>
        <v>462</v>
      </c>
      <c r="I63" s="609"/>
      <c r="J63" s="609"/>
    </row>
    <row r="64" spans="1:12" x14ac:dyDescent="0.2">
      <c r="B64" s="98" t="str">
        <f>[7]Адм!B64</f>
        <v>Лампа світлодіодна Т8 9 W</v>
      </c>
      <c r="C64" s="98" t="str">
        <f>[7]Адм!C64</f>
        <v>шт</v>
      </c>
      <c r="D64" s="98">
        <f>[7]Адм!D64</f>
        <v>10</v>
      </c>
      <c r="E64" s="98">
        <f>[7]Адм!E64</f>
        <v>85</v>
      </c>
      <c r="F64" s="1382">
        <f t="shared" si="5"/>
        <v>850</v>
      </c>
      <c r="I64" s="609"/>
      <c r="J64" s="609"/>
    </row>
    <row r="65" spans="2:10" x14ac:dyDescent="0.2">
      <c r="B65" s="98" t="str">
        <f>[7]Адм!B65</f>
        <v>Лампа світлодіодна Т8 18 W</v>
      </c>
      <c r="C65" s="98" t="str">
        <f>[7]Адм!C65</f>
        <v>шт</v>
      </c>
      <c r="D65" s="98">
        <f>[7]Адм!D65</f>
        <v>10</v>
      </c>
      <c r="E65" s="98">
        <f>[7]Адм!E65</f>
        <v>120</v>
      </c>
      <c r="F65" s="1382">
        <f t="shared" si="5"/>
        <v>1200</v>
      </c>
      <c r="I65" s="609"/>
      <c r="J65" s="609"/>
    </row>
    <row r="66" spans="2:10" x14ac:dyDescent="0.2">
      <c r="B66" s="98" t="str">
        <f>[7]Адм!B66</f>
        <v>Лампи LED 10W</v>
      </c>
      <c r="C66" s="98" t="str">
        <f>[7]Адм!C66</f>
        <v>шт</v>
      </c>
      <c r="D66" s="98">
        <f>[7]Адм!D66</f>
        <v>10</v>
      </c>
      <c r="E66" s="98">
        <f>[7]Адм!E66</f>
        <v>100</v>
      </c>
      <c r="F66" s="1382">
        <f t="shared" si="5"/>
        <v>1000</v>
      </c>
      <c r="I66" s="609"/>
      <c r="J66" s="609"/>
    </row>
    <row r="67" spans="2:10" x14ac:dyDescent="0.2">
      <c r="B67" s="98" t="str">
        <f>[7]Адм!B67</f>
        <v>Лампи LED 12W</v>
      </c>
      <c r="C67" s="98" t="str">
        <f>[7]Адм!C67</f>
        <v>шт</v>
      </c>
      <c r="D67" s="98">
        <f>[7]Адм!D67</f>
        <v>10</v>
      </c>
      <c r="E67" s="98">
        <f>[7]Адм!E67</f>
        <v>125</v>
      </c>
      <c r="F67" s="1382">
        <f t="shared" si="5"/>
        <v>1250</v>
      </c>
      <c r="I67" s="609"/>
      <c r="J67" s="609"/>
    </row>
    <row r="68" spans="2:10" x14ac:dyDescent="0.2">
      <c r="B68" s="98" t="str">
        <f>[7]Адм!B68</f>
        <v>Лампа світлодіодна Т8 9 W</v>
      </c>
      <c r="C68" s="98" t="str">
        <f>[7]Адм!C68</f>
        <v>шт</v>
      </c>
      <c r="D68" s="98">
        <f>[7]Адм!D68</f>
        <v>10</v>
      </c>
      <c r="E68" s="98">
        <f>[7]Адм!E68</f>
        <v>85</v>
      </c>
      <c r="F68" s="1382">
        <f t="shared" si="5"/>
        <v>850</v>
      </c>
      <c r="I68" s="609"/>
      <c r="J68" s="609"/>
    </row>
    <row r="69" spans="2:10" x14ac:dyDescent="0.2">
      <c r="B69" s="98" t="str">
        <f>[7]Адм!B69</f>
        <v>Лампа світлодіодна Т8 18 W</v>
      </c>
      <c r="C69" s="98" t="str">
        <f>[7]Адм!C69</f>
        <v>шт</v>
      </c>
      <c r="D69" s="98">
        <f>[7]Адм!D69</f>
        <v>10</v>
      </c>
      <c r="E69" s="98">
        <f>[7]Адм!E69</f>
        <v>120</v>
      </c>
      <c r="F69" s="1382">
        <f t="shared" si="5"/>
        <v>1200</v>
      </c>
      <c r="I69" s="609"/>
      <c r="J69" s="609"/>
    </row>
    <row r="70" spans="2:10" x14ac:dyDescent="0.2">
      <c r="B70" s="98" t="str">
        <f>[7]Адм!B70</f>
        <v xml:space="preserve">Ізолента </v>
      </c>
      <c r="C70" s="98" t="str">
        <f>[7]Адм!C70</f>
        <v>шт</v>
      </c>
      <c r="D70" s="98">
        <f>[7]Адм!D70</f>
        <v>5</v>
      </c>
      <c r="E70" s="98">
        <f>[7]Адм!E70</f>
        <v>48.3</v>
      </c>
      <c r="F70" s="1382">
        <f t="shared" si="5"/>
        <v>241.5</v>
      </c>
      <c r="I70" s="609"/>
      <c r="J70" s="609"/>
    </row>
    <row r="71" spans="2:10" x14ac:dyDescent="0.2">
      <c r="B71" s="98" t="str">
        <f>[7]Адм!B71</f>
        <v>Провод  ВВГ-Пнг 2*1,0</v>
      </c>
      <c r="C71" s="98" t="str">
        <f>[7]Адм!C71</f>
        <v>м</v>
      </c>
      <c r="D71" s="98">
        <f>[7]Адм!D71</f>
        <v>40</v>
      </c>
      <c r="E71" s="98">
        <f>[7]Адм!E71</f>
        <v>13</v>
      </c>
      <c r="F71" s="1382">
        <f t="shared" si="5"/>
        <v>520</v>
      </c>
      <c r="I71" s="609"/>
      <c r="J71" s="609"/>
    </row>
    <row r="72" spans="2:10" x14ac:dyDescent="0.2">
      <c r="B72" s="98" t="str">
        <f>[7]Адм!B72</f>
        <v>Провод ВВП 3*2,5 мм</v>
      </c>
      <c r="C72" s="98" t="str">
        <f>[7]Адм!C72</f>
        <v>м</v>
      </c>
      <c r="D72" s="98">
        <f>[7]Адм!D72</f>
        <v>40</v>
      </c>
      <c r="E72" s="98">
        <f>[7]Адм!E72</f>
        <v>38</v>
      </c>
      <c r="F72" s="1382">
        <f t="shared" si="5"/>
        <v>1520</v>
      </c>
      <c r="I72" s="609"/>
      <c r="J72" s="609"/>
    </row>
    <row r="73" spans="2:10" x14ac:dyDescent="0.2">
      <c r="B73" s="98" t="str">
        <f>[7]Адм!B73</f>
        <v>Провід ВВП 4*4,0 мм</v>
      </c>
      <c r="C73" s="98" t="str">
        <f>[7]Адм!C73</f>
        <v>м</v>
      </c>
      <c r="D73" s="98">
        <f>[7]Адм!D73</f>
        <v>40</v>
      </c>
      <c r="E73" s="98">
        <f>[7]Адм!E73</f>
        <v>82</v>
      </c>
      <c r="F73" s="1382">
        <f t="shared" si="5"/>
        <v>3280</v>
      </c>
      <c r="I73" s="609"/>
      <c r="J73" s="609"/>
    </row>
    <row r="74" spans="2:10" x14ac:dyDescent="0.2">
      <c r="B74" s="98" t="str">
        <f>[7]Адм!B74</f>
        <v>Хомут  каб.150*3</v>
      </c>
      <c r="C74" s="98" t="str">
        <f>[7]Адм!C74</f>
        <v>уп</v>
      </c>
      <c r="D74" s="98">
        <f>[7]Адм!D74</f>
        <v>1</v>
      </c>
      <c r="E74" s="98">
        <f>[7]Адм!E74</f>
        <v>48.9</v>
      </c>
      <c r="F74" s="1382">
        <f t="shared" si="5"/>
        <v>48.9</v>
      </c>
      <c r="I74" s="609"/>
      <c r="J74" s="609"/>
    </row>
    <row r="75" spans="2:10" x14ac:dyDescent="0.2">
      <c r="B75" s="98" t="str">
        <f>[7]Адм!B75</f>
        <v>Хомут  каб.200*4</v>
      </c>
      <c r="C75" s="98" t="str">
        <f>[7]Адм!C75</f>
        <v>уп</v>
      </c>
      <c r="D75" s="98">
        <f>[7]Адм!D75</f>
        <v>1</v>
      </c>
      <c r="E75" s="98">
        <f>[7]Адм!E75</f>
        <v>57.9</v>
      </c>
      <c r="F75" s="1382">
        <f t="shared" si="5"/>
        <v>57.9</v>
      </c>
      <c r="I75" s="609"/>
      <c r="J75" s="609"/>
    </row>
    <row r="76" spans="2:10" x14ac:dyDescent="0.2">
      <c r="B76" s="98"/>
      <c r="C76" s="98"/>
      <c r="D76" s="98"/>
      <c r="E76" s="1382"/>
      <c r="F76" s="1382"/>
      <c r="I76" s="609"/>
      <c r="J76" s="609"/>
    </row>
    <row r="77" spans="2:10" x14ac:dyDescent="0.2">
      <c r="B77" s="597" t="s">
        <v>1069</v>
      </c>
      <c r="C77" s="149"/>
      <c r="D77" s="149"/>
      <c r="E77" s="1383"/>
      <c r="F77" s="1384">
        <f>SUM(F61:F76)</f>
        <v>13309.3</v>
      </c>
      <c r="G77" s="564">
        <f>[7]Адм!$F$78</f>
        <v>13309.3</v>
      </c>
      <c r="I77" s="609"/>
      <c r="J77" s="609"/>
    </row>
    <row r="78" spans="2:10" x14ac:dyDescent="0.2">
      <c r="B78" s="149"/>
      <c r="C78" s="149"/>
      <c r="D78" s="149"/>
      <c r="E78" s="1383"/>
      <c r="F78" s="1383"/>
      <c r="I78" s="609"/>
      <c r="J78" s="609"/>
    </row>
    <row r="79" spans="2:10" x14ac:dyDescent="0.2">
      <c r="B79" s="98" t="s">
        <v>1070</v>
      </c>
      <c r="C79" s="98" t="s">
        <v>1071</v>
      </c>
      <c r="D79" s="98" t="s">
        <v>1072</v>
      </c>
      <c r="E79" s="1382" t="s">
        <v>1073</v>
      </c>
      <c r="F79" s="1382" t="s">
        <v>201</v>
      </c>
      <c r="I79" s="609"/>
      <c r="J79" s="609"/>
    </row>
    <row r="80" spans="2:10" x14ac:dyDescent="0.2">
      <c r="B80" s="98"/>
      <c r="C80" s="98"/>
      <c r="D80" s="98"/>
      <c r="E80" s="1382"/>
      <c r="F80" s="1382"/>
      <c r="I80" s="609"/>
      <c r="J80" s="609"/>
    </row>
    <row r="81" spans="2:10" s="120" customFormat="1" x14ac:dyDescent="0.2">
      <c r="B81" s="1385" t="s">
        <v>1074</v>
      </c>
      <c r="C81" s="208"/>
      <c r="D81" s="208"/>
      <c r="E81" s="1386"/>
      <c r="F81" s="1386"/>
      <c r="I81" s="1387"/>
      <c r="J81" s="1387"/>
    </row>
    <row r="82" spans="2:10" x14ac:dyDescent="0.2">
      <c r="B82" s="1388" t="str">
        <f>[7]Адм!B83</f>
        <v>журнал реєстрації  А4, газ.24арк.</v>
      </c>
      <c r="C82" s="98" t="str">
        <f>[7]Адм!C83</f>
        <v>шт</v>
      </c>
      <c r="D82" s="98">
        <f>[7]Адм!D83</f>
        <v>1</v>
      </c>
      <c r="E82" s="98">
        <f>[7]Адм!E83</f>
        <v>49.75</v>
      </c>
      <c r="F82" s="1382">
        <f>D82*E82</f>
        <v>49.75</v>
      </c>
      <c r="I82" s="609"/>
      <c r="J82" s="609"/>
    </row>
    <row r="83" spans="2:10" x14ac:dyDescent="0.2">
      <c r="B83" s="1388" t="str">
        <f>[7]Адм!B84</f>
        <v>блокнот-записник</v>
      </c>
      <c r="C83" s="98" t="str">
        <f>[7]Адм!C84</f>
        <v>шт</v>
      </c>
      <c r="D83" s="98">
        <f>[7]Адм!D84</f>
        <v>5</v>
      </c>
      <c r="E83" s="98">
        <f>[7]Адм!E84</f>
        <v>109.75</v>
      </c>
      <c r="F83" s="1382">
        <f t="shared" ref="F83:F145" si="6">D83*E83</f>
        <v>548.75</v>
      </c>
      <c r="I83" s="609"/>
      <c r="J83" s="609"/>
    </row>
    <row r="84" spans="2:10" x14ac:dyDescent="0.2">
      <c r="B84" s="1388" t="str">
        <f>[7]Адм!B85</f>
        <v>зошит 48 аркушів</v>
      </c>
      <c r="C84" s="98" t="str">
        <f>[7]Адм!C85</f>
        <v>шт</v>
      </c>
      <c r="D84" s="98">
        <f>[7]Адм!D85</f>
        <v>16</v>
      </c>
      <c r="E84" s="98">
        <f>[7]Адм!E85</f>
        <v>18.3</v>
      </c>
      <c r="F84" s="1382">
        <f t="shared" si="6"/>
        <v>292.8</v>
      </c>
      <c r="I84" s="609"/>
      <c r="J84" s="609"/>
    </row>
    <row r="85" spans="2:10" x14ac:dyDescent="0.2">
      <c r="B85" s="1388" t="str">
        <f>[7]Адм!B86</f>
        <v xml:space="preserve">зошит, А4, 176 арк., тв.палітурка, </v>
      </c>
      <c r="C85" s="98" t="str">
        <f>[7]Адм!C86</f>
        <v>шт</v>
      </c>
      <c r="D85" s="98">
        <f>[7]Адм!D86</f>
        <v>5</v>
      </c>
      <c r="E85" s="98">
        <f>[7]Адм!E86</f>
        <v>112.25</v>
      </c>
      <c r="F85" s="1382">
        <f t="shared" si="6"/>
        <v>561.25</v>
      </c>
      <c r="I85" s="609"/>
      <c r="J85" s="609"/>
    </row>
    <row r="86" spans="2:10" x14ac:dyDescent="0.2">
      <c r="B86" s="1388" t="str">
        <f>[7]Адм!B87</f>
        <v>зошит 96 аркушів</v>
      </c>
      <c r="C86" s="98" t="str">
        <f>[7]Адм!C87</f>
        <v>шт</v>
      </c>
      <c r="D86" s="98">
        <f>[7]Адм!D87</f>
        <v>10</v>
      </c>
      <c r="E86" s="98">
        <f>[7]Адм!E87</f>
        <v>51.6</v>
      </c>
      <c r="F86" s="1382">
        <f t="shared" si="6"/>
        <v>516</v>
      </c>
      <c r="I86" s="609"/>
      <c r="J86" s="609"/>
    </row>
    <row r="87" spans="2:10" x14ac:dyDescent="0.2">
      <c r="B87" s="1388" t="str">
        <f>[7]Адм!B88</f>
        <v>папка-швидкозшивач з перфорацією</v>
      </c>
      <c r="C87" s="98" t="str">
        <f>[7]Адм!C88</f>
        <v>шт</v>
      </c>
      <c r="D87" s="98">
        <f>[7]Адм!D88</f>
        <v>100</v>
      </c>
      <c r="E87" s="98">
        <f>[7]Адм!E88</f>
        <v>4.5</v>
      </c>
      <c r="F87" s="1382">
        <f t="shared" si="6"/>
        <v>450</v>
      </c>
      <c r="I87" s="609"/>
      <c r="J87" s="609"/>
    </row>
    <row r="88" spans="2:10" x14ac:dyDescent="0.2">
      <c r="B88" s="1388" t="str">
        <f>[7]Адм!B89</f>
        <v>папка-швидкозшивач з перфорацією</v>
      </c>
      <c r="C88" s="98" t="str">
        <f>[7]Адм!C89</f>
        <v>шт</v>
      </c>
      <c r="D88" s="98">
        <f>[7]Адм!D89</f>
        <v>50</v>
      </c>
      <c r="E88" s="98">
        <f>[7]Адм!E89</f>
        <v>6.5</v>
      </c>
      <c r="F88" s="1382">
        <f t="shared" si="6"/>
        <v>325</v>
      </c>
      <c r="I88" s="609"/>
      <c r="J88" s="609"/>
    </row>
    <row r="89" spans="2:10" x14ac:dyDescent="0.2">
      <c r="B89" s="1388" t="str">
        <f>[7]Адм!B90</f>
        <v>папка "Дело"("Справа")</v>
      </c>
      <c r="C89" s="98" t="str">
        <f>[7]Адм!C90</f>
        <v>шт</v>
      </c>
      <c r="D89" s="98">
        <f>[7]Адм!D90</f>
        <v>30</v>
      </c>
      <c r="E89" s="98">
        <f>[7]Адм!E90</f>
        <v>5.75</v>
      </c>
      <c r="F89" s="1382">
        <f t="shared" si="6"/>
        <v>172.5</v>
      </c>
      <c r="I89" s="609"/>
      <c r="J89" s="609"/>
    </row>
    <row r="90" spans="2:10" x14ac:dyDescent="0.2">
      <c r="B90" s="1388" t="str">
        <f>[7]Адм!B91</f>
        <v>папка-швидкозшивач с проз.верхом</v>
      </c>
      <c r="C90" s="98" t="str">
        <f>[7]Адм!C91</f>
        <v>шт</v>
      </c>
      <c r="D90" s="98">
        <f>[7]Адм!D91</f>
        <v>13</v>
      </c>
      <c r="E90" s="98">
        <f>[7]Адм!E91</f>
        <v>6.25</v>
      </c>
      <c r="F90" s="1382">
        <f t="shared" si="6"/>
        <v>81.25</v>
      </c>
      <c r="I90" s="609"/>
      <c r="J90" s="609"/>
    </row>
    <row r="91" spans="2:10" x14ac:dyDescent="0.2">
      <c r="B91" s="1388" t="str">
        <f>[7]Адм!B92</f>
        <v>папка для паперів на зав"язках</v>
      </c>
      <c r="C91" s="98" t="str">
        <f>[7]Адм!C92</f>
        <v>шт</v>
      </c>
      <c r="D91" s="98">
        <f>[7]Адм!D92</f>
        <v>40</v>
      </c>
      <c r="E91" s="98">
        <f>[7]Адм!E92</f>
        <v>9.75</v>
      </c>
      <c r="F91" s="1382">
        <f t="shared" si="6"/>
        <v>390</v>
      </c>
      <c r="I91" s="609"/>
      <c r="J91" s="609"/>
    </row>
    <row r="92" spans="2:10" x14ac:dyDescent="0.2">
      <c r="B92" s="1388" t="str">
        <f>[7]Адм!B93</f>
        <v>папка А4 пластикова</v>
      </c>
      <c r="C92" s="98" t="str">
        <f>[7]Адм!C93</f>
        <v>шт</v>
      </c>
      <c r="D92" s="98">
        <f>[7]Адм!D93</f>
        <v>1</v>
      </c>
      <c r="E92" s="98">
        <f>[7]Адм!E93</f>
        <v>11.25</v>
      </c>
      <c r="F92" s="1382">
        <f t="shared" si="6"/>
        <v>11.25</v>
      </c>
      <c r="I92" s="609"/>
      <c r="J92" s="609"/>
    </row>
    <row r="93" spans="2:10" x14ac:dyDescent="0.2">
      <c r="B93" s="1388" t="str">
        <f>[7]Адм!B94</f>
        <v>папка дисплей на 20л</v>
      </c>
      <c r="C93" s="98" t="str">
        <f>[7]Адм!C94</f>
        <v>шт</v>
      </c>
      <c r="D93" s="98">
        <f>[7]Адм!D94</f>
        <v>3</v>
      </c>
      <c r="E93" s="98">
        <f>[7]Адм!E94</f>
        <v>50.5</v>
      </c>
      <c r="F93" s="1382">
        <f t="shared" si="6"/>
        <v>151.5</v>
      </c>
      <c r="I93" s="609"/>
      <c r="J93" s="609"/>
    </row>
    <row r="94" spans="2:10" x14ac:dyDescent="0.2">
      <c r="B94" s="1388" t="str">
        <f>[7]Адм!B95</f>
        <v>папка-планшет з затиском</v>
      </c>
      <c r="C94" s="98" t="str">
        <f>[7]Адм!C95</f>
        <v>шт</v>
      </c>
      <c r="D94" s="98">
        <f>[7]Адм!D95</f>
        <v>10</v>
      </c>
      <c r="E94" s="98">
        <f>[7]Адм!E95</f>
        <v>194.87520000000001</v>
      </c>
      <c r="F94" s="1382">
        <f t="shared" si="6"/>
        <v>1948.752</v>
      </c>
      <c r="I94" s="609"/>
      <c r="J94" s="609"/>
    </row>
    <row r="95" spans="2:10" x14ac:dyDescent="0.2">
      <c r="B95" s="1388" t="str">
        <f>[7]Адм!B96</f>
        <v>швидкозшивач</v>
      </c>
      <c r="C95" s="98" t="str">
        <f>[7]Адм!C96</f>
        <v>шт</v>
      </c>
      <c r="D95" s="98">
        <f>[7]Адм!D96</f>
        <v>270</v>
      </c>
      <c r="E95" s="98">
        <f>[7]Адм!E96</f>
        <v>8.25</v>
      </c>
      <c r="F95" s="1382">
        <f t="shared" si="6"/>
        <v>2227.5</v>
      </c>
      <c r="I95" s="609"/>
      <c r="J95" s="609"/>
    </row>
    <row r="96" spans="2:10" x14ac:dyDescent="0.2">
      <c r="B96" s="1388" t="str">
        <f>[7]Адм!B97</f>
        <v>клей-олівець</v>
      </c>
      <c r="C96" s="98" t="str">
        <f>[7]Адм!C97</f>
        <v>шт</v>
      </c>
      <c r="D96" s="98">
        <f>[7]Адм!D97</f>
        <v>5</v>
      </c>
      <c r="E96" s="98">
        <f>[7]Адм!E97</f>
        <v>12.1104</v>
      </c>
      <c r="F96" s="1382">
        <f t="shared" si="6"/>
        <v>60.552</v>
      </c>
      <c r="I96" s="609"/>
      <c r="J96" s="609"/>
    </row>
    <row r="97" spans="2:10" x14ac:dyDescent="0.2">
      <c r="B97" s="1388" t="str">
        <f>[7]Адм!B98</f>
        <v>клей ПВА 35мл</v>
      </c>
      <c r="C97" s="98" t="str">
        <f>[7]Адм!C98</f>
        <v>шт</v>
      </c>
      <c r="D97" s="98">
        <f>[7]Адм!D98</f>
        <v>10</v>
      </c>
      <c r="E97" s="98">
        <f>[7]Адм!E98</f>
        <v>13.147200000000002</v>
      </c>
      <c r="F97" s="1382">
        <f t="shared" si="6"/>
        <v>131.47200000000001</v>
      </c>
      <c r="I97" s="609"/>
      <c r="J97" s="609"/>
    </row>
    <row r="98" spans="2:10" x14ac:dyDescent="0.2">
      <c r="B98" s="1388" t="str">
        <f>[7]Адм!B99</f>
        <v>клей ПВА 200 мл</v>
      </c>
      <c r="C98" s="98" t="str">
        <f>[7]Адм!C99</f>
        <v>шт</v>
      </c>
      <c r="D98" s="98">
        <f>[7]Адм!D99</f>
        <v>10</v>
      </c>
      <c r="E98" s="98">
        <f>[7]Адм!E99</f>
        <v>31.75</v>
      </c>
      <c r="F98" s="1382">
        <f t="shared" si="6"/>
        <v>317.5</v>
      </c>
      <c r="I98" s="609"/>
      <c r="J98" s="609"/>
    </row>
    <row r="99" spans="2:10" x14ac:dyDescent="0.2">
      <c r="B99" s="1388" t="str">
        <f>[7]Адм!B100</f>
        <v>клей силікатний 70 г з пензликом (не купували)</v>
      </c>
      <c r="C99" s="98" t="str">
        <f>[7]Адм!C100</f>
        <v>шт</v>
      </c>
      <c r="D99" s="98">
        <f>[7]Адм!D100</f>
        <v>2</v>
      </c>
      <c r="E99" s="98">
        <f>[7]Адм!E100</f>
        <v>6.8112000000000004</v>
      </c>
      <c r="F99" s="1382">
        <f t="shared" si="6"/>
        <v>13.622400000000001</v>
      </c>
      <c r="I99" s="609"/>
      <c r="J99" s="609"/>
    </row>
    <row r="100" spans="2:10" x14ac:dyDescent="0.2">
      <c r="B100" s="1388" t="str">
        <f>[7]Адм!B101</f>
        <v>стрічка касова для термопринтерів 57/17м</v>
      </c>
      <c r="C100" s="98" t="str">
        <f>[7]Адм!C101</f>
        <v>рул</v>
      </c>
      <c r="D100" s="98">
        <f>[7]Адм!D101</f>
        <v>200</v>
      </c>
      <c r="E100" s="98">
        <f>[7]Адм!E101</f>
        <v>9.5</v>
      </c>
      <c r="F100" s="1382">
        <f t="shared" si="6"/>
        <v>1900</v>
      </c>
      <c r="I100" s="609"/>
      <c r="J100" s="609"/>
    </row>
    <row r="101" spans="2:10" x14ac:dyDescent="0.2">
      <c r="B101" s="1388" t="str">
        <f>[7]Адм!B102</f>
        <v>стрічка клеюча прозора 40 мкм</v>
      </c>
      <c r="C101" s="98" t="str">
        <f>[7]Адм!C102</f>
        <v>рул</v>
      </c>
      <c r="D101" s="98">
        <f>[7]Адм!D102</f>
        <v>4</v>
      </c>
      <c r="E101" s="98">
        <f>[7]Адм!E102</f>
        <v>48.25</v>
      </c>
      <c r="F101" s="1382">
        <f t="shared" si="6"/>
        <v>193</v>
      </c>
      <c r="I101" s="609"/>
      <c r="J101" s="609"/>
    </row>
    <row r="102" spans="2:10" x14ac:dyDescent="0.2">
      <c r="B102" s="1388" t="str">
        <f>[7]Адм!B103</f>
        <v>стрічка клеюча прозора 24*20</v>
      </c>
      <c r="C102" s="98" t="str">
        <f>[7]Адм!C103</f>
        <v>рул</v>
      </c>
      <c r="D102" s="98">
        <f>[7]Адм!D103</f>
        <v>159</v>
      </c>
      <c r="E102" s="98">
        <f>[7]Адм!E103</f>
        <v>11.1</v>
      </c>
      <c r="F102" s="1382">
        <f t="shared" si="6"/>
        <v>1764.8999999999999</v>
      </c>
      <c r="I102" s="609"/>
      <c r="J102" s="609"/>
    </row>
    <row r="103" spans="2:10" x14ac:dyDescent="0.2">
      <c r="B103" s="1388" t="str">
        <f>[7]Адм!B104</f>
        <v>ручка масляна</v>
      </c>
      <c r="C103" s="98" t="str">
        <f>[7]Адм!C104</f>
        <v>шт</v>
      </c>
      <c r="D103" s="98">
        <f>[7]Адм!D104</f>
        <v>4</v>
      </c>
      <c r="E103" s="98">
        <f>[7]Адм!E104</f>
        <v>7.1999999999999993</v>
      </c>
      <c r="F103" s="1382">
        <f t="shared" si="6"/>
        <v>28.799999999999997</v>
      </c>
      <c r="I103" s="609"/>
      <c r="J103" s="609"/>
    </row>
    <row r="104" spans="2:10" x14ac:dyDescent="0.2">
      <c r="B104" s="1388" t="str">
        <f>[7]Адм!B105</f>
        <v>ручка кулькова</v>
      </c>
      <c r="C104" s="98" t="str">
        <f>[7]Адм!C105</f>
        <v>шт</v>
      </c>
      <c r="D104" s="98">
        <f>[7]Адм!D105</f>
        <v>248</v>
      </c>
      <c r="E104" s="98">
        <f>[7]Адм!E105</f>
        <v>17</v>
      </c>
      <c r="F104" s="1382">
        <f t="shared" si="6"/>
        <v>4216</v>
      </c>
      <c r="I104" s="609"/>
      <c r="J104" s="609"/>
    </row>
    <row r="105" spans="2:10" x14ac:dyDescent="0.2">
      <c r="B105" s="1388" t="str">
        <f>[7]Адм!B106</f>
        <v>ручка-коректор</v>
      </c>
      <c r="C105" s="98" t="str">
        <f>[7]Адм!C106</f>
        <v>шт</v>
      </c>
      <c r="D105" s="98">
        <f>[7]Адм!D106</f>
        <v>15</v>
      </c>
      <c r="E105" s="98">
        <f>[7]Адм!E106</f>
        <v>21.25</v>
      </c>
      <c r="F105" s="1382">
        <f t="shared" si="6"/>
        <v>318.75</v>
      </c>
      <c r="I105" s="609"/>
      <c r="J105" s="609"/>
    </row>
    <row r="106" spans="2:10" x14ac:dyDescent="0.2">
      <c r="B106" s="1388" t="str">
        <f>[7]Адм!B107</f>
        <v>стрижень кульковий (не купували)</v>
      </c>
      <c r="C106" s="98" t="str">
        <f>[7]Адм!C107</f>
        <v>шт</v>
      </c>
      <c r="D106" s="98">
        <f>[7]Адм!D107</f>
        <v>296</v>
      </c>
      <c r="E106" s="98">
        <f>[7]Адм!E107</f>
        <v>2.1</v>
      </c>
      <c r="F106" s="1382">
        <f t="shared" si="6"/>
        <v>621.6</v>
      </c>
      <c r="I106" s="609"/>
      <c r="J106" s="609"/>
    </row>
    <row r="107" spans="2:10" x14ac:dyDescent="0.2">
      <c r="B107" s="1388" t="str">
        <f>[7]Адм!B108</f>
        <v>чинка металева</v>
      </c>
      <c r="C107" s="98" t="str">
        <f>[7]Адм!C108</f>
        <v>шт</v>
      </c>
      <c r="D107" s="98">
        <f>[7]Адм!D108</f>
        <v>2</v>
      </c>
      <c r="E107" s="98">
        <f>[7]Адм!E108</f>
        <v>10</v>
      </c>
      <c r="F107" s="1382">
        <f t="shared" si="6"/>
        <v>20</v>
      </c>
      <c r="I107" s="609"/>
      <c r="J107" s="609"/>
    </row>
    <row r="108" spans="2:10" x14ac:dyDescent="0.2">
      <c r="B108" s="1388" t="str">
        <f>[7]Адм!B109</f>
        <v xml:space="preserve">олівець креслярський </v>
      </c>
      <c r="C108" s="98" t="str">
        <f>[7]Адм!C109</f>
        <v>шт</v>
      </c>
      <c r="D108" s="98">
        <f>[7]Адм!D109</f>
        <v>10</v>
      </c>
      <c r="E108" s="98">
        <f>[7]Адм!E109</f>
        <v>36</v>
      </c>
      <c r="F108" s="1382">
        <f t="shared" si="6"/>
        <v>360</v>
      </c>
      <c r="I108" s="609"/>
      <c r="J108" s="609"/>
    </row>
    <row r="109" spans="2:10" x14ac:dyDescent="0.2">
      <c r="B109" s="1388" t="str">
        <f>[7]Адм!B110</f>
        <v>олівець чорнографітовий без гумки</v>
      </c>
      <c r="C109" s="98" t="str">
        <f>[7]Адм!C110</f>
        <v>шт</v>
      </c>
      <c r="D109" s="98">
        <f>[7]Адм!D110</f>
        <v>50</v>
      </c>
      <c r="E109" s="98">
        <f>[7]Адм!E110</f>
        <v>6.5</v>
      </c>
      <c r="F109" s="1382">
        <f t="shared" si="6"/>
        <v>325</v>
      </c>
      <c r="I109" s="609"/>
      <c r="J109" s="609"/>
    </row>
    <row r="110" spans="2:10" x14ac:dyDescent="0.2">
      <c r="B110" s="1388" t="str">
        <f>[7]Адм!B111</f>
        <v>олівець 0.5 мм</v>
      </c>
      <c r="C110" s="98" t="str">
        <f>[7]Адм!C111</f>
        <v>шт</v>
      </c>
      <c r="D110" s="98">
        <f>[7]Адм!D111</f>
        <v>4</v>
      </c>
      <c r="E110" s="98">
        <f>[7]Адм!E111</f>
        <v>10.25</v>
      </c>
      <c r="F110" s="1382">
        <f t="shared" si="6"/>
        <v>41</v>
      </c>
      <c r="I110" s="609"/>
      <c r="J110" s="609"/>
    </row>
    <row r="111" spans="2:10" x14ac:dyDescent="0.2">
      <c r="B111" s="1388" t="str">
        <f>[7]Адм!B112</f>
        <v>грифель 0.5 мм</v>
      </c>
      <c r="C111" s="98" t="str">
        <f>[7]Адм!C112</f>
        <v>пач</v>
      </c>
      <c r="D111" s="98">
        <f>[7]Адм!D112</f>
        <v>10</v>
      </c>
      <c r="E111" s="98">
        <f>[7]Адм!E112</f>
        <v>23.25</v>
      </c>
      <c r="F111" s="1382">
        <f t="shared" si="6"/>
        <v>232.5</v>
      </c>
      <c r="I111" s="609"/>
      <c r="J111" s="609"/>
    </row>
    <row r="112" spans="2:10" x14ac:dyDescent="0.2">
      <c r="B112" s="1388" t="str">
        <f>[7]Адм!B113</f>
        <v>скріпка канцелярська 25мм (1000 шт.)</v>
      </c>
      <c r="C112" s="98" t="str">
        <f>[7]Адм!C113</f>
        <v>шт</v>
      </c>
      <c r="D112" s="98">
        <f>[7]Адм!D113</f>
        <v>13</v>
      </c>
      <c r="E112" s="98">
        <f>[7]Адм!E113</f>
        <v>10.007999999999999</v>
      </c>
      <c r="F112" s="1382">
        <f t="shared" si="6"/>
        <v>130.10399999999998</v>
      </c>
      <c r="I112" s="609"/>
      <c r="J112" s="609"/>
    </row>
    <row r="113" spans="2:10" x14ac:dyDescent="0.2">
      <c r="B113" s="1388" t="str">
        <f>[7]Адм!B114</f>
        <v>скріпка канцелярська кругла 25мм (100 шт.)</v>
      </c>
      <c r="C113" s="98" t="str">
        <f>[7]Адм!C114</f>
        <v>пач</v>
      </c>
      <c r="D113" s="98">
        <f>[7]Адм!D114</f>
        <v>27</v>
      </c>
      <c r="E113" s="98">
        <f>[7]Адм!E114</f>
        <v>11.2608</v>
      </c>
      <c r="F113" s="1382">
        <f t="shared" si="6"/>
        <v>304.04160000000002</v>
      </c>
      <c r="I113" s="609"/>
      <c r="J113" s="609"/>
    </row>
    <row r="114" spans="2:10" x14ac:dyDescent="0.2">
      <c r="B114" s="1388" t="str">
        <f>[7]Адм!B115</f>
        <v>скоби № 10 (1000 шт.)</v>
      </c>
      <c r="C114" s="98" t="str">
        <f>[7]Адм!C115</f>
        <v>пач</v>
      </c>
      <c r="D114" s="98">
        <f>[7]Адм!D115</f>
        <v>33</v>
      </c>
      <c r="E114" s="98">
        <f>[7]Адм!E115</f>
        <v>11.735999999999999</v>
      </c>
      <c r="F114" s="1382">
        <f t="shared" si="6"/>
        <v>387.28799999999995</v>
      </c>
      <c r="I114" s="609"/>
      <c r="J114" s="609"/>
    </row>
    <row r="115" spans="2:10" x14ac:dyDescent="0.2">
      <c r="B115" s="1388" t="str">
        <f>[7]Адм!B116</f>
        <v>скоби № 10 /5</v>
      </c>
      <c r="C115" s="98" t="str">
        <f>[7]Адм!C116</f>
        <v>пач</v>
      </c>
      <c r="D115" s="98">
        <f>[7]Адм!D116</f>
        <v>10</v>
      </c>
      <c r="E115" s="98">
        <f>[7]Адм!E116</f>
        <v>10.799999999999999</v>
      </c>
      <c r="F115" s="1382">
        <f t="shared" si="6"/>
        <v>107.99999999999999</v>
      </c>
      <c r="I115" s="609"/>
      <c r="J115" s="609"/>
    </row>
    <row r="116" spans="2:10" x14ac:dyDescent="0.2">
      <c r="B116" s="1388" t="str">
        <f>[7]Адм!B117</f>
        <v>скобы 24</v>
      </c>
      <c r="C116" s="98" t="str">
        <f>[7]Адм!C117</f>
        <v>пач</v>
      </c>
      <c r="D116" s="98">
        <f>[7]Адм!D117</f>
        <v>4</v>
      </c>
      <c r="E116" s="98">
        <f>[7]Адм!E117</f>
        <v>17.75</v>
      </c>
      <c r="F116" s="1382">
        <f t="shared" si="6"/>
        <v>71</v>
      </c>
      <c r="I116" s="609"/>
      <c r="J116" s="609"/>
    </row>
    <row r="117" spans="2:10" x14ac:dyDescent="0.2">
      <c r="B117" s="1388" t="str">
        <f>[7]Адм!B118</f>
        <v>маркер текстовий</v>
      </c>
      <c r="C117" s="98" t="str">
        <f>[7]Адм!C118</f>
        <v>шт</v>
      </c>
      <c r="D117" s="98">
        <f>[7]Адм!D118</f>
        <v>20</v>
      </c>
      <c r="E117" s="98">
        <f>[7]Адм!E118</f>
        <v>26</v>
      </c>
      <c r="F117" s="1382">
        <f t="shared" si="6"/>
        <v>520</v>
      </c>
      <c r="I117" s="609"/>
      <c r="J117" s="609"/>
    </row>
    <row r="118" spans="2:10" x14ac:dyDescent="0.2">
      <c r="B118" s="1388" t="str">
        <f>[7]Адм!B119</f>
        <v>маркер</v>
      </c>
      <c r="C118" s="98" t="str">
        <f>[7]Адм!C119</f>
        <v>шт</v>
      </c>
      <c r="D118" s="98">
        <f>[7]Адм!D119</f>
        <v>41</v>
      </c>
      <c r="E118" s="98">
        <f>[7]Адм!E119</f>
        <v>28.104000000000003</v>
      </c>
      <c r="F118" s="1382">
        <f t="shared" si="6"/>
        <v>1152.2640000000001</v>
      </c>
      <c r="I118" s="609"/>
      <c r="J118" s="609"/>
    </row>
    <row r="119" spans="2:10" x14ac:dyDescent="0.2">
      <c r="B119" s="1388" t="str">
        <f>[7]Адм!B120</f>
        <v>Гумка SunpearI,чорнило-олівець</v>
      </c>
      <c r="C119" s="98" t="str">
        <f>[7]Адм!C120</f>
        <v>шт</v>
      </c>
      <c r="D119" s="98">
        <f>[7]Адм!D120</f>
        <v>22</v>
      </c>
      <c r="E119" s="98">
        <f>[7]Адм!E120</f>
        <v>10.699199999999998</v>
      </c>
      <c r="F119" s="1382">
        <f t="shared" si="6"/>
        <v>235.38239999999996</v>
      </c>
      <c r="I119" s="609"/>
      <c r="J119" s="609"/>
    </row>
    <row r="120" spans="2:10" x14ac:dyDescent="0.2">
      <c r="B120" s="1388" t="str">
        <f>[7]Адм!B121</f>
        <v>гумки для грошей 200 гр</v>
      </c>
      <c r="C120" s="98" t="str">
        <f>[7]Адм!C121</f>
        <v>пач</v>
      </c>
      <c r="D120" s="98">
        <f>[7]Адм!D121</f>
        <v>5</v>
      </c>
      <c r="E120" s="98">
        <f>[7]Адм!E121</f>
        <v>136.25</v>
      </c>
      <c r="F120" s="1382">
        <f t="shared" si="6"/>
        <v>681.25</v>
      </c>
      <c r="I120" s="609"/>
      <c r="J120" s="609"/>
    </row>
    <row r="121" spans="2:10" x14ac:dyDescent="0.2">
      <c r="B121" s="1388" t="str">
        <f>[7]Адм!B122</f>
        <v>ніж канцелярский</v>
      </c>
      <c r="C121" s="98" t="str">
        <f>[7]Адм!C122</f>
        <v>шт</v>
      </c>
      <c r="D121" s="98">
        <f>[7]Адм!D122</f>
        <v>10</v>
      </c>
      <c r="E121" s="98">
        <f>[7]Адм!E122</f>
        <v>63.995999999999995</v>
      </c>
      <c r="F121" s="1382">
        <f t="shared" si="6"/>
        <v>639.95999999999992</v>
      </c>
      <c r="I121" s="609"/>
      <c r="J121" s="609"/>
    </row>
    <row r="122" spans="2:10" x14ac:dyDescent="0.2">
      <c r="B122" s="1388" t="str">
        <f>[7]Адм!B123</f>
        <v>папір для нотаток 90х90х80мм</v>
      </c>
      <c r="C122" s="98" t="str">
        <f>[7]Адм!C123</f>
        <v>пач</v>
      </c>
      <c r="D122" s="98">
        <f>[7]Адм!D123</f>
        <v>15</v>
      </c>
      <c r="E122" s="98">
        <f>[7]Адм!E123</f>
        <v>96.3</v>
      </c>
      <c r="F122" s="1382">
        <f t="shared" si="6"/>
        <v>1444.5</v>
      </c>
      <c r="I122" s="609"/>
      <c r="J122" s="609"/>
    </row>
    <row r="123" spans="2:10" x14ac:dyDescent="0.2">
      <c r="B123" s="1388" t="str">
        <f>[7]Адм!B124</f>
        <v>папір офісний А 3</v>
      </c>
      <c r="C123" s="98" t="str">
        <f>[7]Адм!C124</f>
        <v>пач</v>
      </c>
      <c r="D123" s="98">
        <f>[7]Адм!D124</f>
        <v>1</v>
      </c>
      <c r="E123" s="98">
        <f>[7]Адм!E124</f>
        <v>616.25</v>
      </c>
      <c r="F123" s="1382">
        <f t="shared" si="6"/>
        <v>616.25</v>
      </c>
      <c r="I123" s="609"/>
      <c r="J123" s="609"/>
    </row>
    <row r="124" spans="2:10" x14ac:dyDescent="0.2">
      <c r="B124" s="1388" t="str">
        <f>[7]Адм!B125</f>
        <v>папір офісний А4, 500 арк.</v>
      </c>
      <c r="C124" s="98" t="str">
        <f>[7]Адм!C125</f>
        <v>пач</v>
      </c>
      <c r="D124" s="98">
        <f>[7]Адм!D125</f>
        <v>200</v>
      </c>
      <c r="E124" s="98">
        <f>[7]Адм!E125</f>
        <v>196.2</v>
      </c>
      <c r="F124" s="1382">
        <f t="shared" si="6"/>
        <v>39240</v>
      </c>
      <c r="I124" s="609"/>
      <c r="J124" s="609"/>
    </row>
    <row r="125" spans="2:10" x14ac:dyDescent="0.2">
      <c r="B125" s="1388" t="str">
        <f>[7]Адм!B126</f>
        <v>папір офісний А4</v>
      </c>
      <c r="C125" s="98" t="str">
        <f>[7]Адм!C126</f>
        <v>пач</v>
      </c>
      <c r="D125" s="98">
        <f>[7]Адм!D126</f>
        <v>2</v>
      </c>
      <c r="E125" s="98">
        <f>[7]Адм!E126</f>
        <v>318</v>
      </c>
      <c r="F125" s="1382">
        <f t="shared" si="6"/>
        <v>636</v>
      </c>
      <c r="I125" s="609"/>
      <c r="J125" s="609"/>
    </row>
    <row r="126" spans="2:10" x14ac:dyDescent="0.2">
      <c r="B126" s="1388" t="str">
        <f>[7]Адм!B127</f>
        <v>папір офісний А5</v>
      </c>
      <c r="C126" s="98" t="str">
        <f>[7]Адм!C127</f>
        <v>пач</v>
      </c>
      <c r="D126" s="98">
        <f>[7]Адм!D127</f>
        <v>45</v>
      </c>
      <c r="E126" s="98">
        <f>[7]Адм!E127</f>
        <v>106.5</v>
      </c>
      <c r="F126" s="1382">
        <f t="shared" si="6"/>
        <v>4792.5</v>
      </c>
      <c r="I126" s="609"/>
      <c r="J126" s="609"/>
    </row>
    <row r="127" spans="2:10" x14ac:dyDescent="0.2">
      <c r="B127" s="1388" t="str">
        <f>[7]Адм!B128</f>
        <v>файл-конверт А4 100 шт</v>
      </c>
      <c r="C127" s="98" t="str">
        <f>[7]Адм!C128</f>
        <v>пач</v>
      </c>
      <c r="D127" s="98">
        <f>[7]Адм!D128</f>
        <v>22</v>
      </c>
      <c r="E127" s="98">
        <f>[7]Адм!E128</f>
        <v>151.19999999999999</v>
      </c>
      <c r="F127" s="1382">
        <f t="shared" si="6"/>
        <v>3326.3999999999996</v>
      </c>
      <c r="I127" s="609"/>
      <c r="J127" s="609"/>
    </row>
    <row r="128" spans="2:10" x14ac:dyDescent="0.2">
      <c r="B128" s="1388" t="str">
        <f>[7]Адм!B129</f>
        <v>закладка неонова 5 кольорів 12х45мм,125шт,cтрілка</v>
      </c>
      <c r="C128" s="98" t="str">
        <f>[7]Адм!C129</f>
        <v>пач</v>
      </c>
      <c r="D128" s="98">
        <f>[7]Адм!D129</f>
        <v>10</v>
      </c>
      <c r="E128" s="98">
        <f>[7]Адм!E129</f>
        <v>18.446400000000001</v>
      </c>
      <c r="F128" s="1382">
        <f t="shared" si="6"/>
        <v>184.464</v>
      </c>
      <c r="I128" s="609"/>
      <c r="J128" s="609"/>
    </row>
    <row r="129" spans="2:10" x14ac:dyDescent="0.2">
      <c r="B129" s="1388" t="str">
        <f>[7]Адм!B130</f>
        <v xml:space="preserve">подорожній лист </v>
      </c>
      <c r="C129" s="98" t="str">
        <f>[7]Адм!C130</f>
        <v>пач</v>
      </c>
      <c r="D129" s="98">
        <f>[7]Адм!D130</f>
        <v>20</v>
      </c>
      <c r="E129" s="98">
        <f>[7]Адм!E130</f>
        <v>151.5</v>
      </c>
      <c r="F129" s="1382">
        <f t="shared" si="6"/>
        <v>3030</v>
      </c>
      <c r="I129" s="609"/>
      <c r="J129" s="609"/>
    </row>
    <row r="130" spans="2:10" x14ac:dyDescent="0.2">
      <c r="B130" s="1388" t="str">
        <f>[7]Адм!B131</f>
        <v xml:space="preserve">календар настінний </v>
      </c>
      <c r="C130" s="98" t="str">
        <f>[7]Адм!C131</f>
        <v>шт</v>
      </c>
      <c r="D130" s="98">
        <f>[7]Адм!D131</f>
        <v>15</v>
      </c>
      <c r="E130" s="98">
        <f>[7]Адм!E131</f>
        <v>109.08</v>
      </c>
      <c r="F130" s="1382">
        <f t="shared" si="6"/>
        <v>1636.2</v>
      </c>
      <c r="I130" s="609"/>
      <c r="J130" s="609"/>
    </row>
    <row r="131" spans="2:10" x14ac:dyDescent="0.2">
      <c r="B131" s="1388" t="str">
        <f>[7]Адм!B132</f>
        <v>календарь перекедной</v>
      </c>
      <c r="C131" s="98" t="str">
        <f>[7]Адм!C132</f>
        <v>шт</v>
      </c>
      <c r="D131" s="98">
        <f>[7]Адм!D132</f>
        <v>7</v>
      </c>
      <c r="E131" s="98">
        <f>[7]Адм!E132</f>
        <v>34.295999999999999</v>
      </c>
      <c r="F131" s="1382">
        <f t="shared" si="6"/>
        <v>240.072</v>
      </c>
      <c r="I131" s="609"/>
      <c r="J131" s="609"/>
    </row>
    <row r="132" spans="2:10" x14ac:dyDescent="0.2">
      <c r="B132" s="1388" t="str">
        <f>[7]Адм!B133</f>
        <v>ножницы с резин.вставками</v>
      </c>
      <c r="C132" s="98" t="str">
        <f>[7]Адм!C133</f>
        <v>шт</v>
      </c>
      <c r="D132" s="98">
        <f>[7]Адм!D133</f>
        <v>8</v>
      </c>
      <c r="E132" s="98">
        <f>[7]Адм!E133</f>
        <v>56.5</v>
      </c>
      <c r="F132" s="1382">
        <f t="shared" si="6"/>
        <v>452</v>
      </c>
      <c r="I132" s="609"/>
      <c r="J132" s="609"/>
    </row>
    <row r="133" spans="2:10" x14ac:dyDescent="0.2">
      <c r="B133" s="1388" t="str">
        <f>[7]Адм!B134</f>
        <v>степлер  № 10</v>
      </c>
      <c r="C133" s="98" t="str">
        <f>[7]Адм!C134</f>
        <v>шт</v>
      </c>
      <c r="D133" s="98">
        <f>[7]Адм!D134</f>
        <v>10</v>
      </c>
      <c r="E133" s="98">
        <f>[7]Адм!E134</f>
        <v>75.75</v>
      </c>
      <c r="F133" s="1382">
        <f t="shared" si="6"/>
        <v>757.5</v>
      </c>
      <c r="I133" s="609"/>
      <c r="J133" s="609"/>
    </row>
    <row r="134" spans="2:10" x14ac:dyDescent="0.2">
      <c r="B134" s="1388" t="str">
        <f>[7]Адм!B135</f>
        <v>антистеплер</v>
      </c>
      <c r="C134" s="98" t="str">
        <f>[7]Адм!C135</f>
        <v>шт</v>
      </c>
      <c r="D134" s="98">
        <f>[7]Адм!D135</f>
        <v>5</v>
      </c>
      <c r="E134" s="98">
        <f>[7]Адм!E135</f>
        <v>33.25</v>
      </c>
      <c r="F134" s="1382">
        <f t="shared" si="6"/>
        <v>166.25</v>
      </c>
      <c r="I134" s="609"/>
      <c r="J134" s="609"/>
    </row>
    <row r="135" spans="2:10" x14ac:dyDescent="0.2">
      <c r="B135" s="1388" t="str">
        <f>[7]Адм!B136</f>
        <v>затиск для паперу 25 мм</v>
      </c>
      <c r="C135" s="98" t="str">
        <f>[7]Адм!C136</f>
        <v>шт</v>
      </c>
      <c r="D135" s="98">
        <f>[7]Адм!D136</f>
        <v>10</v>
      </c>
      <c r="E135" s="98">
        <f>[7]Адм!E136</f>
        <v>28.584</v>
      </c>
      <c r="F135" s="1382">
        <f t="shared" si="6"/>
        <v>285.83999999999997</v>
      </c>
      <c r="I135" s="609"/>
      <c r="J135" s="609"/>
    </row>
    <row r="136" spans="2:10" x14ac:dyDescent="0.2">
      <c r="B136" s="1388" t="str">
        <f>[7]Адм!B137</f>
        <v>затиск для паперу 19 мм</v>
      </c>
      <c r="C136" s="98" t="str">
        <f>[7]Адм!C137</f>
        <v>шт</v>
      </c>
      <c r="D136" s="98">
        <f>[7]Адм!D137</f>
        <v>10</v>
      </c>
      <c r="E136" s="98">
        <f>[7]Адм!E137</f>
        <v>15.75</v>
      </c>
      <c r="F136" s="1382">
        <f t="shared" si="6"/>
        <v>157.5</v>
      </c>
      <c r="I136" s="609"/>
      <c r="J136" s="609"/>
    </row>
    <row r="137" spans="2:10" x14ac:dyDescent="0.2">
      <c r="B137" s="1388" t="str">
        <f>[7]Адм!B138</f>
        <v xml:space="preserve">кисть флейцевая </v>
      </c>
      <c r="C137" s="98" t="str">
        <f>[7]Адм!C138</f>
        <v>шт</v>
      </c>
      <c r="D137" s="98">
        <f>[7]Адм!D138</f>
        <v>2</v>
      </c>
      <c r="E137" s="98">
        <f>[7]Адм!E138</f>
        <v>36</v>
      </c>
      <c r="F137" s="1382">
        <f t="shared" si="6"/>
        <v>72</v>
      </c>
      <c r="I137" s="609"/>
      <c r="J137" s="609"/>
    </row>
    <row r="138" spans="2:10" x14ac:dyDescent="0.2">
      <c r="B138" s="1388" t="str">
        <f>[7]Адм!B139</f>
        <v>пензель-макловиця тип "Мини" 30х120мм натурал.ворс</v>
      </c>
      <c r="C138" s="98" t="str">
        <f>[7]Адм!C139</f>
        <v>шт</v>
      </c>
      <c r="D138" s="98">
        <f>[7]Адм!D139</f>
        <v>2</v>
      </c>
      <c r="E138" s="98">
        <f>[7]Адм!E139</f>
        <v>42.48</v>
      </c>
      <c r="F138" s="1382">
        <f t="shared" si="6"/>
        <v>84.96</v>
      </c>
      <c r="I138" s="609"/>
      <c r="J138" s="609"/>
    </row>
    <row r="139" spans="2:10" x14ac:dyDescent="0.2">
      <c r="B139" s="1388" t="str">
        <f>[7]Адм!B140</f>
        <v>фарба штемпельна</v>
      </c>
      <c r="C139" s="98" t="str">
        <f>[7]Адм!C140</f>
        <v>шт</v>
      </c>
      <c r="D139" s="98">
        <f>[7]Адм!D140</f>
        <v>9</v>
      </c>
      <c r="E139" s="98">
        <f>[7]Адм!E140</f>
        <v>49.247999999999998</v>
      </c>
      <c r="F139" s="1382">
        <f t="shared" si="6"/>
        <v>443.23199999999997</v>
      </c>
      <c r="I139" s="609"/>
      <c r="J139" s="609"/>
    </row>
    <row r="140" spans="2:10" x14ac:dyDescent="0.2">
      <c r="B140" s="1388" t="str">
        <f>[7]Адм!B141</f>
        <v>реєстратор 50 мм двостор.</v>
      </c>
      <c r="C140" s="98" t="str">
        <f>[7]Адм!C141</f>
        <v>шт</v>
      </c>
      <c r="D140" s="98">
        <f>[7]Адм!D141</f>
        <v>105</v>
      </c>
      <c r="E140" s="98">
        <f>[7]Адм!E141</f>
        <v>80.5</v>
      </c>
      <c r="F140" s="1382">
        <f t="shared" si="6"/>
        <v>8452.5</v>
      </c>
      <c r="I140" s="609"/>
      <c r="J140" s="609"/>
    </row>
    <row r="141" spans="2:10" x14ac:dyDescent="0.2">
      <c r="B141" s="1388" t="str">
        <f>[7]Адм!B142</f>
        <v>чинка металева</v>
      </c>
      <c r="C141" s="98" t="str">
        <f>[7]Адм!C142</f>
        <v>шт</v>
      </c>
      <c r="D141" s="98">
        <f>[7]Адм!D142</f>
        <v>4</v>
      </c>
      <c r="E141" s="98">
        <f>[7]Адм!E142</f>
        <v>10</v>
      </c>
      <c r="F141" s="1382">
        <f t="shared" si="6"/>
        <v>40</v>
      </c>
      <c r="I141" s="609"/>
      <c r="J141" s="609"/>
    </row>
    <row r="142" spans="2:10" x14ac:dyDescent="0.2">
      <c r="B142" s="1388" t="str">
        <f>[7]Адм!B143</f>
        <v>діркопробивач  Welle-2 20 аркушів чорний</v>
      </c>
      <c r="C142" s="98" t="str">
        <f>[7]Адм!C143</f>
        <v>шт</v>
      </c>
      <c r="D142" s="98">
        <f>[7]Адм!D143</f>
        <v>2</v>
      </c>
      <c r="E142" s="98">
        <f>[7]Адм!E143</f>
        <v>112.752</v>
      </c>
      <c r="F142" s="1382">
        <f t="shared" si="6"/>
        <v>225.50399999999999</v>
      </c>
      <c r="I142" s="609"/>
      <c r="J142" s="609"/>
    </row>
    <row r="143" spans="2:10" x14ac:dyDescent="0.2">
      <c r="B143" s="1388" t="str">
        <f>[7]Адм!B144</f>
        <v>штемпель самонабиратель</v>
      </c>
      <c r="C143" s="98" t="str">
        <f>[7]Адм!C144</f>
        <v>шт</v>
      </c>
      <c r="D143" s="98">
        <f>[7]Адм!D144</f>
        <v>1</v>
      </c>
      <c r="E143" s="98">
        <f>[7]Адм!E144</f>
        <v>365.16</v>
      </c>
      <c r="F143" s="1382">
        <f t="shared" si="6"/>
        <v>365.16</v>
      </c>
      <c r="I143" s="609"/>
      <c r="J143" s="609"/>
    </row>
    <row r="144" spans="2:10" x14ac:dyDescent="0.2">
      <c r="B144" s="1388">
        <f>[7]Адм!B145</f>
        <v>0</v>
      </c>
      <c r="C144" s="98">
        <f>[7]Адм!C145</f>
        <v>0</v>
      </c>
      <c r="D144" s="98">
        <f>[7]Адм!D145</f>
        <v>0</v>
      </c>
      <c r="E144" s="98">
        <f>[7]Адм!E145</f>
        <v>0</v>
      </c>
      <c r="F144" s="1382">
        <f t="shared" si="6"/>
        <v>0</v>
      </c>
      <c r="I144" s="609"/>
      <c r="J144" s="609"/>
    </row>
    <row r="145" spans="2:10" x14ac:dyDescent="0.2">
      <c r="B145" s="1388">
        <f>[7]Адм!B146</f>
        <v>0</v>
      </c>
      <c r="C145" s="98">
        <f>[7]Адм!C146</f>
        <v>0</v>
      </c>
      <c r="D145" s="98">
        <f>[7]Адм!D146</f>
        <v>0</v>
      </c>
      <c r="E145" s="98">
        <f>[7]Адм!E146</f>
        <v>0</v>
      </c>
      <c r="F145" s="1382">
        <f t="shared" si="6"/>
        <v>0</v>
      </c>
      <c r="I145" s="609"/>
      <c r="J145" s="609"/>
    </row>
    <row r="146" spans="2:10" s="120" customFormat="1" x14ac:dyDescent="0.2">
      <c r="B146" s="1385" t="s">
        <v>1075</v>
      </c>
      <c r="C146" s="208"/>
      <c r="D146" s="208"/>
      <c r="E146" s="1386"/>
      <c r="F146" s="1386">
        <f>SUM(F82:F145)</f>
        <v>89149.1204</v>
      </c>
      <c r="G146" s="1351">
        <f>[7]Адм!$F$147</f>
        <v>89149.1204</v>
      </c>
      <c r="I146" s="1387"/>
      <c r="J146" s="1387"/>
    </row>
    <row r="147" spans="2:10" x14ac:dyDescent="0.2">
      <c r="B147" s="1388"/>
      <c r="C147" s="98"/>
      <c r="D147" s="98"/>
      <c r="E147" s="1382"/>
      <c r="F147" s="1382"/>
      <c r="I147" s="609"/>
      <c r="J147" s="609"/>
    </row>
    <row r="148" spans="2:10" s="120" customFormat="1" x14ac:dyDescent="0.2">
      <c r="B148" s="1385" t="s">
        <v>1043</v>
      </c>
      <c r="C148" s="208"/>
      <c r="D148" s="208"/>
      <c r="E148" s="1386"/>
      <c r="F148" s="1386"/>
      <c r="I148" s="1387"/>
      <c r="J148" s="1387"/>
    </row>
    <row r="149" spans="2:10" x14ac:dyDescent="0.2">
      <c r="B149" s="1388" t="str">
        <f>[7]Адм!B150</f>
        <v>картридж лазерний Canon 052H</v>
      </c>
      <c r="C149" s="98" t="str">
        <f>[7]Адм!C150</f>
        <v>шт</v>
      </c>
      <c r="D149" s="98">
        <f>[7]Адм!D150</f>
        <v>2</v>
      </c>
      <c r="E149" s="98">
        <f>[7]Адм!E150</f>
        <v>4978.8</v>
      </c>
      <c r="F149" s="1382">
        <f t="shared" ref="F149:F160" si="7">D149*E149</f>
        <v>9957.6</v>
      </c>
      <c r="I149" s="609"/>
      <c r="J149" s="609"/>
    </row>
    <row r="150" spans="2:10" x14ac:dyDescent="0.2">
      <c r="B150" s="1388" t="str">
        <f>[7]Адм!B151</f>
        <v>Драм-картридж Xerox WC 5016/5020</v>
      </c>
      <c r="C150" s="98" t="str">
        <f>[7]Адм!C151</f>
        <v>шт</v>
      </c>
      <c r="D150" s="98">
        <f>[7]Адм!D151</f>
        <v>1</v>
      </c>
      <c r="E150" s="98">
        <f>[7]Адм!E151</f>
        <v>3956.3999999999996</v>
      </c>
      <c r="F150" s="1382">
        <f t="shared" si="7"/>
        <v>3956.3999999999996</v>
      </c>
      <c r="I150" s="609"/>
      <c r="J150" s="609"/>
    </row>
    <row r="151" spans="2:10" x14ac:dyDescent="0.2">
      <c r="B151" s="1388" t="str">
        <f>[7]Адм!B152</f>
        <v>картридж  Xerox WC 5016/5020 комплект 2шт</v>
      </c>
      <c r="C151" s="98" t="str">
        <f>[7]Адм!C152</f>
        <v>комп</v>
      </c>
      <c r="D151" s="98">
        <f>[7]Адм!D152</f>
        <v>1</v>
      </c>
      <c r="E151" s="98">
        <f>[7]Адм!E152</f>
        <v>1384.17</v>
      </c>
      <c r="F151" s="1382">
        <f t="shared" si="7"/>
        <v>1384.17</v>
      </c>
      <c r="I151" s="609"/>
      <c r="J151" s="609"/>
    </row>
    <row r="152" spans="2:10" x14ac:dyDescent="0.2">
      <c r="B152" s="1388" t="str">
        <f>[7]Адм!B153</f>
        <v>картридж лазерний Xerox WC 5016/5020</v>
      </c>
      <c r="C152" s="98" t="str">
        <f>[7]Адм!C153</f>
        <v>шт</v>
      </c>
      <c r="D152" s="98">
        <f>[7]Адм!D153</f>
        <v>1</v>
      </c>
      <c r="E152" s="98">
        <f>[7]Адм!E153</f>
        <v>3399.17</v>
      </c>
      <c r="F152" s="1382">
        <f t="shared" si="7"/>
        <v>3399.17</v>
      </c>
      <c r="I152" s="609"/>
      <c r="J152" s="609"/>
    </row>
    <row r="153" spans="2:10" x14ac:dyDescent="0.2">
      <c r="B153" s="1388" t="str">
        <f>[7]Адм!B154</f>
        <v>эл. Дрель мала (для зшивання документыв)</v>
      </c>
      <c r="C153" s="98" t="str">
        <f>[7]Адм!C154</f>
        <v>шт</v>
      </c>
      <c r="D153" s="98">
        <f>[7]Адм!D154</f>
        <v>1</v>
      </c>
      <c r="E153" s="98">
        <f>[7]Адм!E154</f>
        <v>1008</v>
      </c>
      <c r="F153" s="1382">
        <f t="shared" si="7"/>
        <v>1008</v>
      </c>
      <c r="I153" s="609"/>
      <c r="J153" s="609"/>
    </row>
    <row r="154" spans="2:10" x14ac:dyDescent="0.2">
      <c r="B154" s="1388" t="str">
        <f>[7]Адм!B155</f>
        <v>калькулятор СИТЕЗЕН</v>
      </c>
      <c r="C154" s="98" t="str">
        <f>[7]Адм!C155</f>
        <v>шт</v>
      </c>
      <c r="D154" s="98">
        <f>[7]Адм!D155</f>
        <v>3</v>
      </c>
      <c r="E154" s="98">
        <f>[7]Адм!E155</f>
        <v>402.27600000000001</v>
      </c>
      <c r="F154" s="1382">
        <f>D154*E154</f>
        <v>1206.828</v>
      </c>
      <c r="I154" s="609"/>
      <c r="J154" s="609"/>
    </row>
    <row r="155" spans="2:10" x14ac:dyDescent="0.2">
      <c r="B155" s="1388" t="str">
        <f>[7]Адм!B156</f>
        <v>діркопробивач  Welle-2 20 аркушів чорний</v>
      </c>
      <c r="C155" s="98" t="str">
        <f>[7]Адм!C156</f>
        <v>шт</v>
      </c>
      <c r="D155" s="98">
        <f>[7]Адм!D156</f>
        <v>2</v>
      </c>
      <c r="E155" s="98">
        <f>[7]Адм!E156</f>
        <v>112.752</v>
      </c>
      <c r="F155" s="1382">
        <f t="shared" si="7"/>
        <v>225.50399999999999</v>
      </c>
      <c r="I155" s="609"/>
      <c r="J155" s="609"/>
    </row>
    <row r="156" spans="2:10" x14ac:dyDescent="0.2">
      <c r="B156" s="1388" t="str">
        <f>[7]Адм!B157</f>
        <v>Підставка настольна для ручок,оліців -канц.</v>
      </c>
      <c r="C156" s="98" t="str">
        <f>[7]Адм!C157</f>
        <v>шт</v>
      </c>
      <c r="D156" s="98">
        <f>[7]Адм!D157</f>
        <v>5</v>
      </c>
      <c r="E156" s="98">
        <f>[7]Адм!E157</f>
        <v>129.6</v>
      </c>
      <c r="F156" s="1382">
        <f t="shared" si="7"/>
        <v>648</v>
      </c>
      <c r="I156" s="609"/>
      <c r="J156" s="609"/>
    </row>
    <row r="157" spans="2:10" x14ac:dyDescent="0.2">
      <c r="B157" s="1388" t="str">
        <f>[7]Адм!B158</f>
        <v>проушина 50 мм</v>
      </c>
      <c r="C157" s="98" t="str">
        <f>[7]Адм!C158</f>
        <v>шт</v>
      </c>
      <c r="D157" s="98">
        <f>[7]Адм!D158</f>
        <v>1</v>
      </c>
      <c r="E157" s="98">
        <f>[7]Адм!E158</f>
        <v>6.5</v>
      </c>
      <c r="F157" s="1382">
        <f t="shared" si="7"/>
        <v>6.5</v>
      </c>
      <c r="I157" s="609"/>
      <c r="J157" s="609"/>
    </row>
    <row r="158" spans="2:10" x14ac:dyDescent="0.2">
      <c r="B158" s="1388" t="str">
        <f>[7]Адм!B159</f>
        <v>лоток горизонтальний</v>
      </c>
      <c r="C158" s="98" t="str">
        <f>[7]Адм!C159</f>
        <v>шт</v>
      </c>
      <c r="D158" s="98">
        <f>[7]Адм!D159</f>
        <v>10</v>
      </c>
      <c r="E158" s="98">
        <f>[7]Адм!E159</f>
        <v>87.623999999999995</v>
      </c>
      <c r="F158" s="1382">
        <f t="shared" si="7"/>
        <v>876.24</v>
      </c>
      <c r="I158" s="609"/>
      <c r="J158" s="609"/>
    </row>
    <row r="159" spans="2:10" x14ac:dyDescent="0.2">
      <c r="B159" s="1388" t="str">
        <f>[7]Адм!B160</f>
        <v>лоток горизонтальний</v>
      </c>
      <c r="C159" s="98" t="str">
        <f>[7]Адм!C160</f>
        <v>шт</v>
      </c>
      <c r="D159" s="98">
        <f>[7]Адм!D160</f>
        <v>8</v>
      </c>
      <c r="E159" s="98">
        <f>[7]Адм!E160</f>
        <v>108.91200000000001</v>
      </c>
      <c r="F159" s="1382">
        <f t="shared" si="7"/>
        <v>871.29600000000005</v>
      </c>
      <c r="I159" s="609"/>
      <c r="J159" s="609"/>
    </row>
    <row r="160" spans="2:10" x14ac:dyDescent="0.2">
      <c r="B160" s="1388" t="str">
        <f>[7]Адм!B161</f>
        <v>калькулятор</v>
      </c>
      <c r="C160" s="98" t="str">
        <f>[7]Адм!C161</f>
        <v>шт</v>
      </c>
      <c r="D160" s="98">
        <f>[7]Адм!D161</f>
        <v>2</v>
      </c>
      <c r="E160" s="98">
        <f>[7]Адм!E161</f>
        <v>402.27600000000001</v>
      </c>
      <c r="F160" s="1382">
        <f t="shared" si="7"/>
        <v>804.55200000000002</v>
      </c>
      <c r="I160" s="609"/>
      <c r="J160" s="609"/>
    </row>
    <row r="161" spans="2:10" x14ac:dyDescent="0.2">
      <c r="B161" s="1388" t="str">
        <f>[7]Адм!B162</f>
        <v>вентилятор настільний</v>
      </c>
      <c r="C161" s="98" t="str">
        <f>[7]Адм!C162</f>
        <v>шт</v>
      </c>
      <c r="D161" s="98">
        <f>[7]Адм!D162</f>
        <v>1</v>
      </c>
      <c r="E161" s="98">
        <f>[7]Адм!E162</f>
        <v>1008</v>
      </c>
      <c r="F161" s="1382">
        <f>D161*E161</f>
        <v>1008</v>
      </c>
      <c r="I161" s="609"/>
      <c r="J161" s="609"/>
    </row>
    <row r="162" spans="2:10" x14ac:dyDescent="0.2">
      <c r="B162" s="1388"/>
      <c r="C162" s="98"/>
      <c r="D162" s="98"/>
      <c r="E162" s="98"/>
      <c r="F162" s="1382"/>
      <c r="I162" s="609"/>
      <c r="J162" s="609"/>
    </row>
    <row r="163" spans="2:10" s="120" customFormat="1" x14ac:dyDescent="0.2">
      <c r="B163" s="1385" t="s">
        <v>1075</v>
      </c>
      <c r="C163" s="208"/>
      <c r="D163" s="208"/>
      <c r="E163" s="1386"/>
      <c r="F163" s="1386">
        <f>SUM(F149:F162)</f>
        <v>25352.260000000002</v>
      </c>
      <c r="G163" s="1351">
        <f>[7]Адм!$F$166</f>
        <v>25352.260000000002</v>
      </c>
      <c r="I163" s="1387"/>
      <c r="J163" s="1387"/>
    </row>
    <row r="164" spans="2:10" x14ac:dyDescent="0.2">
      <c r="B164" s="98"/>
      <c r="C164" s="98"/>
      <c r="D164" s="98"/>
      <c r="E164" s="1382"/>
      <c r="F164" s="1382"/>
      <c r="I164" s="609"/>
      <c r="J164" s="609"/>
    </row>
    <row r="165" spans="2:10" s="120" customFormat="1" x14ac:dyDescent="0.2">
      <c r="B165" s="208" t="s">
        <v>1041</v>
      </c>
      <c r="C165" s="208"/>
      <c r="D165" s="208"/>
      <c r="E165" s="1386"/>
      <c r="F165" s="1386"/>
      <c r="I165" s="1387"/>
      <c r="J165" s="1387"/>
    </row>
    <row r="166" spans="2:10" x14ac:dyDescent="0.2">
      <c r="B166" s="98" t="str">
        <f>[7]Адм!B169</f>
        <v>елемент живлення LR 3 (блістер 4 шт)</v>
      </c>
      <c r="C166" s="98" t="str">
        <f>[7]Адм!C169</f>
        <v>шт</v>
      </c>
      <c r="D166" s="98">
        <f>[7]Адм!D169</f>
        <v>15</v>
      </c>
      <c r="E166" s="98">
        <f>[7]Адм!E169</f>
        <v>14.803199999999997</v>
      </c>
      <c r="F166" s="1382">
        <f t="shared" ref="F166:F187" si="8">D166*E166</f>
        <v>222.04799999999994</v>
      </c>
      <c r="I166" s="609"/>
      <c r="J166" s="609"/>
    </row>
    <row r="167" spans="2:10" x14ac:dyDescent="0.2">
      <c r="B167" s="98" t="str">
        <f>[7]Адм!B170</f>
        <v>елемент живлення LR 3 (блістер 4 шт)</v>
      </c>
      <c r="C167" s="98" t="str">
        <f>[7]Адм!C170</f>
        <v>шт</v>
      </c>
      <c r="D167" s="98">
        <f>[7]Адм!D170</f>
        <v>14</v>
      </c>
      <c r="E167" s="98">
        <f>[7]Адм!E170</f>
        <v>14.313599999999999</v>
      </c>
      <c r="F167" s="1382">
        <f t="shared" si="8"/>
        <v>200.3904</v>
      </c>
      <c r="I167" s="609"/>
      <c r="J167" s="609"/>
    </row>
    <row r="168" spans="2:10" x14ac:dyDescent="0.2">
      <c r="B168" s="98" t="str">
        <f>[7]Адм!B171</f>
        <v>елемент живлення LR 6 (блістер 4 шт)</v>
      </c>
      <c r="C168" s="98" t="str">
        <f>[7]Адм!C171</f>
        <v>шт</v>
      </c>
      <c r="D168" s="98">
        <f>[7]Адм!D171</f>
        <v>10</v>
      </c>
      <c r="E168" s="98">
        <f>[7]Адм!E171</f>
        <v>15.25</v>
      </c>
      <c r="F168" s="1382">
        <f t="shared" si="8"/>
        <v>152.5</v>
      </c>
      <c r="I168" s="609"/>
      <c r="J168" s="609"/>
    </row>
    <row r="169" spans="2:10" x14ac:dyDescent="0.2">
      <c r="B169" s="98" t="str">
        <f>[7]Адм!B172</f>
        <v>батарейка LR3 (мини-пальчик)</v>
      </c>
      <c r="C169" s="98" t="str">
        <f>[7]Адм!C172</f>
        <v>шт</v>
      </c>
      <c r="D169" s="98">
        <f>[7]Адм!D172</f>
        <v>5</v>
      </c>
      <c r="E169" s="98">
        <f>[7]Адм!E172</f>
        <v>15</v>
      </c>
      <c r="F169" s="1382">
        <f t="shared" si="8"/>
        <v>75</v>
      </c>
      <c r="I169" s="609"/>
      <c r="J169" s="609"/>
    </row>
    <row r="170" spans="2:10" x14ac:dyDescent="0.2">
      <c r="B170" s="98" t="str">
        <f>[7]Адм!B173</f>
        <v>Туалетний папір, носові хустинки, рушники для рук і серветки</v>
      </c>
      <c r="C170" s="98" t="str">
        <f>[7]Адм!C173</f>
        <v>рул</v>
      </c>
      <c r="D170" s="98">
        <f>[7]Адм!D173</f>
        <v>84</v>
      </c>
      <c r="E170" s="98">
        <f>[7]Адм!E173</f>
        <v>11.48</v>
      </c>
      <c r="F170" s="1382">
        <f t="shared" si="8"/>
        <v>964.32</v>
      </c>
      <c r="I170" s="609"/>
      <c r="J170" s="609"/>
    </row>
    <row r="171" spans="2:10" x14ac:dyDescent="0.2">
      <c r="B171" s="98" t="str">
        <f>[7]Адм!B174</f>
        <v xml:space="preserve">Пакети д/сміття 120л </v>
      </c>
      <c r="C171" s="98" t="str">
        <f>[7]Адм!C174</f>
        <v>пач</v>
      </c>
      <c r="D171" s="98">
        <f>[7]Адм!D174</f>
        <v>3</v>
      </c>
      <c r="E171" s="98">
        <f>[7]Адм!E174</f>
        <v>40.33</v>
      </c>
      <c r="F171" s="1382">
        <f t="shared" si="8"/>
        <v>120.99</v>
      </c>
      <c r="I171" s="609"/>
      <c r="J171" s="609"/>
    </row>
    <row r="172" spans="2:10" x14ac:dyDescent="0.2">
      <c r="B172" s="98" t="str">
        <f>[7]Адм!B175</f>
        <v>пакети для сміття 60 л*20шт</v>
      </c>
      <c r="C172" s="98" t="str">
        <f>[7]Адм!C175</f>
        <v>рул</v>
      </c>
      <c r="D172" s="98">
        <f>[7]Адм!D175</f>
        <v>24</v>
      </c>
      <c r="E172" s="98">
        <f>[7]Адм!E175</f>
        <v>39.25</v>
      </c>
      <c r="F172" s="1382">
        <f t="shared" si="8"/>
        <v>942</v>
      </c>
      <c r="I172" s="609"/>
      <c r="J172" s="609"/>
    </row>
    <row r="173" spans="2:10" x14ac:dyDescent="0.2">
      <c r="B173" s="98" t="str">
        <f>[7]Адм!B176</f>
        <v>пакети для сміття 35 л*90шт</v>
      </c>
      <c r="C173" s="98" t="str">
        <f>[7]Адм!C176</f>
        <v>рул</v>
      </c>
      <c r="D173" s="98">
        <f>[7]Адм!D176</f>
        <v>15</v>
      </c>
      <c r="E173" s="98">
        <f>[7]Адм!E176</f>
        <v>57.3</v>
      </c>
      <c r="F173" s="1382">
        <f t="shared" si="8"/>
        <v>859.5</v>
      </c>
      <c r="I173" s="609"/>
      <c r="J173" s="609"/>
    </row>
    <row r="174" spans="2:10" x14ac:dyDescent="0.2">
      <c r="B174" s="98" t="str">
        <f>[7]Адм!B177</f>
        <v>швабра</v>
      </c>
      <c r="C174" s="98" t="str">
        <f>[7]Адм!C177</f>
        <v>шт</v>
      </c>
      <c r="D174" s="98">
        <f>[7]Адм!D177</f>
        <v>2</v>
      </c>
      <c r="E174" s="98">
        <f>[7]Адм!E177</f>
        <v>122.71679999999999</v>
      </c>
      <c r="F174" s="1382">
        <f t="shared" si="8"/>
        <v>245.43359999999998</v>
      </c>
      <c r="I174" s="609"/>
      <c r="J174" s="609"/>
    </row>
    <row r="175" spans="2:10" x14ac:dyDescent="0.2">
      <c r="B175" s="98" t="str">
        <f>[7]Адм!B178</f>
        <v>віник сорго великий</v>
      </c>
      <c r="C175" s="98" t="str">
        <f>[7]Адм!C178</f>
        <v>шт</v>
      </c>
      <c r="D175" s="98">
        <f>[7]Адм!D178</f>
        <v>6</v>
      </c>
      <c r="E175" s="98">
        <f>[7]Адм!E178</f>
        <v>98.33</v>
      </c>
      <c r="F175" s="1382">
        <f t="shared" si="8"/>
        <v>589.98</v>
      </c>
      <c r="I175" s="609"/>
      <c r="J175" s="609"/>
    </row>
    <row r="176" spans="2:10" x14ac:dyDescent="0.2">
      <c r="B176" s="98" t="str">
        <f>[7]Адм!B179</f>
        <v>комплект "Ледар" совок з ручкою 100 см + щітка з короткою щетиною</v>
      </c>
      <c r="C176" s="98" t="str">
        <f>[7]Адм!C179</f>
        <v>компл.</v>
      </c>
      <c r="D176" s="98">
        <f>[7]Адм!D179</f>
        <v>1</v>
      </c>
      <c r="E176" s="98">
        <f>[7]Адм!E179</f>
        <v>136.51199999999997</v>
      </c>
      <c r="F176" s="1382">
        <f t="shared" si="8"/>
        <v>136.51199999999997</v>
      </c>
      <c r="I176" s="609"/>
      <c r="J176" s="609"/>
    </row>
    <row r="177" spans="2:10" x14ac:dyDescent="0.2">
      <c r="B177" s="98" t="str">
        <f>[7]Адм!B180</f>
        <v>Відро</v>
      </c>
      <c r="C177" s="98" t="str">
        <f>[7]Адм!C180</f>
        <v>шт</v>
      </c>
      <c r="D177" s="98">
        <f>[7]Адм!D180</f>
        <v>1</v>
      </c>
      <c r="E177" s="98">
        <f>[7]Адм!E180</f>
        <v>83.333333333333343</v>
      </c>
      <c r="F177" s="1382">
        <f t="shared" si="8"/>
        <v>83.333333333333343</v>
      </c>
      <c r="I177" s="609"/>
      <c r="J177" s="609"/>
    </row>
    <row r="178" spans="2:10" x14ac:dyDescent="0.2">
      <c r="B178" s="98" t="str">
        <f>[7]Адм!B181</f>
        <v>шпагат льнопеньковий армований, бобина</v>
      </c>
      <c r="C178" s="98" t="str">
        <f>[7]Адм!C181</f>
        <v>боб</v>
      </c>
      <c r="D178" s="98">
        <f>[7]Адм!D181</f>
        <v>0.82499999999999996</v>
      </c>
      <c r="E178" s="98">
        <f>[7]Адм!E181</f>
        <v>301</v>
      </c>
      <c r="F178" s="1382">
        <f t="shared" si="8"/>
        <v>248.32499999999999</v>
      </c>
      <c r="I178" s="609"/>
      <c r="J178" s="609"/>
    </row>
    <row r="179" spans="2:10" x14ac:dyDescent="0.2">
      <c r="B179" s="98" t="str">
        <f>[7]Адм!B182</f>
        <v>нитка прошивочная</v>
      </c>
      <c r="C179" s="98" t="str">
        <f>[7]Адм!C182</f>
        <v>шт</v>
      </c>
      <c r="D179" s="98">
        <f>[7]Адм!D182</f>
        <v>1</v>
      </c>
      <c r="E179" s="98">
        <f>[7]Адм!E182</f>
        <v>73</v>
      </c>
      <c r="F179" s="1382">
        <f t="shared" si="8"/>
        <v>73</v>
      </c>
      <c r="I179" s="609"/>
      <c r="J179" s="609"/>
    </row>
    <row r="180" spans="2:10" x14ac:dyDescent="0.2">
      <c r="B180" s="98" t="str">
        <f>[7]Адм!B183</f>
        <v>стрічка клеюча пакувальна каучук,прозора</v>
      </c>
      <c r="C180" s="98" t="str">
        <f>[7]Адм!C183</f>
        <v>рул</v>
      </c>
      <c r="D180" s="98">
        <f>[7]Адм!D183</f>
        <v>5</v>
      </c>
      <c r="E180" s="98">
        <f>[7]Адм!E183</f>
        <v>88.5</v>
      </c>
      <c r="F180" s="1382">
        <f t="shared" si="8"/>
        <v>442.5</v>
      </c>
      <c r="I180" s="609"/>
      <c r="J180" s="609"/>
    </row>
    <row r="181" spans="2:10" x14ac:dyDescent="0.2">
      <c r="B181" s="98" t="str">
        <f>[7]Адм!B184</f>
        <v>засіб "ГАЛА" для миття посуду 500 мл</v>
      </c>
      <c r="C181" s="98" t="str">
        <f>[7]Адм!C184</f>
        <v>шт</v>
      </c>
      <c r="D181" s="98">
        <f>[7]Адм!D184</f>
        <v>24</v>
      </c>
      <c r="E181" s="98">
        <f>[7]Адм!E184</f>
        <v>46.75</v>
      </c>
      <c r="F181" s="1382">
        <f t="shared" si="8"/>
        <v>1122</v>
      </c>
      <c r="I181" s="609"/>
      <c r="J181" s="609"/>
    </row>
    <row r="182" spans="2:10" x14ac:dyDescent="0.2">
      <c r="B182" s="98" t="str">
        <f>[7]Адм!B185</f>
        <v>губка кухонна, 10шт/уп</v>
      </c>
      <c r="C182" s="98" t="str">
        <f>[7]Адм!C185</f>
        <v>пач</v>
      </c>
      <c r="D182" s="98">
        <f>[7]Адм!D185</f>
        <v>12</v>
      </c>
      <c r="E182" s="98">
        <f>[7]Адм!E185</f>
        <v>46.25</v>
      </c>
      <c r="F182" s="1382">
        <f t="shared" si="8"/>
        <v>555</v>
      </c>
      <c r="I182" s="609"/>
      <c r="J182" s="609"/>
    </row>
    <row r="183" spans="2:10" x14ac:dyDescent="0.2">
      <c r="B183" s="98" t="str">
        <f>[7]Адм!B186</f>
        <v>порошок пральний "ПІФ", автомат, 1/450 гр</v>
      </c>
      <c r="C183" s="98" t="str">
        <f>[7]Адм!C186</f>
        <v>пач</v>
      </c>
      <c r="D183" s="98">
        <f>[7]Адм!D186</f>
        <v>8</v>
      </c>
      <c r="E183" s="98">
        <f>[7]Адм!E186</f>
        <v>54.99</v>
      </c>
      <c r="F183" s="1382">
        <f t="shared" si="8"/>
        <v>439.92</v>
      </c>
      <c r="I183" s="609"/>
      <c r="J183" s="609"/>
    </row>
    <row r="184" spans="2:10" x14ac:dyDescent="0.2">
      <c r="B184" s="98" t="str">
        <f>[7]Адм!B187</f>
        <v>мило рідке, зелене, 5л</v>
      </c>
      <c r="C184" s="98" t="str">
        <f>[7]Адм!C187</f>
        <v>шт</v>
      </c>
      <c r="D184" s="98">
        <f>[7]Адм!D187</f>
        <v>12</v>
      </c>
      <c r="E184" s="98">
        <f>[7]Адм!E187</f>
        <v>142.5</v>
      </c>
      <c r="F184" s="1382">
        <f t="shared" si="8"/>
        <v>1710</v>
      </c>
      <c r="I184" s="609"/>
      <c r="J184" s="609"/>
    </row>
    <row r="185" spans="2:10" x14ac:dyDescent="0.2">
      <c r="B185" s="98" t="str">
        <f>[7]Адм!B188</f>
        <v>засіб для миття полу 1000 г</v>
      </c>
      <c r="C185" s="98" t="str">
        <f>[7]Адм!C188</f>
        <v>шт</v>
      </c>
      <c r="D185" s="98">
        <f>[7]Адм!D188</f>
        <v>48</v>
      </c>
      <c r="E185" s="98">
        <f>[7]Адм!E188</f>
        <v>111.42719999999998</v>
      </c>
      <c r="F185" s="1382">
        <f t="shared" si="8"/>
        <v>5348.5055999999995</v>
      </c>
      <c r="I185" s="609"/>
      <c r="J185" s="609"/>
    </row>
    <row r="186" spans="2:10" x14ac:dyDescent="0.2">
      <c r="B186" s="98" t="str">
        <f>[7]Адм!B189</f>
        <v>засіб дизенфікуючий Доместос 1000 мл</v>
      </c>
      <c r="C186" s="98" t="str">
        <f>[7]Адм!C189</f>
        <v>шт</v>
      </c>
      <c r="D186" s="98">
        <f>[7]Адм!D189</f>
        <v>24</v>
      </c>
      <c r="E186" s="98">
        <f>[7]Адм!E189</f>
        <v>140.80000000000001</v>
      </c>
      <c r="F186" s="1382">
        <f t="shared" si="8"/>
        <v>3379.2000000000003</v>
      </c>
      <c r="I186" s="609"/>
      <c r="J186" s="609"/>
    </row>
    <row r="187" spans="2:10" x14ac:dyDescent="0.2">
      <c r="B187" s="98">
        <f>[7]Адм!B190</f>
        <v>0</v>
      </c>
      <c r="C187" s="98">
        <f>[7]Адм!C190</f>
        <v>0</v>
      </c>
      <c r="D187" s="98">
        <f>[7]Адм!D190</f>
        <v>0</v>
      </c>
      <c r="E187" s="98">
        <f>[7]Адм!E190</f>
        <v>0</v>
      </c>
      <c r="F187" s="1382">
        <f t="shared" si="8"/>
        <v>0</v>
      </c>
      <c r="I187" s="609"/>
      <c r="J187" s="609"/>
    </row>
    <row r="188" spans="2:10" s="120" customFormat="1" x14ac:dyDescent="0.2">
      <c r="B188" s="208" t="s">
        <v>1075</v>
      </c>
      <c r="C188" s="208"/>
      <c r="D188" s="208"/>
      <c r="E188" s="1386"/>
      <c r="F188" s="1386">
        <f>SUM(F166:F187)</f>
        <v>17910.457933333335</v>
      </c>
      <c r="G188" s="1351">
        <f>[7]Адм!$F$191</f>
        <v>17910.457933333335</v>
      </c>
    </row>
    <row r="190" spans="2:10" ht="25.5" x14ac:dyDescent="0.2">
      <c r="B190" s="103" t="s">
        <v>1076</v>
      </c>
      <c r="C190" s="757" t="s">
        <v>1077</v>
      </c>
      <c r="D190" s="208"/>
      <c r="E190" s="1386"/>
      <c r="F190" s="1386"/>
    </row>
    <row r="191" spans="2:10" x14ac:dyDescent="0.2">
      <c r="B191" s="98" t="s">
        <v>1078</v>
      </c>
      <c r="C191" s="98" t="s">
        <v>1079</v>
      </c>
      <c r="D191" s="98">
        <v>1</v>
      </c>
      <c r="E191" s="98">
        <f>25500+940</f>
        <v>26440</v>
      </c>
      <c r="F191" s="1382">
        <f t="shared" ref="F191:F194" si="9">D191*E191</f>
        <v>26440</v>
      </c>
    </row>
    <row r="192" spans="2:10" x14ac:dyDescent="0.2">
      <c r="B192" s="98" t="s">
        <v>1080</v>
      </c>
      <c r="C192" s="98" t="s">
        <v>1079</v>
      </c>
      <c r="D192" s="98">
        <v>1</v>
      </c>
      <c r="E192" s="98">
        <v>3100</v>
      </c>
      <c r="F192" s="1382">
        <f t="shared" si="9"/>
        <v>3100</v>
      </c>
    </row>
    <row r="193" spans="2:14" x14ac:dyDescent="0.2">
      <c r="B193" s="98" t="s">
        <v>1081</v>
      </c>
      <c r="C193" s="98" t="s">
        <v>1079</v>
      </c>
      <c r="D193" s="98">
        <v>1</v>
      </c>
      <c r="E193" s="98">
        <v>1250</v>
      </c>
      <c r="F193" s="1382">
        <f t="shared" si="9"/>
        <v>1250</v>
      </c>
    </row>
    <row r="194" spans="2:14" x14ac:dyDescent="0.2">
      <c r="B194" s="98" t="s">
        <v>1082</v>
      </c>
      <c r="C194" s="98" t="s">
        <v>1079</v>
      </c>
      <c r="D194" s="98">
        <v>1</v>
      </c>
      <c r="E194" s="98">
        <v>12000</v>
      </c>
      <c r="F194" s="1382">
        <f t="shared" si="9"/>
        <v>12000</v>
      </c>
    </row>
    <row r="195" spans="2:14" x14ac:dyDescent="0.2">
      <c r="B195" s="98"/>
      <c r="C195" s="98"/>
      <c r="D195" s="98"/>
      <c r="E195" s="1382"/>
      <c r="F195" s="1382"/>
    </row>
    <row r="196" spans="2:14" x14ac:dyDescent="0.2">
      <c r="B196" s="208" t="s">
        <v>1075</v>
      </c>
      <c r="C196" s="208"/>
      <c r="D196" s="208">
        <f>SUM(D191:D195)</f>
        <v>4</v>
      </c>
      <c r="E196" s="1386"/>
      <c r="F196" s="1386">
        <f>SUM(F191:F195)</f>
        <v>42790</v>
      </c>
      <c r="G196" s="564">
        <f>[7]Адм!F199</f>
        <v>42790</v>
      </c>
    </row>
    <row r="198" spans="2:14" ht="25.5" x14ac:dyDescent="0.2">
      <c r="B198" s="103" t="s">
        <v>1083</v>
      </c>
      <c r="C198" s="757" t="s">
        <v>1084</v>
      </c>
      <c r="D198" s="208"/>
      <c r="E198" s="1386"/>
      <c r="F198" s="1386"/>
    </row>
    <row r="199" spans="2:14" x14ac:dyDescent="0.2">
      <c r="B199" s="98" t="s">
        <v>1085</v>
      </c>
      <c r="C199" s="98" t="s">
        <v>1079</v>
      </c>
      <c r="D199" s="98">
        <v>1</v>
      </c>
      <c r="E199" s="98">
        <v>18800</v>
      </c>
      <c r="F199" s="1382">
        <f t="shared" ref="F199:F202" si="10">D199*E199</f>
        <v>18800</v>
      </c>
    </row>
    <row r="200" spans="2:14" x14ac:dyDescent="0.2">
      <c r="B200" s="98" t="s">
        <v>1086</v>
      </c>
      <c r="C200" s="98" t="s">
        <v>1079</v>
      </c>
      <c r="D200" s="98">
        <v>1</v>
      </c>
      <c r="E200" s="98">
        <v>19800</v>
      </c>
      <c r="F200" s="1382">
        <f t="shared" si="10"/>
        <v>19800</v>
      </c>
    </row>
    <row r="201" spans="2:14" x14ac:dyDescent="0.2">
      <c r="B201" s="98" t="s">
        <v>1087</v>
      </c>
      <c r="C201" s="98" t="s">
        <v>1079</v>
      </c>
      <c r="D201" s="98">
        <v>1</v>
      </c>
      <c r="E201" s="98">
        <v>16800</v>
      </c>
      <c r="F201" s="1382">
        <f t="shared" si="10"/>
        <v>16800</v>
      </c>
    </row>
    <row r="202" spans="2:14" x14ac:dyDescent="0.2">
      <c r="B202" s="98"/>
      <c r="C202" s="98" t="s">
        <v>1079</v>
      </c>
      <c r="D202" s="98"/>
      <c r="E202" s="98"/>
      <c r="F202" s="1382">
        <f t="shared" si="10"/>
        <v>0</v>
      </c>
    </row>
    <row r="203" spans="2:14" x14ac:dyDescent="0.2">
      <c r="B203" s="98"/>
      <c r="C203" s="98"/>
      <c r="D203" s="98"/>
      <c r="E203" s="1382"/>
      <c r="F203" s="1382"/>
    </row>
    <row r="204" spans="2:14" x14ac:dyDescent="0.2">
      <c r="B204" s="208" t="s">
        <v>1075</v>
      </c>
      <c r="C204" s="208"/>
      <c r="D204" s="208">
        <f>SUM(D199:D203)</f>
        <v>3</v>
      </c>
      <c r="E204" s="1386"/>
      <c r="F204" s="1386">
        <f>SUM(F199:F203)</f>
        <v>55400</v>
      </c>
      <c r="G204" s="564">
        <f>[7]Адм!F207</f>
        <v>55400</v>
      </c>
    </row>
    <row r="206" spans="2:14" hidden="1" x14ac:dyDescent="0.2"/>
    <row r="207" spans="2:14" ht="18.75" hidden="1" x14ac:dyDescent="0.3">
      <c r="F207" s="1389" t="s">
        <v>1088</v>
      </c>
      <c r="K207" s="825" t="s">
        <v>1089</v>
      </c>
    </row>
    <row r="208" spans="2:14" s="4" customFormat="1" ht="19.899999999999999" hidden="1" customHeight="1" x14ac:dyDescent="0.3">
      <c r="E208" s="1390"/>
      <c r="F208" s="660"/>
      <c r="J208" s="613">
        <f>[11]ВНС!N204</f>
        <v>0.56709344017781582</v>
      </c>
      <c r="K208" s="564">
        <f>[11]ВНС!O204</f>
        <v>0.43290655982218407</v>
      </c>
      <c r="L208" s="1391">
        <v>0.05</v>
      </c>
      <c r="N208" s="944" t="s">
        <v>42</v>
      </c>
    </row>
    <row r="209" spans="1:17" ht="43.9" hidden="1" customHeight="1" x14ac:dyDescent="0.2">
      <c r="A209" s="1098" t="s">
        <v>737</v>
      </c>
      <c r="B209" s="1392" t="s">
        <v>738</v>
      </c>
      <c r="C209" s="1098" t="s">
        <v>739</v>
      </c>
      <c r="D209" s="1098" t="s">
        <v>740</v>
      </c>
      <c r="E209" s="1098" t="s">
        <v>741</v>
      </c>
      <c r="F209" s="2080" t="s">
        <v>742</v>
      </c>
      <c r="G209" s="2081"/>
      <c r="H209" s="2082"/>
      <c r="I209" s="2083" t="s">
        <v>743</v>
      </c>
      <c r="J209" s="2083"/>
      <c r="K209" s="2083"/>
      <c r="L209" s="2083"/>
      <c r="N209" s="1096">
        <f>SUM(G211:H211)</f>
        <v>547.42650000000003</v>
      </c>
      <c r="P209" s="564">
        <f>SUM(J211:K211)</f>
        <v>8039.002559999999</v>
      </c>
    </row>
    <row r="210" spans="1:17" ht="48" hidden="1" customHeight="1" x14ac:dyDescent="0.2">
      <c r="A210" s="1098"/>
      <c r="B210" s="1392"/>
      <c r="C210" s="1098"/>
      <c r="D210" s="1098"/>
      <c r="E210" s="1098"/>
      <c r="F210" s="1098" t="s">
        <v>229</v>
      </c>
      <c r="G210" s="1393" t="s">
        <v>970</v>
      </c>
      <c r="H210" s="1393" t="s">
        <v>973</v>
      </c>
      <c r="I210" s="1394" t="s">
        <v>229</v>
      </c>
      <c r="J210" s="1395" t="s">
        <v>970</v>
      </c>
      <c r="K210" s="1395" t="s">
        <v>971</v>
      </c>
      <c r="L210" s="1306" t="s">
        <v>1090</v>
      </c>
      <c r="N210" s="941"/>
    </row>
    <row r="211" spans="1:17" ht="13.9" hidden="1" customHeight="1" x14ac:dyDescent="0.25">
      <c r="A211" s="1396">
        <v>1</v>
      </c>
      <c r="B211" s="1397" t="s">
        <v>1091</v>
      </c>
      <c r="C211" s="1398" t="s">
        <v>617</v>
      </c>
      <c r="D211" s="1399">
        <f>464.916+6.406</f>
        <v>471.322</v>
      </c>
      <c r="E211" s="1399">
        <f>464.916+6.406</f>
        <v>471.322</v>
      </c>
      <c r="F211" s="1399">
        <v>547.42650000000003</v>
      </c>
      <c r="G211" s="1110">
        <f>F211*75.923%</f>
        <v>415.62262159500006</v>
      </c>
      <c r="H211" s="1110">
        <f>F211-G211</f>
        <v>131.80387840499998</v>
      </c>
      <c r="I211" s="750">
        <f>I5</f>
        <v>8039.002559999999</v>
      </c>
      <c r="J211" s="750">
        <f>(I211-L211)*J208</f>
        <v>4558.8656173486679</v>
      </c>
      <c r="K211" s="750">
        <f>(I211-L211)*K208</f>
        <v>3480.1369426513306</v>
      </c>
      <c r="L211" s="750">
        <f>L5</f>
        <v>0</v>
      </c>
      <c r="M211" s="1302">
        <f t="shared" ref="M211:M216" si="11">SUM(J211:L211)</f>
        <v>8039.002559999999</v>
      </c>
      <c r="N211" s="1096">
        <f>J211+K211</f>
        <v>8039.002559999999</v>
      </c>
      <c r="P211" s="564"/>
      <c r="Q211" s="564">
        <f>K211-H211</f>
        <v>3348.3330642463307</v>
      </c>
    </row>
    <row r="212" spans="1:17" ht="13.9" hidden="1" customHeight="1" x14ac:dyDescent="0.25">
      <c r="A212" s="1396">
        <v>2</v>
      </c>
      <c r="B212" s="1397" t="s">
        <v>818</v>
      </c>
      <c r="C212" s="1398" t="s">
        <v>617</v>
      </c>
      <c r="D212" s="1399">
        <f>179.85194+1.38984</f>
        <v>181.24178000000001</v>
      </c>
      <c r="E212" s="1399">
        <f>179.85194+1.38984</f>
        <v>181.24178000000001</v>
      </c>
      <c r="F212" s="1399">
        <v>207.31</v>
      </c>
      <c r="G212" s="1110">
        <f>F212*75.923%</f>
        <v>157.39597130000001</v>
      </c>
      <c r="H212" s="1110">
        <f t="shared" ref="H212:H232" si="12">F212-G212</f>
        <v>49.914028699999989</v>
      </c>
      <c r="I212" s="750">
        <f>I6</f>
        <v>1768.5805631999997</v>
      </c>
      <c r="J212" s="750">
        <f>(I212-L212)*J208</f>
        <v>1002.9504358167069</v>
      </c>
      <c r="K212" s="750">
        <f>(I212-L212)*K208</f>
        <v>765.63012738329269</v>
      </c>
      <c r="L212" s="750">
        <f>L6</f>
        <v>0</v>
      </c>
      <c r="M212" s="1302">
        <f t="shared" si="11"/>
        <v>1768.5805631999997</v>
      </c>
      <c r="N212" s="1096">
        <f>J212+K212</f>
        <v>1768.5805631999997</v>
      </c>
      <c r="P212" s="564"/>
      <c r="Q212" s="564">
        <f t="shared" ref="P212:Q239" si="13">K212-H212</f>
        <v>715.71609868329267</v>
      </c>
    </row>
    <row r="213" spans="1:17" ht="13.9" hidden="1" customHeight="1" x14ac:dyDescent="0.25">
      <c r="A213" s="1396">
        <v>3</v>
      </c>
      <c r="B213" s="1397" t="s">
        <v>649</v>
      </c>
      <c r="C213" s="1398" t="s">
        <v>617</v>
      </c>
      <c r="D213" s="1399">
        <v>23.981999999999999</v>
      </c>
      <c r="E213" s="1399">
        <v>23.981999999999999</v>
      </c>
      <c r="F213" s="1399">
        <v>16.86</v>
      </c>
      <c r="G213" s="1110">
        <f>F213*75.025%</f>
        <v>12.649215000000002</v>
      </c>
      <c r="H213" s="1110">
        <f t="shared" si="12"/>
        <v>4.2107849999999978</v>
      </c>
      <c r="I213" s="750">
        <f>I7</f>
        <v>535.66692000000012</v>
      </c>
      <c r="J213" s="750">
        <f>(I213-L213)*J208</f>
        <v>303.77319645225492</v>
      </c>
      <c r="K213" s="750">
        <f>(I213-L213)*K208</f>
        <v>231.89372354774514</v>
      </c>
      <c r="L213" s="750">
        <f>L7</f>
        <v>0</v>
      </c>
      <c r="M213" s="1302">
        <f t="shared" si="11"/>
        <v>535.66692000000012</v>
      </c>
      <c r="N213" s="1096">
        <f t="shared" ref="N213:N238" si="14">J213+K213</f>
        <v>535.66692000000012</v>
      </c>
      <c r="P213" s="564"/>
      <c r="Q213" s="564">
        <f t="shared" si="13"/>
        <v>227.68293854774515</v>
      </c>
    </row>
    <row r="214" spans="1:17" ht="13.9" hidden="1" customHeight="1" x14ac:dyDescent="0.25">
      <c r="A214" s="1396">
        <v>4</v>
      </c>
      <c r="B214" s="1397" t="s">
        <v>1092</v>
      </c>
      <c r="C214" s="1398" t="s">
        <v>617</v>
      </c>
      <c r="D214" s="1110">
        <v>11.529640000000001</v>
      </c>
      <c r="E214" s="1110">
        <v>11.529640000000001</v>
      </c>
      <c r="F214" s="1110">
        <v>14.86</v>
      </c>
      <c r="G214" s="1110">
        <f>F214*75.025%</f>
        <v>11.148715000000001</v>
      </c>
      <c r="H214" s="1110">
        <f t="shared" si="12"/>
        <v>3.7112849999999984</v>
      </c>
      <c r="I214" s="750">
        <f>I9</f>
        <v>54.900008331993</v>
      </c>
      <c r="J214" s="750">
        <f>(I214-L214)*J208</f>
        <v>31.133434590780663</v>
      </c>
      <c r="K214" s="750">
        <f>(I214-L214)*K208</f>
        <v>23.76657374121233</v>
      </c>
      <c r="L214" s="750">
        <f>L9</f>
        <v>0</v>
      </c>
      <c r="M214" s="1302">
        <f t="shared" si="11"/>
        <v>54.900008331992993</v>
      </c>
      <c r="N214" s="1096">
        <f t="shared" si="14"/>
        <v>54.900008331992993</v>
      </c>
      <c r="O214" s="1074"/>
      <c r="P214" s="564"/>
      <c r="Q214" s="564">
        <f t="shared" si="13"/>
        <v>20.05528874121233</v>
      </c>
    </row>
    <row r="215" spans="1:17" ht="12" hidden="1" customHeight="1" x14ac:dyDescent="0.25">
      <c r="A215" s="1396">
        <v>5</v>
      </c>
      <c r="B215" s="1397" t="s">
        <v>683</v>
      </c>
      <c r="C215" s="1398" t="s">
        <v>617</v>
      </c>
      <c r="D215" s="1110">
        <f t="shared" ref="D215:L215" si="15">SUM(D216:D221)</f>
        <v>0</v>
      </c>
      <c r="E215" s="1110">
        <f t="shared" si="15"/>
        <v>0</v>
      </c>
      <c r="F215" s="1110">
        <f t="shared" si="15"/>
        <v>29.34</v>
      </c>
      <c r="G215" s="1110">
        <f t="shared" si="15"/>
        <v>22.012335</v>
      </c>
      <c r="H215" s="1110">
        <f t="shared" si="15"/>
        <v>7.3276649999999979</v>
      </c>
      <c r="I215" s="750">
        <f t="shared" si="15"/>
        <v>211.49757875949612</v>
      </c>
      <c r="J215" s="750">
        <f t="shared" si="15"/>
        <v>119.93888952800121</v>
      </c>
      <c r="K215" s="750">
        <f t="shared" si="15"/>
        <v>91.558689231494895</v>
      </c>
      <c r="L215" s="750">
        <f t="shared" si="15"/>
        <v>0</v>
      </c>
      <c r="M215" s="1302">
        <f t="shared" si="11"/>
        <v>211.49757875949609</v>
      </c>
      <c r="N215" s="1096">
        <f t="shared" si="14"/>
        <v>211.49757875949609</v>
      </c>
      <c r="O215" s="1125"/>
      <c r="P215" s="564"/>
      <c r="Q215" s="564">
        <f t="shared" si="13"/>
        <v>84.231024231494899</v>
      </c>
    </row>
    <row r="216" spans="1:17" ht="13.9" hidden="1" customHeight="1" x14ac:dyDescent="0.25">
      <c r="A216" s="1396"/>
      <c r="B216" s="1400" t="s">
        <v>895</v>
      </c>
      <c r="C216" s="1398" t="s">
        <v>617</v>
      </c>
      <c r="D216" s="1195"/>
      <c r="E216" s="1195"/>
      <c r="F216" s="1195">
        <v>6.89</v>
      </c>
      <c r="G216" s="1127">
        <f t="shared" ref="G216:G232" si="16">F216*75.025%</f>
        <v>5.1692225000000001</v>
      </c>
      <c r="H216" s="1127">
        <f>F216-G216</f>
        <v>1.7207774999999996</v>
      </c>
      <c r="I216" s="1195">
        <f>I31</f>
        <v>49.167594803463501</v>
      </c>
      <c r="J216" s="1195">
        <f t="shared" ref="J216:J221" si="17">(I216-L216)*J$208</f>
        <v>27.882620482365017</v>
      </c>
      <c r="K216" s="1195">
        <f t="shared" ref="K216:K221" si="18">(I216-L216)*K$208</f>
        <v>21.284974321098478</v>
      </c>
      <c r="L216" s="1195">
        <f>L31</f>
        <v>0</v>
      </c>
      <c r="M216" s="1302">
        <f t="shared" si="11"/>
        <v>49.167594803463494</v>
      </c>
      <c r="N216" s="1096">
        <f>J216+K216</f>
        <v>49.167594803463494</v>
      </c>
      <c r="O216" s="1125"/>
      <c r="P216" s="564"/>
      <c r="Q216" s="564">
        <f t="shared" si="13"/>
        <v>19.564196821098477</v>
      </c>
    </row>
    <row r="217" spans="1:17" ht="13.9" hidden="1" customHeight="1" x14ac:dyDescent="0.25">
      <c r="A217" s="1396"/>
      <c r="B217" s="978" t="s">
        <v>898</v>
      </c>
      <c r="C217" s="1398" t="s">
        <v>617</v>
      </c>
      <c r="D217" s="1195"/>
      <c r="E217" s="1195"/>
      <c r="F217" s="1195">
        <v>6.89</v>
      </c>
      <c r="G217" s="1127">
        <f t="shared" si="16"/>
        <v>5.1692225000000001</v>
      </c>
      <c r="H217" s="1127">
        <f>F217-G217</f>
        <v>1.7207774999999996</v>
      </c>
      <c r="I217" s="1195">
        <f>I32</f>
        <v>136.23734895603263</v>
      </c>
      <c r="J217" s="1195">
        <f t="shared" si="17"/>
        <v>77.259306900182111</v>
      </c>
      <c r="K217" s="1195">
        <f t="shared" si="18"/>
        <v>58.978042055850509</v>
      </c>
      <c r="L217" s="1195">
        <f>L32</f>
        <v>0</v>
      </c>
      <c r="M217" s="1302">
        <f>SUM(J217:L217)</f>
        <v>136.23734895603263</v>
      </c>
      <c r="N217" s="1096"/>
      <c r="O217" s="1125"/>
      <c r="P217" s="564"/>
      <c r="Q217" s="564"/>
    </row>
    <row r="218" spans="1:17" ht="13.9" hidden="1" customHeight="1" x14ac:dyDescent="0.25">
      <c r="A218" s="1396"/>
      <c r="B218" s="978" t="s">
        <v>900</v>
      </c>
      <c r="C218" s="1398" t="s">
        <v>617</v>
      </c>
      <c r="D218" s="1195"/>
      <c r="E218" s="1195"/>
      <c r="F218" s="1195">
        <v>6.89</v>
      </c>
      <c r="G218" s="1127">
        <f t="shared" si="16"/>
        <v>5.1692225000000001</v>
      </c>
      <c r="H218" s="1127">
        <f>F218-G218</f>
        <v>1.7207774999999996</v>
      </c>
      <c r="I218" s="1195">
        <f>I33</f>
        <v>0</v>
      </c>
      <c r="J218" s="1195">
        <f t="shared" si="17"/>
        <v>0</v>
      </c>
      <c r="K218" s="1195">
        <f t="shared" si="18"/>
        <v>0</v>
      </c>
      <c r="L218" s="1195">
        <f>L33</f>
        <v>0</v>
      </c>
      <c r="M218" s="1302">
        <f>SUM(J218:L218)</f>
        <v>0</v>
      </c>
      <c r="N218" s="1096"/>
      <c r="O218" s="1125"/>
      <c r="P218" s="564"/>
      <c r="Q218" s="564"/>
    </row>
    <row r="219" spans="1:17" ht="13.9" hidden="1" customHeight="1" x14ac:dyDescent="0.25">
      <c r="A219" s="1396"/>
      <c r="B219" s="1400" t="s">
        <v>988</v>
      </c>
      <c r="C219" s="1398" t="s">
        <v>617</v>
      </c>
      <c r="D219" s="1195"/>
      <c r="E219" s="1195"/>
      <c r="F219" s="1195">
        <v>4.05</v>
      </c>
      <c r="G219" s="1127">
        <f t="shared" si="16"/>
        <v>3.0385125000000004</v>
      </c>
      <c r="H219" s="1127">
        <f>F219-G219</f>
        <v>1.0114874999999994</v>
      </c>
      <c r="I219" s="1195">
        <f>I34</f>
        <v>24.773759999999999</v>
      </c>
      <c r="J219" s="1195">
        <f t="shared" si="17"/>
        <v>14.049036784539567</v>
      </c>
      <c r="K219" s="1195">
        <f t="shared" si="18"/>
        <v>10.724723215460431</v>
      </c>
      <c r="L219" s="1195">
        <f>L32</f>
        <v>0</v>
      </c>
      <c r="M219" s="1302">
        <f>SUM(J219:L219)</f>
        <v>24.773759999999996</v>
      </c>
      <c r="N219" s="1096">
        <f>J219+K219</f>
        <v>24.773759999999996</v>
      </c>
      <c r="O219" s="1125"/>
      <c r="P219" s="564"/>
      <c r="Q219" s="564">
        <f>K219-H219</f>
        <v>9.7132357154604314</v>
      </c>
    </row>
    <row r="220" spans="1:17" ht="13.9" hidden="1" customHeight="1" x14ac:dyDescent="0.25">
      <c r="A220" s="1396"/>
      <c r="B220" s="1400" t="s">
        <v>1093</v>
      </c>
      <c r="C220" s="1398" t="s">
        <v>617</v>
      </c>
      <c r="D220" s="1195"/>
      <c r="E220" s="1195"/>
      <c r="F220" s="1195">
        <v>4.05</v>
      </c>
      <c r="G220" s="1127">
        <f t="shared" si="16"/>
        <v>3.0385125000000004</v>
      </c>
      <c r="H220" s="1127">
        <f>F220-G220</f>
        <v>1.0114874999999994</v>
      </c>
      <c r="I220" s="1195">
        <f>I35</f>
        <v>0</v>
      </c>
      <c r="J220" s="1195">
        <f t="shared" si="17"/>
        <v>0</v>
      </c>
      <c r="K220" s="1195">
        <f t="shared" si="18"/>
        <v>0</v>
      </c>
      <c r="L220" s="1195">
        <f>L34</f>
        <v>0</v>
      </c>
      <c r="M220" s="1302">
        <f>SUM(J220:L220)</f>
        <v>0</v>
      </c>
      <c r="N220" s="1096">
        <f>J220+K220</f>
        <v>0</v>
      </c>
      <c r="O220" s="1125"/>
      <c r="P220" s="564"/>
      <c r="Q220" s="564">
        <f>K220-H220</f>
        <v>-1.0114874999999994</v>
      </c>
    </row>
    <row r="221" spans="1:17" ht="13.9" hidden="1" customHeight="1" x14ac:dyDescent="0.25">
      <c r="A221" s="1396"/>
      <c r="B221" s="1400" t="s">
        <v>1094</v>
      </c>
      <c r="C221" s="1398" t="s">
        <v>617</v>
      </c>
      <c r="D221" s="1195"/>
      <c r="E221" s="1195"/>
      <c r="F221" s="1195">
        <v>0.56999999999999995</v>
      </c>
      <c r="G221" s="1127">
        <f t="shared" si="16"/>
        <v>0.42764250000000004</v>
      </c>
      <c r="H221" s="1127">
        <f t="shared" si="12"/>
        <v>0.14235749999999991</v>
      </c>
      <c r="I221" s="1195">
        <f>I36+I37</f>
        <v>1.318875</v>
      </c>
      <c r="J221" s="1195">
        <f t="shared" si="17"/>
        <v>0.74792536091451689</v>
      </c>
      <c r="K221" s="1195">
        <f t="shared" si="18"/>
        <v>0.57094963908548302</v>
      </c>
      <c r="L221" s="1195">
        <f>L36+L37</f>
        <v>0</v>
      </c>
      <c r="M221" s="1302">
        <f>SUM(J221:L221)</f>
        <v>1.3188749999999998</v>
      </c>
      <c r="N221" s="1096">
        <f t="shared" si="14"/>
        <v>1.3188749999999998</v>
      </c>
      <c r="O221" s="1125"/>
      <c r="P221" s="564"/>
      <c r="Q221" s="564">
        <f t="shared" si="13"/>
        <v>0.4285921390854831</v>
      </c>
    </row>
    <row r="222" spans="1:17" ht="13.9" hidden="1" customHeight="1" x14ac:dyDescent="0.25">
      <c r="A222" s="1396">
        <v>6</v>
      </c>
      <c r="B222" s="1397" t="s">
        <v>1001</v>
      </c>
      <c r="C222" s="1398" t="s">
        <v>617</v>
      </c>
      <c r="D222" s="1110">
        <f>3.73559+0.81463</f>
        <v>4.5502200000000004</v>
      </c>
      <c r="E222" s="1110">
        <f>3.73559+0.81463</f>
        <v>4.5502200000000004</v>
      </c>
      <c r="F222" s="1110">
        <v>2.71</v>
      </c>
      <c r="G222" s="1110">
        <f t="shared" si="16"/>
        <v>2.0331775000000003</v>
      </c>
      <c r="H222" s="1110">
        <f t="shared" si="12"/>
        <v>0.67682249999999966</v>
      </c>
      <c r="I222" s="1401">
        <f>I11</f>
        <v>17.29079376</v>
      </c>
      <c r="J222" s="750">
        <f>(I222-L222)*J208</f>
        <v>9.8054957167635113</v>
      </c>
      <c r="K222" s="750">
        <f>(I222-L222)*K208</f>
        <v>7.4852980432364866</v>
      </c>
      <c r="L222" s="750">
        <f>L11</f>
        <v>0</v>
      </c>
      <c r="M222" s="1302">
        <f t="shared" ref="M222:M238" si="19">SUM(J222:L222)</f>
        <v>17.29079376</v>
      </c>
      <c r="N222" s="1096">
        <f t="shared" si="14"/>
        <v>17.29079376</v>
      </c>
      <c r="O222" s="1125"/>
      <c r="P222" s="564"/>
      <c r="Q222" s="564">
        <f t="shared" si="13"/>
        <v>6.8084755432364865</v>
      </c>
    </row>
    <row r="223" spans="1:17" ht="13.9" hidden="1" customHeight="1" x14ac:dyDescent="0.25">
      <c r="A223" s="1396">
        <v>6</v>
      </c>
      <c r="B223" s="1397" t="s">
        <v>1095</v>
      </c>
      <c r="C223" s="1398" t="s">
        <v>617</v>
      </c>
      <c r="D223" s="1110">
        <f>3.75+1.675</f>
        <v>5.4249999999999998</v>
      </c>
      <c r="E223" s="1110">
        <f>3.75+1.675</f>
        <v>5.4249999999999998</v>
      </c>
      <c r="F223" s="1110">
        <v>0</v>
      </c>
      <c r="G223" s="1110">
        <f t="shared" si="16"/>
        <v>0</v>
      </c>
      <c r="H223" s="1110">
        <f>F223-G223</f>
        <v>0</v>
      </c>
      <c r="I223" s="750">
        <f>I13</f>
        <v>1.875</v>
      </c>
      <c r="J223" s="750">
        <f>(I223-L223)*J208</f>
        <v>1.0633002003334047</v>
      </c>
      <c r="K223" s="750">
        <f>(I223-L223)*K208</f>
        <v>0.81169979966659511</v>
      </c>
      <c r="L223" s="750">
        <f>L13</f>
        <v>0</v>
      </c>
      <c r="M223" s="1302">
        <f>SUM(J223:L223)</f>
        <v>1.8749999999999998</v>
      </c>
      <c r="N223" s="1096">
        <f>J223+K223</f>
        <v>1.8749999999999998</v>
      </c>
      <c r="O223" s="1125"/>
      <c r="P223" s="564">
        <f>J223-G223</f>
        <v>1.0633002003334047</v>
      </c>
      <c r="Q223" s="564">
        <f>K223-H223</f>
        <v>0.81169979966659511</v>
      </c>
    </row>
    <row r="224" spans="1:17" s="820" customFormat="1" ht="13.9" hidden="1" customHeight="1" x14ac:dyDescent="0.25">
      <c r="A224" s="1396">
        <v>7</v>
      </c>
      <c r="B224" s="1397" t="s">
        <v>1074</v>
      </c>
      <c r="C224" s="1398" t="s">
        <v>617</v>
      </c>
      <c r="D224" s="1110">
        <f>5.51544+0.84716+0.12505</f>
        <v>6.4876499999999995</v>
      </c>
      <c r="E224" s="1110">
        <f>5.51544+0.84716+0.12505</f>
        <v>6.4876499999999995</v>
      </c>
      <c r="F224" s="1110">
        <v>5.61</v>
      </c>
      <c r="G224" s="1110">
        <f t="shared" si="16"/>
        <v>4.2089025000000007</v>
      </c>
      <c r="H224" s="1110">
        <f t="shared" si="12"/>
        <v>1.4010974999999997</v>
      </c>
      <c r="I224" s="750">
        <f>I27</f>
        <v>89.149120400000001</v>
      </c>
      <c r="J224" s="750">
        <f>(I224-L224)*J208</f>
        <v>50.555881376462303</v>
      </c>
      <c r="K224" s="750">
        <f>(I224-L224)*K208</f>
        <v>38.593239023537691</v>
      </c>
      <c r="L224" s="750">
        <f>L27</f>
        <v>0</v>
      </c>
      <c r="M224" s="1302">
        <f t="shared" si="19"/>
        <v>89.149120399999987</v>
      </c>
      <c r="N224" s="1096">
        <f t="shared" si="14"/>
        <v>89.149120399999987</v>
      </c>
      <c r="O224" s="1125"/>
      <c r="P224" s="564">
        <f t="shared" si="13"/>
        <v>46.346978876462302</v>
      </c>
      <c r="Q224" s="564">
        <f t="shared" si="13"/>
        <v>37.192141523537693</v>
      </c>
    </row>
    <row r="225" spans="1:17" s="820" customFormat="1" ht="13.9" hidden="1" customHeight="1" x14ac:dyDescent="0.25">
      <c r="A225" s="1396">
        <v>8</v>
      </c>
      <c r="B225" s="1397" t="s">
        <v>1096</v>
      </c>
      <c r="C225" s="1398" t="s">
        <v>617</v>
      </c>
      <c r="D225" s="1110">
        <f>2.94059+1.86841+1.9199</f>
        <v>6.7288999999999994</v>
      </c>
      <c r="E225" s="1110">
        <f>2.94059+1.86841+1.9199</f>
        <v>6.7288999999999994</v>
      </c>
      <c r="F225" s="1110">
        <v>11.74</v>
      </c>
      <c r="G225" s="1110">
        <f t="shared" si="16"/>
        <v>8.8079350000000005</v>
      </c>
      <c r="H225" s="1110">
        <f t="shared" si="12"/>
        <v>2.9320649999999997</v>
      </c>
      <c r="I225" s="750">
        <f>J28+J29</f>
        <v>56.572017933333335</v>
      </c>
      <c r="J225" s="750">
        <f>(I225-L225)*J208</f>
        <v>32.081620267615094</v>
      </c>
      <c r="K225" s="750">
        <f>(I225-L225)*K208</f>
        <v>24.490397665718238</v>
      </c>
      <c r="L225" s="750">
        <f>L28</f>
        <v>0</v>
      </c>
      <c r="M225" s="1302">
        <f t="shared" si="19"/>
        <v>56.572017933333328</v>
      </c>
      <c r="N225" s="1096">
        <f t="shared" si="14"/>
        <v>56.572017933333328</v>
      </c>
      <c r="O225" s="1125"/>
      <c r="P225" s="564">
        <f t="shared" si="13"/>
        <v>23.273685267615093</v>
      </c>
      <c r="Q225" s="564">
        <f t="shared" si="13"/>
        <v>21.55833266571824</v>
      </c>
    </row>
    <row r="226" spans="1:17" ht="12" hidden="1" customHeight="1" x14ac:dyDescent="0.25">
      <c r="A226" s="1396">
        <v>9</v>
      </c>
      <c r="B226" s="1397" t="s">
        <v>1097</v>
      </c>
      <c r="C226" s="1398" t="s">
        <v>617</v>
      </c>
      <c r="D226" s="1110">
        <f>21.8+2.862</f>
        <v>24.661999999999999</v>
      </c>
      <c r="E226" s="1110">
        <f>21.8+2.862</f>
        <v>24.661999999999999</v>
      </c>
      <c r="F226" s="1110">
        <v>5.0990000000000002</v>
      </c>
      <c r="G226" s="1110">
        <f>F226*75.025%</f>
        <v>3.8255247500000005</v>
      </c>
      <c r="H226" s="1110">
        <f t="shared" si="12"/>
        <v>1.2734752499999997</v>
      </c>
      <c r="I226" s="750">
        <f>I14+I15</f>
        <v>65.759999999999991</v>
      </c>
      <c r="J226" s="750">
        <f>(I226-L226)*J208</f>
        <v>37.292064626093165</v>
      </c>
      <c r="K226" s="750">
        <f>(I226-L226)*K208</f>
        <v>28.467935373906819</v>
      </c>
      <c r="L226" s="750">
        <f>L14+L15</f>
        <v>0</v>
      </c>
      <c r="M226" s="1302">
        <f t="shared" si="19"/>
        <v>65.759999999999991</v>
      </c>
      <c r="N226" s="1096">
        <f t="shared" si="14"/>
        <v>65.759999999999991</v>
      </c>
      <c r="O226" s="1125"/>
      <c r="P226" s="564">
        <f t="shared" si="13"/>
        <v>33.466539876093165</v>
      </c>
      <c r="Q226" s="564">
        <f t="shared" si="13"/>
        <v>27.194460123906818</v>
      </c>
    </row>
    <row r="227" spans="1:17" ht="12.6" hidden="1" customHeight="1" x14ac:dyDescent="0.25">
      <c r="A227" s="1396">
        <v>10</v>
      </c>
      <c r="B227" s="1397" t="s">
        <v>1098</v>
      </c>
      <c r="C227" s="1398" t="s">
        <v>617</v>
      </c>
      <c r="D227" s="1110">
        <f>4.28251+0.16083+0.9425+0.19+0.05+1.095</f>
        <v>6.7208399999999999</v>
      </c>
      <c r="E227" s="1110">
        <f>4.28251+0.16083+0.9425+0.19+0.05+1.095</f>
        <v>6.7208399999999999</v>
      </c>
      <c r="F227" s="1110">
        <f>(D227+E227)/2</f>
        <v>6.7208399999999999</v>
      </c>
      <c r="G227" s="1110">
        <f t="shared" si="16"/>
        <v>5.0423102100000001</v>
      </c>
      <c r="H227" s="1110">
        <f t="shared" si="12"/>
        <v>1.6785297899999998</v>
      </c>
      <c r="I227" s="750">
        <f>I16+I17</f>
        <v>24</v>
      </c>
      <c r="J227" s="750">
        <f>(I227-L227)*J208</f>
        <v>13.61024256426758</v>
      </c>
      <c r="K227" s="750">
        <f>(I227-L227)*K208</f>
        <v>10.389757435732417</v>
      </c>
      <c r="L227" s="750">
        <f>L16</f>
        <v>0</v>
      </c>
      <c r="M227" s="1302">
        <f t="shared" si="19"/>
        <v>23.999999999999996</v>
      </c>
      <c r="N227" s="1096">
        <f t="shared" si="14"/>
        <v>23.999999999999996</v>
      </c>
      <c r="O227" s="1125"/>
      <c r="P227" s="564">
        <f t="shared" si="13"/>
        <v>8.5679323542675796</v>
      </c>
      <c r="Q227" s="564">
        <f t="shared" si="13"/>
        <v>8.7112276457324178</v>
      </c>
    </row>
    <row r="228" spans="1:17" ht="12.6" hidden="1" customHeight="1" x14ac:dyDescent="0.25">
      <c r="A228" s="1396">
        <v>10</v>
      </c>
      <c r="B228" s="1397" t="str">
        <f>B18</f>
        <v>Системи баз даних (Підписки та програми)</v>
      </c>
      <c r="C228" s="1398" t="s">
        <v>617</v>
      </c>
      <c r="D228" s="1110"/>
      <c r="E228" s="1110"/>
      <c r="F228" s="1110"/>
      <c r="G228" s="1110"/>
      <c r="H228" s="1110"/>
      <c r="I228" s="750">
        <f>I18</f>
        <v>55.4</v>
      </c>
      <c r="J228" s="750">
        <f>(I228-L228)*J208</f>
        <v>31.416976585850996</v>
      </c>
      <c r="K228" s="750">
        <f>(I228-L228)*K208</f>
        <v>23.983023414148995</v>
      </c>
      <c r="L228" s="750">
        <f>L17</f>
        <v>0</v>
      </c>
      <c r="M228" s="1302">
        <f>SUM(J228:L228)</f>
        <v>55.399999999999991</v>
      </c>
      <c r="N228" s="1096">
        <f>J228+K228</f>
        <v>55.399999999999991</v>
      </c>
      <c r="O228" s="1125"/>
      <c r="P228" s="564">
        <f>J228-G228</f>
        <v>31.416976585850996</v>
      </c>
      <c r="Q228" s="564">
        <f>K228-H228</f>
        <v>23.983023414148995</v>
      </c>
    </row>
    <row r="229" spans="1:17" s="820" customFormat="1" ht="12" hidden="1" customHeight="1" x14ac:dyDescent="0.25">
      <c r="A229" s="1396">
        <v>11</v>
      </c>
      <c r="B229" s="1397" t="s">
        <v>1035</v>
      </c>
      <c r="C229" s="1398" t="s">
        <v>617</v>
      </c>
      <c r="D229" s="1110">
        <f>0.64419+5.26608</f>
        <v>5.9102699999999997</v>
      </c>
      <c r="E229" s="1110">
        <f>0.64419+5.26608</f>
        <v>5.9102699999999997</v>
      </c>
      <c r="F229" s="1110">
        <v>4.07</v>
      </c>
      <c r="G229" s="1110">
        <f t="shared" si="16"/>
        <v>3.0535175000000008</v>
      </c>
      <c r="H229" s="1110">
        <f t="shared" si="12"/>
        <v>1.0164824999999995</v>
      </c>
      <c r="I229" s="750">
        <f>I19+I20</f>
        <v>47.757499999999993</v>
      </c>
      <c r="J229" s="750">
        <f>(I229-L229)*J208</f>
        <v>27.082964969292036</v>
      </c>
      <c r="K229" s="750">
        <f>(I229-L229)*K208</f>
        <v>20.674535030707954</v>
      </c>
      <c r="L229" s="750">
        <f>L19</f>
        <v>0</v>
      </c>
      <c r="M229" s="1302">
        <f t="shared" si="19"/>
        <v>47.757499999999993</v>
      </c>
      <c r="N229" s="1096">
        <f t="shared" si="14"/>
        <v>47.757499999999993</v>
      </c>
      <c r="O229" s="1125"/>
      <c r="P229" s="564">
        <f t="shared" si="13"/>
        <v>24.029447469292034</v>
      </c>
      <c r="Q229" s="564">
        <f t="shared" si="13"/>
        <v>19.658052530707955</v>
      </c>
    </row>
    <row r="230" spans="1:17" ht="13.15" hidden="1" customHeight="1" x14ac:dyDescent="0.25">
      <c r="A230" s="1396">
        <v>12</v>
      </c>
      <c r="B230" s="1397" t="s">
        <v>1099</v>
      </c>
      <c r="C230" s="1398" t="s">
        <v>617</v>
      </c>
      <c r="D230" s="1110">
        <v>2.0499999999999998</v>
      </c>
      <c r="E230" s="1110">
        <v>2.0499999999999998</v>
      </c>
      <c r="F230" s="1110">
        <v>4.3499999999999996</v>
      </c>
      <c r="G230" s="1110">
        <f t="shared" si="16"/>
        <v>3.2635875000000003</v>
      </c>
      <c r="H230" s="1110">
        <f t="shared" si="12"/>
        <v>1.0864124999999993</v>
      </c>
      <c r="I230" s="1402">
        <f>I25</f>
        <v>0</v>
      </c>
      <c r="J230" s="750">
        <f>(I230-L230)*J208</f>
        <v>0</v>
      </c>
      <c r="K230" s="750">
        <f>(I230-L230)*K208</f>
        <v>0</v>
      </c>
      <c r="L230" s="750">
        <f>L25</f>
        <v>0</v>
      </c>
      <c r="M230" s="1302">
        <f t="shared" si="19"/>
        <v>0</v>
      </c>
      <c r="N230" s="1096">
        <f t="shared" si="14"/>
        <v>0</v>
      </c>
      <c r="O230" s="1125"/>
      <c r="P230" s="564">
        <f t="shared" si="13"/>
        <v>-3.2635875000000003</v>
      </c>
      <c r="Q230" s="564">
        <f t="shared" si="13"/>
        <v>-1.0864124999999993</v>
      </c>
    </row>
    <row r="231" spans="1:17" s="820" customFormat="1" ht="13.9" hidden="1" customHeight="1" x14ac:dyDescent="0.25">
      <c r="A231" s="1396">
        <v>13</v>
      </c>
      <c r="B231" s="1397" t="s">
        <v>714</v>
      </c>
      <c r="C231" s="1398" t="s">
        <v>617</v>
      </c>
      <c r="D231" s="1110">
        <v>10.18882</v>
      </c>
      <c r="E231" s="1110">
        <v>10.18882</v>
      </c>
      <c r="F231" s="1110">
        <v>1.48</v>
      </c>
      <c r="G231" s="1110">
        <f t="shared" si="16"/>
        <v>1.1103700000000001</v>
      </c>
      <c r="H231" s="1110">
        <f t="shared" si="12"/>
        <v>0.3696299999999999</v>
      </c>
      <c r="I231" s="1402">
        <f>I24</f>
        <v>1.1879999999999999</v>
      </c>
      <c r="J231" s="750">
        <f>(I231-L231)*J$208</f>
        <v>0.67370700693124519</v>
      </c>
      <c r="K231" s="750">
        <f>(I231-L231)*K$208</f>
        <v>0.51429299306875464</v>
      </c>
      <c r="L231" s="750">
        <f>L24</f>
        <v>0</v>
      </c>
      <c r="M231" s="1302">
        <f t="shared" si="19"/>
        <v>1.1879999999999997</v>
      </c>
      <c r="N231" s="1096">
        <f t="shared" si="14"/>
        <v>1.1879999999999997</v>
      </c>
      <c r="O231" s="1125"/>
      <c r="P231" s="564">
        <f t="shared" si="13"/>
        <v>-0.43666299306875489</v>
      </c>
      <c r="Q231" s="564">
        <f t="shared" si="13"/>
        <v>0.14466299306875474</v>
      </c>
    </row>
    <row r="232" spans="1:17" s="820" customFormat="1" ht="13.9" hidden="1" customHeight="1" x14ac:dyDescent="0.25">
      <c r="A232" s="1396">
        <v>14</v>
      </c>
      <c r="B232" s="1397" t="s">
        <v>1100</v>
      </c>
      <c r="C232" s="1398" t="s">
        <v>617</v>
      </c>
      <c r="D232" s="1110">
        <f>0.27371+0.24+0.187+0.01439+0.918+0.35+0.09154</f>
        <v>2.07464</v>
      </c>
      <c r="E232" s="1110">
        <f>0.27371+0.24+0.187+0.01439+0.918+0.35+0.09154</f>
        <v>2.07464</v>
      </c>
      <c r="F232" s="1110">
        <v>0.54500000000000004</v>
      </c>
      <c r="G232" s="1110">
        <f t="shared" si="16"/>
        <v>0.40888625000000006</v>
      </c>
      <c r="H232" s="1110">
        <f t="shared" si="12"/>
        <v>0.13611374999999998</v>
      </c>
      <c r="I232" s="1403">
        <f>I21</f>
        <v>195.20099999999999</v>
      </c>
      <c r="J232" s="750">
        <f>(I232-L232)*J$208</f>
        <v>110.69720661614983</v>
      </c>
      <c r="K232" s="750">
        <f>(I232-L232)*K$208</f>
        <v>84.503793383850152</v>
      </c>
      <c r="L232" s="750">
        <f>L21</f>
        <v>0</v>
      </c>
      <c r="M232" s="1302">
        <f>SUM(J232:L232)</f>
        <v>195.20099999999996</v>
      </c>
      <c r="N232" s="1096">
        <f>J232+K232</f>
        <v>195.20099999999996</v>
      </c>
      <c r="O232" s="1125"/>
      <c r="P232" s="564">
        <f t="shared" si="13"/>
        <v>110.28832036614983</v>
      </c>
      <c r="Q232" s="564">
        <f t="shared" si="13"/>
        <v>84.367679633850145</v>
      </c>
    </row>
    <row r="233" spans="1:17" s="820" customFormat="1" ht="13.9" hidden="1" customHeight="1" x14ac:dyDescent="0.25">
      <c r="A233" s="1396">
        <v>14</v>
      </c>
      <c r="B233" s="1397" t="s">
        <v>1101</v>
      </c>
      <c r="C233" s="1398" t="s">
        <v>617</v>
      </c>
      <c r="D233" s="1110"/>
      <c r="E233" s="1110"/>
      <c r="F233" s="1110"/>
      <c r="G233" s="1110"/>
      <c r="H233" s="1110"/>
      <c r="I233" s="1403">
        <f>I23</f>
        <v>42.79</v>
      </c>
      <c r="J233" s="750">
        <f>(I233-L233)*J$208</f>
        <v>24.265928305208739</v>
      </c>
      <c r="K233" s="750">
        <f>(I233-L233)*K$208</f>
        <v>18.524071694791257</v>
      </c>
      <c r="L233" s="750">
        <f>L23</f>
        <v>0</v>
      </c>
      <c r="M233" s="1302">
        <f>SUM(J233:L233)</f>
        <v>42.789999999999992</v>
      </c>
      <c r="N233" s="1096">
        <f>J233+K233</f>
        <v>42.789999999999992</v>
      </c>
      <c r="O233" s="1125"/>
      <c r="P233" s="564">
        <f t="shared" si="13"/>
        <v>24.265928305208739</v>
      </c>
      <c r="Q233" s="564">
        <f t="shared" si="13"/>
        <v>18.524071694791257</v>
      </c>
    </row>
    <row r="234" spans="1:17" s="820" customFormat="1" ht="13.9" hidden="1" customHeight="1" x14ac:dyDescent="0.25">
      <c r="A234" s="1396">
        <v>14</v>
      </c>
      <c r="B234" s="1397" t="str">
        <f>B38</f>
        <v>Послуги по охороні об'єктів</v>
      </c>
      <c r="C234" s="1398" t="s">
        <v>617</v>
      </c>
      <c r="D234" s="1110"/>
      <c r="E234" s="1110"/>
      <c r="F234" s="1110"/>
      <c r="G234" s="1110"/>
      <c r="H234" s="1110"/>
      <c r="I234" s="1403">
        <f>I38</f>
        <v>123.01</v>
      </c>
      <c r="J234" s="750">
        <f>(I234-L234)*J$208</f>
        <v>69.758164076273133</v>
      </c>
      <c r="K234" s="750">
        <f>(I234-L234)*K$208</f>
        <v>53.251835923726865</v>
      </c>
      <c r="L234" s="750">
        <f>L24</f>
        <v>0</v>
      </c>
      <c r="M234" s="1302">
        <f>SUM(J234:L234)</f>
        <v>123.00999999999999</v>
      </c>
      <c r="N234" s="1096">
        <f>J234+K234</f>
        <v>123.00999999999999</v>
      </c>
      <c r="O234" s="1125"/>
      <c r="P234" s="564">
        <f t="shared" si="13"/>
        <v>69.758164076273133</v>
      </c>
      <c r="Q234" s="564">
        <f t="shared" si="13"/>
        <v>53.251835923726865</v>
      </c>
    </row>
    <row r="235" spans="1:17" s="820" customFormat="1" ht="13.9" hidden="1" customHeight="1" x14ac:dyDescent="0.25">
      <c r="A235" s="1396">
        <v>14</v>
      </c>
      <c r="B235" s="1397" t="str">
        <f>B22</f>
        <v>Послуги аудиторські</v>
      </c>
      <c r="C235" s="1398" t="s">
        <v>617</v>
      </c>
      <c r="D235" s="1110"/>
      <c r="E235" s="1110"/>
      <c r="F235" s="1110"/>
      <c r="G235" s="1110"/>
      <c r="H235" s="1110"/>
      <c r="I235" s="1403">
        <f>I22</f>
        <v>85.674999999999997</v>
      </c>
      <c r="J235" s="750">
        <f>(I235-L235)*J$208</f>
        <v>48.585730487234372</v>
      </c>
      <c r="K235" s="750">
        <f>(I235-L235)*K$208</f>
        <v>37.089269512765618</v>
      </c>
      <c r="L235" s="750">
        <f>L25</f>
        <v>0</v>
      </c>
      <c r="M235" s="1302">
        <f>SUM(J235:L235)</f>
        <v>85.674999999999983</v>
      </c>
      <c r="N235" s="1096">
        <f>J235+K235</f>
        <v>85.674999999999983</v>
      </c>
      <c r="O235" s="1125"/>
      <c r="P235" s="564">
        <f t="shared" si="13"/>
        <v>48.585730487234372</v>
      </c>
      <c r="Q235" s="564">
        <f t="shared" si="13"/>
        <v>37.089269512765618</v>
      </c>
    </row>
    <row r="236" spans="1:17" ht="13.9" hidden="1" customHeight="1" x14ac:dyDescent="0.25">
      <c r="A236" s="1396">
        <v>15</v>
      </c>
      <c r="B236" s="1397" t="s">
        <v>1102</v>
      </c>
      <c r="C236" s="1398" t="s">
        <v>617</v>
      </c>
      <c r="D236" s="1110">
        <f t="shared" ref="D236:I236" si="20">D237</f>
        <v>1.18527</v>
      </c>
      <c r="E236" s="1110">
        <f t="shared" si="20"/>
        <v>1.18527</v>
      </c>
      <c r="F236" s="1110">
        <f t="shared" si="20"/>
        <v>1.7549999999999999</v>
      </c>
      <c r="G236" s="1110">
        <f t="shared" si="20"/>
        <v>1.31668875</v>
      </c>
      <c r="H236" s="1110">
        <f t="shared" si="20"/>
        <v>0.43831124999999993</v>
      </c>
      <c r="I236" s="750">
        <f t="shared" si="20"/>
        <v>64.124651739130442</v>
      </c>
      <c r="J236" s="750">
        <f>(I236-L236)*J208</f>
        <v>36.364669354947843</v>
      </c>
      <c r="K236" s="750">
        <f>(I236-L236)*K208</f>
        <v>27.759982384182592</v>
      </c>
      <c r="L236" s="750">
        <f>L39</f>
        <v>0</v>
      </c>
      <c r="M236" s="1302">
        <f t="shared" si="19"/>
        <v>64.124651739130428</v>
      </c>
      <c r="N236" s="1096">
        <f t="shared" si="14"/>
        <v>64.124651739130428</v>
      </c>
      <c r="P236" s="564">
        <f t="shared" si="13"/>
        <v>35.047980604947846</v>
      </c>
      <c r="Q236" s="564">
        <f t="shared" si="13"/>
        <v>27.321671134182594</v>
      </c>
    </row>
    <row r="237" spans="1:17" s="1" customFormat="1" ht="13.9" hidden="1" customHeight="1" x14ac:dyDescent="0.25">
      <c r="A237" s="1404"/>
      <c r="B237" s="1405" t="s">
        <v>1102</v>
      </c>
      <c r="C237" s="1406" t="s">
        <v>617</v>
      </c>
      <c r="D237" s="1407">
        <f>0.77027+0.31+0.105</f>
        <v>1.18527</v>
      </c>
      <c r="E237" s="1407">
        <f>0.77027+0.31+0.105</f>
        <v>1.18527</v>
      </c>
      <c r="F237" s="1407">
        <v>1.7549999999999999</v>
      </c>
      <c r="G237" s="1407">
        <f>F237*75.025%</f>
        <v>1.31668875</v>
      </c>
      <c r="H237" s="1407">
        <f>F237-G237</f>
        <v>0.43831124999999993</v>
      </c>
      <c r="I237" s="1408">
        <f>I39</f>
        <v>64.124651739130442</v>
      </c>
      <c r="J237" s="1408">
        <f>(I237-L237)*J208</f>
        <v>36.364669354947843</v>
      </c>
      <c r="K237" s="1408">
        <f>(I237-L237)*K208</f>
        <v>27.759982384182592</v>
      </c>
      <c r="L237" s="1408">
        <v>0</v>
      </c>
      <c r="M237" s="1302">
        <f t="shared" si="19"/>
        <v>64.124651739130428</v>
      </c>
      <c r="N237" s="1302">
        <f t="shared" si="14"/>
        <v>64.124651739130428</v>
      </c>
      <c r="P237" s="139">
        <f t="shared" si="13"/>
        <v>35.047980604947846</v>
      </c>
      <c r="Q237" s="139">
        <f t="shared" si="13"/>
        <v>27.321671134182594</v>
      </c>
    </row>
    <row r="238" spans="1:17" s="820" customFormat="1" ht="13.9" hidden="1" customHeight="1" x14ac:dyDescent="0.25">
      <c r="A238" s="149"/>
      <c r="B238" s="1397"/>
      <c r="C238" s="1398" t="s">
        <v>617</v>
      </c>
      <c r="D238" s="1195"/>
      <c r="E238" s="1195"/>
      <c r="F238" s="1195"/>
      <c r="G238" s="920"/>
      <c r="H238" s="1409"/>
      <c r="I238" s="1195"/>
      <c r="J238" s="1195"/>
      <c r="K238" s="1195"/>
      <c r="L238" s="920"/>
      <c r="M238" s="1302">
        <f t="shared" si="19"/>
        <v>0</v>
      </c>
      <c r="N238" s="1096">
        <f t="shared" si="14"/>
        <v>0</v>
      </c>
      <c r="P238" s="564">
        <f t="shared" si="13"/>
        <v>0</v>
      </c>
      <c r="Q238" s="564">
        <f t="shared" si="13"/>
        <v>0</v>
      </c>
    </row>
    <row r="239" spans="1:17" hidden="1" x14ac:dyDescent="0.2">
      <c r="A239" s="149"/>
      <c r="B239" s="1397" t="s">
        <v>1103</v>
      </c>
      <c r="C239" s="1398" t="s">
        <v>617</v>
      </c>
      <c r="D239" s="1410">
        <f t="shared" ref="D239:L239" si="21">SUM(D211:D215)+SUM(D222:D236)</f>
        <v>764.05902999999989</v>
      </c>
      <c r="E239" s="1410">
        <f t="shared" si="21"/>
        <v>764.05902999999989</v>
      </c>
      <c r="F239" s="1410">
        <f t="shared" si="21"/>
        <v>859.87634000000003</v>
      </c>
      <c r="G239" s="1410">
        <f t="shared" si="21"/>
        <v>651.89975785500019</v>
      </c>
      <c r="H239" s="1410">
        <f t="shared" si="21"/>
        <v>207.97658214499995</v>
      </c>
      <c r="I239" s="750">
        <f>SUM(I211:I215)+SUM(I222:I236)</f>
        <v>11479.44071412395</v>
      </c>
      <c r="J239" s="750">
        <f t="shared" si="21"/>
        <v>6509.9155258898345</v>
      </c>
      <c r="K239" s="750">
        <f t="shared" si="21"/>
        <v>4969.5251882341163</v>
      </c>
      <c r="L239" s="1401">
        <f t="shared" si="21"/>
        <v>0</v>
      </c>
      <c r="M239" s="1302">
        <f>SUM(J239:L239)</f>
        <v>11479.44071412395</v>
      </c>
      <c r="N239" s="1096">
        <f>J239+K239</f>
        <v>11479.44071412395</v>
      </c>
      <c r="P239" s="564">
        <f t="shared" si="13"/>
        <v>5858.0157680348348</v>
      </c>
      <c r="Q239" s="564">
        <f t="shared" si="13"/>
        <v>4761.5486060891162</v>
      </c>
    </row>
    <row r="240" spans="1:17" hidden="1" x14ac:dyDescent="0.2">
      <c r="C240" s="4"/>
      <c r="D240" s="660" t="e">
        <f>#REF!+#REF!</f>
        <v>#REF!</v>
      </c>
      <c r="E240" s="660" t="e">
        <f>#REF!+#REF!</f>
        <v>#REF!</v>
      </c>
      <c r="F240" s="139">
        <f>'[16]8'!$K$9</f>
        <v>840.44695823061295</v>
      </c>
      <c r="G240" s="4"/>
      <c r="H240" s="4"/>
      <c r="I240" s="564">
        <f>I239-I40</f>
        <v>0</v>
      </c>
      <c r="J240" s="139">
        <f>J239+K239</f>
        <v>11479.44071412395</v>
      </c>
      <c r="K240" s="4"/>
      <c r="M240" s="564"/>
      <c r="P240" s="564">
        <f>P239+Q239</f>
        <v>10619.564374123951</v>
      </c>
    </row>
    <row r="241" spans="2:11" hidden="1" x14ac:dyDescent="0.2">
      <c r="C241" s="4"/>
      <c r="D241" s="4"/>
      <c r="E241" s="4"/>
      <c r="F241" s="4"/>
      <c r="G241" s="4"/>
      <c r="H241" s="4"/>
      <c r="I241" s="660" t="e">
        <f>#REF!+#REF!</f>
        <v>#REF!</v>
      </c>
      <c r="J241" s="660" t="e">
        <f>#REF!</f>
        <v>#REF!</v>
      </c>
      <c r="K241" s="660" t="e">
        <f>#REF!</f>
        <v>#REF!</v>
      </c>
    </row>
    <row r="242" spans="2:11" hidden="1" x14ac:dyDescent="0.2">
      <c r="C242" s="4"/>
      <c r="D242" s="4"/>
      <c r="E242" s="4"/>
      <c r="F242" s="4"/>
      <c r="G242" s="4"/>
      <c r="H242" s="4"/>
      <c r="I242" s="4"/>
      <c r="J242" s="660" t="e">
        <f>J239-J241</f>
        <v>#REF!</v>
      </c>
      <c r="K242" s="660" t="e">
        <f>K239-K241</f>
        <v>#REF!</v>
      </c>
    </row>
    <row r="243" spans="2:11" hidden="1" x14ac:dyDescent="0.2"/>
    <row r="244" spans="2:11" hidden="1" x14ac:dyDescent="0.2">
      <c r="B244" s="148" t="s">
        <v>801</v>
      </c>
    </row>
    <row r="245" spans="2:11" hidden="1" x14ac:dyDescent="0.2"/>
    <row r="246" spans="2:11" hidden="1" x14ac:dyDescent="0.2"/>
    <row r="247" spans="2:11" ht="28.15" hidden="1" customHeight="1" x14ac:dyDescent="0.2">
      <c r="I247" s="564">
        <f>I239-J247</f>
        <v>0</v>
      </c>
      <c r="J247" s="564">
        <f>J240+L239</f>
        <v>11479.44071412395</v>
      </c>
    </row>
  </sheetData>
  <mergeCells count="3">
    <mergeCell ref="B18:D18"/>
    <mergeCell ref="F209:H209"/>
    <mergeCell ref="I209:L209"/>
  </mergeCells>
  <pageMargins left="0.70866141732283472" right="0.70866141732283472"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231"/>
  <sheetViews>
    <sheetView view="pageBreakPreview" zoomScale="98" zoomScaleNormal="100" zoomScaleSheetLayoutView="98" workbookViewId="0">
      <selection activeCell="AG32" sqref="AG32"/>
    </sheetView>
  </sheetViews>
  <sheetFormatPr defaultColWidth="9.140625" defaultRowHeight="12.75" x14ac:dyDescent="0.2"/>
  <cols>
    <col min="1" max="1" width="2.5703125" style="941" customWidth="1"/>
    <col min="2" max="2" width="19.140625" style="941" customWidth="1"/>
    <col min="3" max="3" width="9.28515625" style="941" bestFit="1" customWidth="1"/>
    <col min="4" max="4" width="6.7109375" style="941" customWidth="1"/>
    <col min="5" max="5" width="9.28515625" style="941" customWidth="1"/>
    <col min="6" max="6" width="10.7109375" style="941" customWidth="1"/>
    <col min="7" max="7" width="9.140625" style="941" customWidth="1"/>
    <col min="8" max="8" width="8.5703125" style="941" customWidth="1"/>
    <col min="9" max="9" width="8" style="941" customWidth="1"/>
    <col min="10" max="10" width="9.85546875" style="941" customWidth="1"/>
    <col min="11" max="11" width="10.42578125" style="941" customWidth="1"/>
    <col min="12" max="12" width="10.28515625" style="941" hidden="1" customWidth="1"/>
    <col min="13" max="13" width="12.85546875" style="941" hidden="1" customWidth="1"/>
    <col min="14" max="14" width="10" style="941" hidden="1" customWidth="1"/>
    <col min="15" max="15" width="20.85546875" style="941" customWidth="1"/>
    <col min="16" max="17" width="12.42578125" style="941" hidden="1" customWidth="1"/>
    <col min="18" max="18" width="9.140625" style="941" hidden="1" customWidth="1"/>
    <col min="19" max="19" width="10.28515625" style="941" hidden="1" customWidth="1"/>
    <col min="20" max="20" width="10.42578125" style="941" hidden="1" customWidth="1"/>
    <col min="21" max="21" width="10.28515625" style="941" hidden="1" customWidth="1"/>
    <col min="22" max="22" width="9.42578125" style="941" hidden="1" customWidth="1"/>
    <col min="23" max="24" width="9.140625" style="941" hidden="1" customWidth="1"/>
    <col min="25" max="25" width="9.140625" style="944" hidden="1" customWidth="1"/>
    <col min="26" max="30" width="9.140625" style="941" hidden="1" customWidth="1"/>
    <col min="31" max="36" width="9.140625" style="941" customWidth="1"/>
    <col min="37" max="16384" width="9.140625" style="941"/>
  </cols>
  <sheetData>
    <row r="1" spans="1:29" ht="22.15" customHeight="1" x14ac:dyDescent="0.3">
      <c r="E1" s="1301" t="s">
        <v>1104</v>
      </c>
      <c r="K1" s="825" t="s">
        <v>1105</v>
      </c>
      <c r="Y1" s="941"/>
    </row>
    <row r="2" spans="1:29" ht="21" customHeight="1" x14ac:dyDescent="0.2">
      <c r="K2" s="148" t="s">
        <v>229</v>
      </c>
      <c r="L2" s="1342" t="s">
        <v>1106</v>
      </c>
      <c r="M2" s="1342" t="s">
        <v>1107</v>
      </c>
      <c r="N2" s="1342" t="s">
        <v>1010</v>
      </c>
      <c r="V2" s="944"/>
      <c r="Y2" s="941"/>
    </row>
    <row r="3" spans="1:29" ht="13.5" x14ac:dyDescent="0.25">
      <c r="A3" s="120">
        <v>1</v>
      </c>
      <c r="B3" s="942" t="s">
        <v>1108</v>
      </c>
      <c r="C3" s="1411"/>
      <c r="F3" s="1329"/>
      <c r="G3" s="1329"/>
      <c r="H3" s="1329"/>
      <c r="I3" s="1329"/>
      <c r="K3" s="1412">
        <f>[3]ФОТ!$BC$749/1000</f>
        <v>3422.7583999999997</v>
      </c>
      <c r="L3" s="1413">
        <f>'[11]Адм.,збут'!I40+'[11]Адм.,збут'!K40</f>
        <v>2235.0603200000005</v>
      </c>
      <c r="M3" s="1413">
        <f>'[11]Адм.,збут'!P40+'[11]Адм.,збут'!R40</f>
        <v>1187.6980800000001</v>
      </c>
      <c r="N3" s="1413">
        <f>K3-L3-M3</f>
        <v>0</v>
      </c>
      <c r="O3" s="941" t="s">
        <v>1109</v>
      </c>
      <c r="P3" s="1096">
        <f>L3+M3+N3</f>
        <v>3422.7584000000006</v>
      </c>
      <c r="Q3" s="1096"/>
      <c r="R3" s="1001" t="s">
        <v>822</v>
      </c>
      <c r="S3" s="1096"/>
      <c r="U3" s="1096">
        <f>L3+M3+[11]пов!AC6+[11]пов!AD6-'[11]Адм.,збут'!B40</f>
        <v>0</v>
      </c>
      <c r="V3" s="1329">
        <f>K3+([11]пов!I4+[11]пов!H79)/1000</f>
        <v>3423.2860144799997</v>
      </c>
      <c r="Y3" s="941"/>
    </row>
    <row r="4" spans="1:29" ht="13.5" x14ac:dyDescent="0.25">
      <c r="A4" s="120">
        <v>2</v>
      </c>
      <c r="B4" s="942" t="s">
        <v>818</v>
      </c>
      <c r="C4" s="1411"/>
      <c r="F4" s="1329"/>
      <c r="G4" s="1329"/>
      <c r="H4" s="1329"/>
      <c r="I4" s="1414"/>
      <c r="J4" s="1414"/>
      <c r="K4" s="954">
        <f>K3*22%</f>
        <v>753.00684799999999</v>
      </c>
      <c r="L4" s="1415">
        <f>L3*22%</f>
        <v>491.71327040000011</v>
      </c>
      <c r="M4" s="1415">
        <f>M3*22%</f>
        <v>261.29357760000005</v>
      </c>
      <c r="N4" s="1413">
        <f>K4-L4-M4</f>
        <v>0</v>
      </c>
      <c r="O4" s="941" t="s">
        <v>1109</v>
      </c>
      <c r="P4" s="1096">
        <f t="shared" ref="P4:P38" si="0">L4+M4+N4</f>
        <v>753.00684800000022</v>
      </c>
      <c r="Q4" s="1096"/>
      <c r="R4" s="1001" t="s">
        <v>823</v>
      </c>
      <c r="S4" s="944"/>
      <c r="T4" s="944"/>
      <c r="U4" s="1096">
        <f>L4+M4+[11]пов!AC7+[11]пов!AD7-'[11]Адм.,збут'!B41</f>
        <v>0</v>
      </c>
      <c r="V4" s="1329">
        <f>K4+([11]пов!I5+[11]пов!H80)/1000</f>
        <v>753.12292318560003</v>
      </c>
      <c r="Y4" s="941"/>
    </row>
    <row r="5" spans="1:29" x14ac:dyDescent="0.2">
      <c r="A5" s="120">
        <v>3</v>
      </c>
      <c r="B5" s="942" t="s">
        <v>1012</v>
      </c>
      <c r="C5" s="986"/>
      <c r="E5" s="1416"/>
      <c r="F5" s="1417"/>
      <c r="G5" s="1417"/>
      <c r="H5" s="1417"/>
      <c r="I5" s="1280"/>
      <c r="J5" s="1418"/>
      <c r="K5" s="1412">
        <f>([11]Аморт!F46)/1000</f>
        <v>44.471039999999988</v>
      </c>
      <c r="L5" s="1413">
        <f>'[11]Адм.,збут'!I42+'[11]Адм.,збут'!K42</f>
        <v>44.471039999999988</v>
      </c>
      <c r="M5" s="1413"/>
      <c r="N5" s="1413"/>
      <c r="O5" s="941" t="s">
        <v>1109</v>
      </c>
      <c r="P5" s="1096">
        <f>L5+M5+N5</f>
        <v>44.471039999999988</v>
      </c>
      <c r="Q5" s="1096"/>
      <c r="R5" s="1001" t="s">
        <v>819</v>
      </c>
      <c r="V5" s="1329">
        <f>K5+[11]пов!I7/1000</f>
        <v>44.471039999999988</v>
      </c>
      <c r="Y5" s="941"/>
    </row>
    <row r="6" spans="1:29" ht="13.5" x14ac:dyDescent="0.25">
      <c r="A6" s="120">
        <v>4</v>
      </c>
      <c r="B6" s="120" t="s">
        <v>972</v>
      </c>
      <c r="E6" s="1329"/>
      <c r="F6" s="1329"/>
      <c r="G6" s="1329"/>
      <c r="H6" s="1329"/>
      <c r="I6" s="1329"/>
      <c r="J6" s="1329"/>
      <c r="K6" s="1351">
        <f>SUM(K7:K22)</f>
        <v>607.04945034049831</v>
      </c>
      <c r="L6" s="1351">
        <f>SUM(L7:L22)</f>
        <v>225.76516215999996</v>
      </c>
      <c r="M6" s="1351">
        <f>SUM(M7:M22)</f>
        <v>381.28428818049838</v>
      </c>
      <c r="N6" s="1351">
        <f>SUM(N7:N22)</f>
        <v>0</v>
      </c>
      <c r="O6" s="941" t="s">
        <v>1109</v>
      </c>
      <c r="P6" s="1096">
        <f t="shared" si="0"/>
        <v>607.04945034049831</v>
      </c>
      <c r="Q6" s="1096"/>
      <c r="R6" s="1419"/>
      <c r="S6" s="1302"/>
      <c r="T6" s="1302"/>
      <c r="V6" s="1329"/>
      <c r="Y6" s="941"/>
    </row>
    <row r="7" spans="1:29" ht="13.5" x14ac:dyDescent="0.25">
      <c r="B7" s="942" t="s">
        <v>1110</v>
      </c>
      <c r="C7" s="1411"/>
      <c r="E7" s="1235"/>
      <c r="F7" s="1893"/>
      <c r="G7" s="1894">
        <f>F8*40%</f>
        <v>25172.135597947199</v>
      </c>
      <c r="H7" s="802"/>
      <c r="I7" s="1329"/>
      <c r="J7" s="1329"/>
      <c r="K7" s="1144">
        <f>(G7*0.8%)+(G8*0.3%)</f>
        <v>239.13528818049841</v>
      </c>
      <c r="L7" s="1420">
        <v>0</v>
      </c>
      <c r="M7" s="1420">
        <f>K7-L7</f>
        <v>239.13528818049841</v>
      </c>
      <c r="N7" s="1413"/>
      <c r="O7" s="941" t="s">
        <v>1109</v>
      </c>
      <c r="P7" s="1096">
        <f t="shared" si="0"/>
        <v>239.13528818049841</v>
      </c>
      <c r="Q7" s="1096"/>
      <c r="R7" s="1001" t="s">
        <v>1111</v>
      </c>
      <c r="S7" s="944"/>
      <c r="T7" s="944"/>
      <c r="V7" s="1329"/>
      <c r="Y7" s="941"/>
    </row>
    <row r="8" spans="1:29" s="964" customFormat="1" x14ac:dyDescent="0.2">
      <c r="A8" s="960"/>
      <c r="B8" s="960" t="s">
        <v>1112</v>
      </c>
      <c r="C8" s="960"/>
      <c r="D8" s="960"/>
      <c r="E8" s="1894">
        <f>([11]дох!C7+[11]дох!C16+[11]дох!C25)*1.2</f>
        <v>62930.338994867998</v>
      </c>
      <c r="F8" s="1895">
        <v>62930.338994867998</v>
      </c>
      <c r="G8" s="1894">
        <f>F8*20%</f>
        <v>12586.0677989736</v>
      </c>
      <c r="H8" s="1084"/>
      <c r="I8" s="1280"/>
      <c r="J8" s="1280"/>
      <c r="L8" s="1421"/>
      <c r="M8" s="1413"/>
      <c r="N8" s="1413"/>
      <c r="O8" s="960"/>
      <c r="P8" s="1096">
        <f t="shared" si="0"/>
        <v>0</v>
      </c>
      <c r="Q8" s="1096"/>
      <c r="R8" s="960"/>
      <c r="S8" s="966"/>
      <c r="T8" s="966"/>
      <c r="U8" s="967">
        <f>'[11]Адм.,збут'!B39</f>
        <v>5219.5124785642947</v>
      </c>
      <c r="V8" s="1280"/>
    </row>
    <row r="9" spans="1:29" s="960" customFormat="1" x14ac:dyDescent="0.2">
      <c r="A9" s="964"/>
      <c r="B9" s="960" t="s">
        <v>1113</v>
      </c>
      <c r="D9" s="964"/>
      <c r="E9" s="1280"/>
      <c r="F9" s="1280"/>
      <c r="G9" s="1280"/>
      <c r="H9" s="1280"/>
      <c r="I9" s="991"/>
      <c r="J9" s="991"/>
      <c r="M9" s="1413"/>
      <c r="N9" s="1413"/>
      <c r="P9" s="1096">
        <f t="shared" si="0"/>
        <v>0</v>
      </c>
      <c r="Q9" s="1096"/>
      <c r="R9" s="964"/>
      <c r="S9" s="962"/>
      <c r="T9" s="962"/>
      <c r="U9" s="959">
        <f>L52+M52</f>
        <v>5219.5124785642929</v>
      </c>
      <c r="V9" s="1422"/>
      <c r="X9" s="1423" t="s">
        <v>1114</v>
      </c>
    </row>
    <row r="10" spans="1:29" ht="13.5" x14ac:dyDescent="0.25">
      <c r="B10" s="1044" t="s">
        <v>1115</v>
      </c>
      <c r="C10" s="1072"/>
      <c r="D10" s="1072"/>
      <c r="E10" s="1072"/>
      <c r="F10" s="1072"/>
      <c r="G10" s="1424">
        <f>3845.75</f>
        <v>3845.75</v>
      </c>
      <c r="H10" s="1072" t="s">
        <v>1023</v>
      </c>
      <c r="I10" s="1052">
        <v>12</v>
      </c>
      <c r="J10" s="1219"/>
      <c r="K10" s="1045">
        <f>G10/1000*I10</f>
        <v>46.149000000000001</v>
      </c>
      <c r="L10" s="1425">
        <v>0</v>
      </c>
      <c r="M10" s="1420">
        <f>K10-L10</f>
        <v>46.149000000000001</v>
      </c>
      <c r="N10" s="1413"/>
      <c r="O10" s="941" t="s">
        <v>1109</v>
      </c>
      <c r="P10" s="1096">
        <f t="shared" si="0"/>
        <v>46.149000000000001</v>
      </c>
      <c r="Q10" s="1096"/>
      <c r="R10" s="1001" t="s">
        <v>1029</v>
      </c>
      <c r="S10" s="944"/>
      <c r="T10" s="944"/>
      <c r="X10" s="1426"/>
      <c r="Y10" s="941"/>
      <c r="AC10" s="1096" t="e">
        <f>E10-E5-E4-[11]пов!H105-[11]Адм!L4-[11]Збут!N2-[11]Збут!M2</f>
        <v>#VALUE!</v>
      </c>
    </row>
    <row r="11" spans="1:29" ht="13.5" x14ac:dyDescent="0.25">
      <c r="B11" s="1002" t="s">
        <v>1116</v>
      </c>
      <c r="C11" s="1332"/>
      <c r="D11" s="1332"/>
      <c r="E11" s="1332"/>
      <c r="G11" s="1427">
        <f>8000</f>
        <v>8000</v>
      </c>
      <c r="H11" s="941" t="s">
        <v>1023</v>
      </c>
      <c r="I11" s="1428">
        <v>12</v>
      </c>
      <c r="J11" s="1429"/>
      <c r="K11" s="1412">
        <f>G11*I11/1000</f>
        <v>96</v>
      </c>
      <c r="L11" s="1425">
        <v>0</v>
      </c>
      <c r="M11" s="1420">
        <f>K11-L11</f>
        <v>96</v>
      </c>
      <c r="N11" s="1413"/>
      <c r="O11" s="941" t="s">
        <v>1109</v>
      </c>
      <c r="P11" s="1096">
        <f t="shared" si="0"/>
        <v>96</v>
      </c>
      <c r="Q11" s="1096"/>
      <c r="R11" s="1001" t="s">
        <v>1029</v>
      </c>
      <c r="S11" s="944"/>
      <c r="T11" s="944"/>
      <c r="X11" s="1426"/>
      <c r="Y11" s="941"/>
      <c r="AC11" s="1096">
        <f>E11-E6-E5-[11]пов!H106-[11]Адм!L5-[11]Збут!N3-[11]Збут!M3</f>
        <v>-1187.6980800000001</v>
      </c>
    </row>
    <row r="12" spans="1:29" s="680" customFormat="1" ht="13.5" customHeight="1" x14ac:dyDescent="0.2">
      <c r="B12" s="1044" t="s">
        <v>1117</v>
      </c>
      <c r="G12" s="1430">
        <v>2200</v>
      </c>
      <c r="H12" s="680" t="s">
        <v>1118</v>
      </c>
      <c r="J12" s="739"/>
      <c r="K12" s="1431">
        <f>G12*12/1000</f>
        <v>26.4</v>
      </c>
      <c r="L12" s="1346">
        <f t="shared" ref="L12" si="1">K12</f>
        <v>26.4</v>
      </c>
      <c r="N12" s="1283"/>
      <c r="O12" s="941" t="s">
        <v>1109</v>
      </c>
      <c r="P12" s="1347"/>
    </row>
    <row r="13" spans="1:29" x14ac:dyDescent="0.2">
      <c r="B13" s="942" t="s">
        <v>1028</v>
      </c>
      <c r="C13" s="1332"/>
      <c r="F13" s="148"/>
      <c r="G13" s="1432">
        <f>[11]Адм!E15</f>
        <v>4900</v>
      </c>
      <c r="H13" s="941" t="s">
        <v>1023</v>
      </c>
      <c r="I13" s="1428">
        <v>12</v>
      </c>
      <c r="J13" s="1429"/>
      <c r="K13" s="1412">
        <f>G13*I13/1000</f>
        <v>58.8</v>
      </c>
      <c r="L13" s="1413">
        <f>K13</f>
        <v>58.8</v>
      </c>
      <c r="M13" s="1413">
        <f>'[11]Адм.,збут'!T46</f>
        <v>0</v>
      </c>
      <c r="N13" s="1413"/>
      <c r="O13" s="941" t="s">
        <v>1109</v>
      </c>
      <c r="P13" s="1096">
        <f t="shared" si="0"/>
        <v>58.8</v>
      </c>
      <c r="Q13" s="1096"/>
      <c r="R13" s="1001" t="s">
        <v>1029</v>
      </c>
      <c r="S13" s="1096">
        <f>SUM(K13:K15)</f>
        <v>84.674999999999997</v>
      </c>
      <c r="T13" s="1096"/>
      <c r="X13" s="1426"/>
      <c r="Y13" s="941"/>
    </row>
    <row r="14" spans="1:29" x14ac:dyDescent="0.2">
      <c r="B14" s="942" t="s">
        <v>1095</v>
      </c>
      <c r="C14" s="1332"/>
      <c r="F14" s="148"/>
      <c r="G14" s="1433">
        <f>375/1.2/2</f>
        <v>156.25</v>
      </c>
      <c r="H14" s="941" t="s">
        <v>1023</v>
      </c>
      <c r="I14" s="1428">
        <v>12</v>
      </c>
      <c r="J14" s="1429"/>
      <c r="K14" s="1412">
        <f>G14*I14/1000</f>
        <v>1.875</v>
      </c>
      <c r="L14" s="1413">
        <f>K14</f>
        <v>1.875</v>
      </c>
      <c r="M14" s="1413">
        <f>'[11]Адм.,збут'!T47</f>
        <v>0</v>
      </c>
      <c r="N14" s="1413"/>
      <c r="O14" s="941" t="s">
        <v>1109</v>
      </c>
      <c r="P14" s="1096">
        <f>L14+M14+N14</f>
        <v>1.875</v>
      </c>
      <c r="Q14" s="1096"/>
      <c r="Y14" s="941"/>
    </row>
    <row r="15" spans="1:29" x14ac:dyDescent="0.2">
      <c r="B15" s="942" t="s">
        <v>1119</v>
      </c>
      <c r="C15" s="1332"/>
      <c r="F15" s="148"/>
      <c r="G15" s="148" t="s">
        <v>681</v>
      </c>
      <c r="H15" s="148"/>
      <c r="I15" s="148"/>
      <c r="J15" s="1429"/>
      <c r="K15" s="1412">
        <f>[7]Збут!$K$16</f>
        <v>24</v>
      </c>
      <c r="L15" s="1413">
        <f t="shared" ref="L15:L38" si="2">K15</f>
        <v>24</v>
      </c>
      <c r="M15" s="1413">
        <f>'[11]Адм.,збут'!T48</f>
        <v>0</v>
      </c>
      <c r="N15" s="1413"/>
      <c r="O15" s="941" t="s">
        <v>1109</v>
      </c>
      <c r="P15" s="1096">
        <f t="shared" si="0"/>
        <v>24</v>
      </c>
      <c r="Q15" s="1096"/>
      <c r="Y15" s="941"/>
    </row>
    <row r="16" spans="1:29" x14ac:dyDescent="0.2">
      <c r="B16" s="942" t="s">
        <v>1031</v>
      </c>
      <c r="C16" s="1332"/>
      <c r="F16" s="148"/>
      <c r="G16" s="682">
        <f>[11]Адм!E17</f>
        <v>125</v>
      </c>
      <c r="H16" s="681" t="s">
        <v>1032</v>
      </c>
      <c r="I16" s="681">
        <v>12</v>
      </c>
      <c r="J16" s="1219"/>
      <c r="K16" s="1045">
        <f>G16*I16/1000</f>
        <v>1.5</v>
      </c>
      <c r="L16" s="1413">
        <f t="shared" si="2"/>
        <v>1.5</v>
      </c>
      <c r="M16" s="1413">
        <f>'[11]Адм.,збут'!T49</f>
        <v>0</v>
      </c>
      <c r="N16" s="1413"/>
      <c r="O16" s="941" t="s">
        <v>1109</v>
      </c>
      <c r="P16" s="1096">
        <f>L16+M16+N16</f>
        <v>1.5</v>
      </c>
      <c r="Q16" s="1096"/>
      <c r="Y16" s="941"/>
    </row>
    <row r="17" spans="1:25" x14ac:dyDescent="0.2">
      <c r="B17" s="680" t="s">
        <v>1020</v>
      </c>
      <c r="C17" s="1332"/>
      <c r="G17" s="148"/>
      <c r="I17" s="1429"/>
      <c r="J17" s="1429"/>
      <c r="K17" s="1144">
        <f>((243.33+190.83)*12+300*12+479.17/5*2)/1000+[11]ВНС!J164</f>
        <v>11.87499976</v>
      </c>
      <c r="L17" s="1413">
        <f t="shared" si="2"/>
        <v>11.87499976</v>
      </c>
      <c r="M17" s="1413">
        <f>'[11]Адм.,збут'!T50</f>
        <v>0</v>
      </c>
      <c r="N17" s="1413"/>
      <c r="O17" s="941" t="s">
        <v>1109</v>
      </c>
      <c r="P17" s="1096">
        <f t="shared" si="0"/>
        <v>11.87499976</v>
      </c>
      <c r="Q17" s="1096"/>
      <c r="R17" s="1001" t="s">
        <v>838</v>
      </c>
      <c r="Y17" s="941"/>
    </row>
    <row r="18" spans="1:25" x14ac:dyDescent="0.2">
      <c r="B18" s="1072" t="s">
        <v>1120</v>
      </c>
      <c r="C18" s="1072"/>
      <c r="D18" s="1072"/>
      <c r="E18" s="1072"/>
      <c r="F18" s="1072"/>
      <c r="G18" s="148"/>
      <c r="I18" s="1429"/>
      <c r="J18" s="1429"/>
      <c r="K18" s="954"/>
      <c r="L18" s="1413"/>
      <c r="M18" s="1413"/>
      <c r="N18" s="1413"/>
      <c r="P18" s="1096">
        <f t="shared" si="0"/>
        <v>0</v>
      </c>
      <c r="Q18" s="1096"/>
      <c r="Y18" s="941"/>
    </row>
    <row r="19" spans="1:25" x14ac:dyDescent="0.2">
      <c r="B19" s="680" t="s">
        <v>714</v>
      </c>
      <c r="C19" s="1332"/>
      <c r="G19" s="148" t="s">
        <v>681</v>
      </c>
      <c r="I19" s="1429"/>
      <c r="J19" s="1429"/>
      <c r="K19" s="1412">
        <f>[7]Збут!K19</f>
        <v>0.86099999999999999</v>
      </c>
      <c r="L19" s="1413">
        <f t="shared" si="2"/>
        <v>0.86099999999999999</v>
      </c>
      <c r="M19" s="1413">
        <f>'[11]Адм.,збут'!T53</f>
        <v>0</v>
      </c>
      <c r="N19" s="1413"/>
      <c r="O19" s="941" t="s">
        <v>1109</v>
      </c>
      <c r="P19" s="1096">
        <f t="shared" si="0"/>
        <v>0.86099999999999999</v>
      </c>
      <c r="Q19" s="1096"/>
      <c r="Y19" s="941"/>
    </row>
    <row r="20" spans="1:25" x14ac:dyDescent="0.2">
      <c r="B20" s="942" t="s">
        <v>1121</v>
      </c>
      <c r="C20" s="1332"/>
      <c r="G20" s="148" t="s">
        <v>681</v>
      </c>
      <c r="I20" s="1429"/>
      <c r="J20" s="1429"/>
      <c r="K20" s="1412">
        <f>[7]Збут!K20</f>
        <v>0</v>
      </c>
      <c r="L20" s="1413">
        <f>K20</f>
        <v>0</v>
      </c>
      <c r="M20" s="1413">
        <f>K20-L20</f>
        <v>0</v>
      </c>
      <c r="N20" s="1413"/>
      <c r="O20" s="941" t="s">
        <v>1109</v>
      </c>
      <c r="P20" s="1096">
        <f>L20+M20+N20</f>
        <v>0</v>
      </c>
      <c r="Q20" s="1096"/>
      <c r="S20" s="944"/>
      <c r="T20" s="944"/>
      <c r="Y20" s="941"/>
    </row>
    <row r="21" spans="1:25" x14ac:dyDescent="0.2">
      <c r="B21" s="1044" t="s">
        <v>1122</v>
      </c>
      <c r="C21" s="1332"/>
      <c r="G21" s="148" t="s">
        <v>681</v>
      </c>
      <c r="I21" s="1429"/>
      <c r="J21" s="1429"/>
      <c r="K21" s="1412">
        <f>[7]Збут!K21</f>
        <v>99.99</v>
      </c>
      <c r="L21" s="1413">
        <f>K21</f>
        <v>99.99</v>
      </c>
      <c r="M21" s="1413">
        <f>'[11]Адм.,збут'!T52</f>
        <v>0</v>
      </c>
      <c r="N21" s="1413"/>
      <c r="O21" s="941" t="s">
        <v>1109</v>
      </c>
      <c r="P21" s="1096">
        <f>L21+M21+N21</f>
        <v>99.99</v>
      </c>
      <c r="Q21" s="1096"/>
      <c r="R21" s="1096"/>
      <c r="S21" s="1096">
        <f>[11]ФП!B60+R21</f>
        <v>0</v>
      </c>
      <c r="T21" s="944"/>
      <c r="Y21" s="941"/>
    </row>
    <row r="22" spans="1:25" ht="12.75" customHeight="1" x14ac:dyDescent="0.2">
      <c r="B22" s="680" t="s">
        <v>1123</v>
      </c>
      <c r="C22" s="1434"/>
      <c r="G22" s="148" t="s">
        <v>681</v>
      </c>
      <c r="I22" s="1429"/>
      <c r="J22" s="1429"/>
      <c r="K22" s="1412">
        <f>[7]Збут!K22</f>
        <v>0.46416239999999992</v>
      </c>
      <c r="L22" s="1413">
        <f>K22</f>
        <v>0.46416239999999992</v>
      </c>
      <c r="M22" s="1413">
        <f>'[11]Адм.,збут'!T57</f>
        <v>0</v>
      </c>
      <c r="N22" s="1413"/>
      <c r="O22" s="941" t="s">
        <v>1109</v>
      </c>
      <c r="P22" s="1096">
        <f>L22+M22+N22</f>
        <v>0.46416239999999992</v>
      </c>
      <c r="Q22" s="1096"/>
      <c r="S22" s="944"/>
      <c r="T22" s="944"/>
      <c r="Y22" s="941"/>
    </row>
    <row r="23" spans="1:25" ht="12.75" customHeight="1" x14ac:dyDescent="0.2">
      <c r="B23" s="680"/>
      <c r="C23" s="1434"/>
      <c r="G23" s="148"/>
      <c r="I23" s="1429"/>
      <c r="J23" s="1429"/>
      <c r="K23" s="954"/>
      <c r="L23" s="1413"/>
      <c r="M23" s="1413"/>
      <c r="N23" s="1413"/>
      <c r="P23" s="1096"/>
      <c r="Q23" s="1096"/>
      <c r="S23" s="944"/>
      <c r="T23" s="944"/>
      <c r="Y23" s="941"/>
    </row>
    <row r="24" spans="1:25" ht="13.5" x14ac:dyDescent="0.25">
      <c r="A24" s="120">
        <v>5</v>
      </c>
      <c r="B24" s="120" t="s">
        <v>1041</v>
      </c>
      <c r="C24" s="1434"/>
      <c r="D24" s="120"/>
      <c r="E24" s="120"/>
      <c r="F24" s="120"/>
      <c r="G24" s="120"/>
      <c r="H24" s="120"/>
      <c r="I24" s="1435"/>
      <c r="J24" s="1435"/>
      <c r="K24" s="1351">
        <f>SUM(K25:K32)</f>
        <v>151.2549113</v>
      </c>
      <c r="L24" s="1351">
        <f t="shared" ref="L24:N24" si="3">SUM(L25:L32)</f>
        <v>149.27003630000002</v>
      </c>
      <c r="M24" s="1351">
        <f t="shared" si="3"/>
        <v>1.9848750000000024</v>
      </c>
      <c r="N24" s="1351">
        <f t="shared" si="3"/>
        <v>0</v>
      </c>
      <c r="O24" s="941" t="s">
        <v>1109</v>
      </c>
      <c r="P24" s="1096"/>
      <c r="Q24" s="1096"/>
      <c r="Y24" s="941"/>
    </row>
    <row r="25" spans="1:25" x14ac:dyDescent="0.2">
      <c r="B25" s="942" t="s">
        <v>1124</v>
      </c>
      <c r="C25" s="1332"/>
      <c r="G25" s="148"/>
      <c r="I25" s="1429"/>
      <c r="J25" s="1429"/>
      <c r="K25" s="1412">
        <f>(F149+F156+F174)/1000*1</f>
        <v>27.740160000000003</v>
      </c>
      <c r="L25" s="1413">
        <f t="shared" si="2"/>
        <v>27.740160000000003</v>
      </c>
      <c r="M25" s="1413">
        <f>'[11]Адм.,збут'!T54</f>
        <v>0</v>
      </c>
      <c r="N25" s="1413"/>
      <c r="O25" s="941" t="s">
        <v>1109</v>
      </c>
      <c r="P25" s="1096">
        <f t="shared" si="0"/>
        <v>27.740160000000003</v>
      </c>
      <c r="Q25" s="1096"/>
      <c r="Y25" s="941"/>
    </row>
    <row r="26" spans="1:25" s="1072" customFormat="1" x14ac:dyDescent="0.2">
      <c r="B26" s="942" t="s">
        <v>1125</v>
      </c>
      <c r="H26" s="1436"/>
      <c r="I26" s="1436"/>
      <c r="J26" s="1219"/>
      <c r="K26" s="1437">
        <f>SUM(G27:G31)/1000</f>
        <v>32.1638625</v>
      </c>
      <c r="L26" s="1438">
        <f>SUM(G29:G31)/1000</f>
        <v>30.178987499999998</v>
      </c>
      <c r="M26" s="1438">
        <f>K26-L26</f>
        <v>1.9848750000000024</v>
      </c>
      <c r="N26" s="1438"/>
      <c r="O26" s="941" t="s">
        <v>1109</v>
      </c>
      <c r="P26" s="1438"/>
    </row>
    <row r="27" spans="1:25" s="1072" customFormat="1" ht="12" x14ac:dyDescent="0.2">
      <c r="B27" s="1439" t="s">
        <v>1126</v>
      </c>
      <c r="C27" s="1440">
        <f>[7]Збут!C26</f>
        <v>592.5</v>
      </c>
      <c r="D27" s="1441" t="s">
        <v>928</v>
      </c>
      <c r="E27" s="1440">
        <f>[7]Збут!E26</f>
        <v>2.75</v>
      </c>
      <c r="F27" s="1441" t="s">
        <v>908</v>
      </c>
      <c r="G27" s="1442">
        <f>C27*E27</f>
        <v>1629.375</v>
      </c>
      <c r="H27" s="1052"/>
      <c r="I27" s="1436"/>
      <c r="J27" s="1436"/>
      <c r="K27" s="1144"/>
      <c r="L27" s="1438"/>
      <c r="M27" s="1438"/>
      <c r="N27" s="1438"/>
      <c r="O27" s="1438"/>
      <c r="P27" s="1438"/>
      <c r="R27" s="1436">
        <f>[7]Збут!$S$26</f>
        <v>1.9848749999999997</v>
      </c>
    </row>
    <row r="28" spans="1:25" s="1072" customFormat="1" ht="12" x14ac:dyDescent="0.2">
      <c r="B28" s="1439" t="s">
        <v>1127</v>
      </c>
      <c r="C28" s="1440">
        <f>[7]Збут!C27</f>
        <v>296.25</v>
      </c>
      <c r="D28" s="1441" t="s">
        <v>1128</v>
      </c>
      <c r="E28" s="1440">
        <f>[7]Збут!E27</f>
        <v>1.2</v>
      </c>
      <c r="F28" s="1441" t="s">
        <v>908</v>
      </c>
      <c r="G28" s="1442">
        <f>C28*E28</f>
        <v>355.5</v>
      </c>
      <c r="I28" s="1436"/>
      <c r="J28" s="1436"/>
      <c r="K28" s="1144"/>
      <c r="L28" s="1438"/>
      <c r="M28" s="1438"/>
      <c r="N28" s="1438"/>
      <c r="O28" s="1438"/>
      <c r="P28" s="1438"/>
      <c r="R28" s="1443">
        <f>SUM(G27:G28)/1000-R27</f>
        <v>0</v>
      </c>
    </row>
    <row r="29" spans="1:25" s="1072" customFormat="1" ht="12" x14ac:dyDescent="0.2">
      <c r="B29" s="1444" t="s">
        <v>1126</v>
      </c>
      <c r="C29" s="1440">
        <f>[7]Збут!C28</f>
        <v>3614.25</v>
      </c>
      <c r="D29" s="1445" t="s">
        <v>928</v>
      </c>
      <c r="E29" s="1440">
        <f>[7]Збут!E28</f>
        <v>2.75</v>
      </c>
      <c r="F29" s="1445" t="s">
        <v>908</v>
      </c>
      <c r="G29" s="1446">
        <f>C29*E29</f>
        <v>9939.1875</v>
      </c>
      <c r="I29" s="1436"/>
      <c r="J29" s="1436"/>
      <c r="K29" s="1144"/>
      <c r="L29" s="1438"/>
      <c r="M29" s="1438"/>
      <c r="N29" s="1438"/>
      <c r="O29" s="1438"/>
      <c r="P29" s="1438"/>
      <c r="R29" s="1436"/>
    </row>
    <row r="30" spans="1:25" s="1072" customFormat="1" ht="12" x14ac:dyDescent="0.2">
      <c r="B30" s="1444" t="s">
        <v>1127</v>
      </c>
      <c r="C30" s="1440">
        <f>[7]Збут!C29</f>
        <v>1807.125</v>
      </c>
      <c r="D30" s="1445" t="s">
        <v>1128</v>
      </c>
      <c r="E30" s="1440">
        <f>[7]Збут!E29</f>
        <v>1.2</v>
      </c>
      <c r="F30" s="1445" t="s">
        <v>908</v>
      </c>
      <c r="G30" s="1446">
        <f>C30*E30</f>
        <v>2168.5499999999997</v>
      </c>
      <c r="I30" s="1436"/>
      <c r="J30" s="1436"/>
      <c r="K30" s="1144"/>
      <c r="L30" s="1438"/>
      <c r="M30" s="1438"/>
      <c r="N30" s="1438"/>
      <c r="O30" s="1438"/>
      <c r="P30" s="1438"/>
      <c r="R30" s="1436"/>
    </row>
    <row r="31" spans="1:25" s="1072" customFormat="1" ht="12" x14ac:dyDescent="0.2">
      <c r="B31" s="1444" t="s">
        <v>1129</v>
      </c>
      <c r="C31" s="1440">
        <f>[7]Збут!C30</f>
        <v>7228.5</v>
      </c>
      <c r="D31" s="1445" t="s">
        <v>928</v>
      </c>
      <c r="E31" s="1440">
        <f>[7]Збут!E30</f>
        <v>2.5</v>
      </c>
      <c r="F31" s="1445" t="s">
        <v>908</v>
      </c>
      <c r="G31" s="1446">
        <f>C31*E31</f>
        <v>18071.25</v>
      </c>
      <c r="I31" s="1436"/>
      <c r="J31" s="1436"/>
      <c r="K31" s="1144"/>
      <c r="L31" s="1438"/>
      <c r="M31" s="1438"/>
      <c r="N31" s="1438"/>
      <c r="O31" s="1438"/>
      <c r="P31" s="1438"/>
      <c r="R31" s="1436"/>
    </row>
    <row r="32" spans="1:25" ht="15.75" x14ac:dyDescent="0.25">
      <c r="B32" s="680" t="s">
        <v>1074</v>
      </c>
      <c r="C32" s="1332"/>
      <c r="G32" s="148"/>
      <c r="I32" s="1429"/>
      <c r="J32" s="1429"/>
      <c r="K32" s="1412">
        <f>F143/1000*1</f>
        <v>91.350888800000007</v>
      </c>
      <c r="L32" s="1413">
        <f t="shared" si="2"/>
        <v>91.350888800000007</v>
      </c>
      <c r="M32" s="1413">
        <f>'[11]Адм.,збут'!T55</f>
        <v>0</v>
      </c>
      <c r="N32" s="1413"/>
      <c r="O32" s="941" t="s">
        <v>1109</v>
      </c>
      <c r="P32" s="1096">
        <f t="shared" si="0"/>
        <v>91.350888800000007</v>
      </c>
      <c r="R32" s="1366" t="s">
        <v>885</v>
      </c>
      <c r="S32" s="1366" t="s">
        <v>886</v>
      </c>
      <c r="T32" s="964" t="s">
        <v>887</v>
      </c>
      <c r="Y32" s="941"/>
    </row>
    <row r="33" spans="1:25" ht="12" customHeight="1" x14ac:dyDescent="0.25">
      <c r="B33" s="1332"/>
      <c r="E33" s="1096"/>
      <c r="K33" s="1096"/>
      <c r="L33" s="1413"/>
      <c r="M33" s="1447"/>
      <c r="N33" s="1447"/>
      <c r="P33" s="1096">
        <f t="shared" si="0"/>
        <v>0</v>
      </c>
      <c r="Q33" s="1367" t="s">
        <v>500</v>
      </c>
      <c r="R33" s="1368">
        <f>[11]площі!C4</f>
        <v>226.2</v>
      </c>
      <c r="S33" s="1368">
        <f>[11]площі!D4</f>
        <v>1.5543982461445416E-2</v>
      </c>
      <c r="T33" s="1368">
        <f>[11]площі!E4</f>
        <v>24.653200786211062</v>
      </c>
      <c r="Y33" s="941"/>
    </row>
    <row r="34" spans="1:25" ht="15" x14ac:dyDescent="0.25">
      <c r="A34" s="148" t="s">
        <v>1130</v>
      </c>
      <c r="B34" s="942" t="s">
        <v>1045</v>
      </c>
      <c r="C34" s="1332"/>
      <c r="D34" s="1332"/>
      <c r="E34" s="1332"/>
      <c r="I34" s="1429"/>
      <c r="J34" s="1429"/>
      <c r="K34" s="1412">
        <f>SUM(K35:K41)</f>
        <v>122.90537501075106</v>
      </c>
      <c r="L34" s="1413">
        <f>K34</f>
        <v>122.90537501075106</v>
      </c>
      <c r="M34" s="1448">
        <f>SUM(M35:M38)</f>
        <v>0</v>
      </c>
      <c r="N34" s="1413"/>
      <c r="O34" s="941" t="s">
        <v>1109</v>
      </c>
      <c r="P34" s="1096">
        <f t="shared" si="0"/>
        <v>122.90537501075106</v>
      </c>
      <c r="Q34" s="1370" t="s">
        <v>913</v>
      </c>
      <c r="R34" s="1368">
        <f>[11]площі!C5</f>
        <v>136</v>
      </c>
      <c r="S34" s="1368">
        <f>[11]площі!D5</f>
        <v>9.3456304807983063E-3</v>
      </c>
      <c r="T34" s="1368">
        <f>[11]площі!E5</f>
        <v>14.82243725430904</v>
      </c>
      <c r="Y34" s="941"/>
    </row>
    <row r="35" spans="1:25" ht="15" x14ac:dyDescent="0.25">
      <c r="A35" s="148"/>
      <c r="B35" s="960" t="s">
        <v>1131</v>
      </c>
      <c r="E35" s="1086">
        <f>([11]норми!E24+[11]норми!F24)*1000</f>
        <v>5520.55</v>
      </c>
      <c r="F35" s="960" t="s">
        <v>1132</v>
      </c>
      <c r="G35" s="1449">
        <f>[11]ВНС!F16</f>
        <v>8.9062855699999997</v>
      </c>
      <c r="H35" s="978" t="s">
        <v>893</v>
      </c>
      <c r="J35" s="1090"/>
      <c r="K35" s="1450">
        <f>E35*G35/1000</f>
        <v>49.167594803463501</v>
      </c>
      <c r="L35" s="1447">
        <f t="shared" si="2"/>
        <v>49.167594803463501</v>
      </c>
      <c r="M35" s="1447">
        <v>0</v>
      </c>
      <c r="N35" s="1447"/>
      <c r="O35" s="1451" t="s">
        <v>1109</v>
      </c>
      <c r="P35" s="1096">
        <f t="shared" si="0"/>
        <v>49.167594803463501</v>
      </c>
      <c r="Q35" s="1370" t="s">
        <v>914</v>
      </c>
      <c r="R35" s="1368">
        <f>[11]площі!C6</f>
        <v>299.2</v>
      </c>
      <c r="S35" s="1368">
        <f>[11]площі!D6</f>
        <v>2.0560387057756275E-2</v>
      </c>
      <c r="T35" s="1368">
        <f>[11]площі!E6</f>
        <v>32.609361959479891</v>
      </c>
      <c r="Y35" s="941"/>
    </row>
    <row r="36" spans="1:25" s="964" customFormat="1" ht="15" x14ac:dyDescent="0.25">
      <c r="A36" s="148"/>
      <c r="B36" s="978" t="s">
        <v>1133</v>
      </c>
      <c r="E36" s="1049">
        <f>T34/5</f>
        <v>2.964487450861808</v>
      </c>
      <c r="F36" s="1048" t="s">
        <v>892</v>
      </c>
      <c r="G36" s="1060">
        <f>[11]Адм!E32</f>
        <v>4177.8599999999997</v>
      </c>
      <c r="H36" s="978" t="s">
        <v>899</v>
      </c>
      <c r="K36" s="1050">
        <f>E36*G36/1000*5</f>
        <v>61.926067707287558</v>
      </c>
      <c r="L36" s="1447">
        <f>K36</f>
        <v>61.926067707287558</v>
      </c>
      <c r="M36" s="1447">
        <v>0</v>
      </c>
      <c r="O36" s="1451" t="s">
        <v>1109</v>
      </c>
      <c r="P36" s="966">
        <f t="shared" si="0"/>
        <v>61.926067707287558</v>
      </c>
      <c r="Q36" s="1370"/>
      <c r="R36" s="1368"/>
      <c r="S36" s="1368"/>
      <c r="T36" s="1368"/>
    </row>
    <row r="37" spans="1:25" s="964" customFormat="1" ht="15.75" hidden="1" x14ac:dyDescent="0.25">
      <c r="A37" s="148"/>
      <c r="B37" s="978" t="s">
        <v>1134</v>
      </c>
      <c r="E37" s="1362">
        <f>S34</f>
        <v>9.3456304807983063E-3</v>
      </c>
      <c r="F37" s="1048" t="s">
        <v>901</v>
      </c>
      <c r="G37" s="1060"/>
      <c r="H37" s="978" t="s">
        <v>902</v>
      </c>
      <c r="K37" s="1050">
        <f>E37*G37/1000*12</f>
        <v>0</v>
      </c>
      <c r="L37" s="1447">
        <f>K37</f>
        <v>0</v>
      </c>
      <c r="M37" s="1447">
        <v>0</v>
      </c>
      <c r="O37" s="1451" t="s">
        <v>1109</v>
      </c>
      <c r="P37" s="966"/>
      <c r="Q37" s="1373" t="s">
        <v>916</v>
      </c>
      <c r="R37" s="1368">
        <f>SUM(R33:R36)</f>
        <v>661.4</v>
      </c>
      <c r="S37" s="1368">
        <v>6.279846359618943E-2</v>
      </c>
      <c r="T37" s="1368">
        <v>72.084999999999994</v>
      </c>
    </row>
    <row r="38" spans="1:25" x14ac:dyDescent="0.2">
      <c r="A38" s="148"/>
      <c r="B38" s="960" t="s">
        <v>903</v>
      </c>
      <c r="C38" s="960"/>
      <c r="D38" s="960"/>
      <c r="E38" s="1049">
        <f>R34</f>
        <v>136</v>
      </c>
      <c r="F38" s="1209" t="s">
        <v>958</v>
      </c>
      <c r="G38" s="1282">
        <v>12</v>
      </c>
      <c r="H38" s="1209" t="s">
        <v>959</v>
      </c>
      <c r="I38" s="1208">
        <f>[11]Адм!G34</f>
        <v>6.9</v>
      </c>
      <c r="J38" s="1209" t="s">
        <v>671</v>
      </c>
      <c r="K38" s="1210">
        <f>E38*G38*I38/1000</f>
        <v>11.260800000000001</v>
      </c>
      <c r="L38" s="1447">
        <f t="shared" si="2"/>
        <v>11.260800000000001</v>
      </c>
      <c r="M38" s="1447">
        <v>0</v>
      </c>
      <c r="N38" s="1447"/>
      <c r="O38" s="1451" t="s">
        <v>1109</v>
      </c>
      <c r="P38" s="1096">
        <f t="shared" si="0"/>
        <v>11.260800000000001</v>
      </c>
      <c r="Q38" s="1096"/>
      <c r="R38" s="956"/>
      <c r="Y38" s="941"/>
    </row>
    <row r="39" spans="1:25" hidden="1" x14ac:dyDescent="0.2">
      <c r="A39" s="205"/>
      <c r="B39" s="960" t="s">
        <v>1093</v>
      </c>
      <c r="C39" s="960"/>
      <c r="D39" s="960"/>
      <c r="E39" s="1049"/>
      <c r="F39" s="1209" t="s">
        <v>958</v>
      </c>
      <c r="G39" s="1282">
        <v>12</v>
      </c>
      <c r="H39" s="1209" t="s">
        <v>959</v>
      </c>
      <c r="I39" s="1208">
        <f>[11]Адм!G35</f>
        <v>30</v>
      </c>
      <c r="J39" s="1209" t="s">
        <v>671</v>
      </c>
      <c r="K39" s="1210">
        <f>E39*G39*I39/1000</f>
        <v>0</v>
      </c>
      <c r="L39" s="1447">
        <f>K39</f>
        <v>0</v>
      </c>
      <c r="M39" s="1447">
        <v>0</v>
      </c>
      <c r="N39" s="1447"/>
      <c r="O39" s="1451" t="s">
        <v>1109</v>
      </c>
      <c r="P39" s="1096">
        <f>L39+M39+N39</f>
        <v>0</v>
      </c>
      <c r="Q39" s="1096"/>
      <c r="R39" s="956"/>
      <c r="Y39" s="941"/>
    </row>
    <row r="40" spans="1:25" x14ac:dyDescent="0.2">
      <c r="A40" s="148"/>
      <c r="B40" s="1146" t="s">
        <v>907</v>
      </c>
      <c r="C40" s="1072"/>
      <c r="D40" s="1072"/>
      <c r="E40" s="1072">
        <f>ROUND([11]площі!G5,2)</f>
        <v>2.95</v>
      </c>
      <c r="F40" s="1072" t="s">
        <v>687</v>
      </c>
      <c r="G40" s="1364">
        <f>[11]Адм!E36</f>
        <v>186.75</v>
      </c>
      <c r="H40" s="1072" t="s">
        <v>908</v>
      </c>
      <c r="K40" s="1210">
        <f>E40*(G40)/1000</f>
        <v>0.55091250000000003</v>
      </c>
      <c r="L40" s="1447">
        <f>K40</f>
        <v>0.55091250000000003</v>
      </c>
      <c r="M40" s="1447">
        <v>0</v>
      </c>
      <c r="N40" s="1447"/>
      <c r="O40" s="1451" t="s">
        <v>1109</v>
      </c>
      <c r="P40" s="1096">
        <f>L40+M40+N40</f>
        <v>0.55091250000000003</v>
      </c>
      <c r="Q40" s="1096"/>
      <c r="R40" s="944"/>
      <c r="S40" s="944"/>
      <c r="T40" s="944"/>
      <c r="Y40" s="941"/>
    </row>
    <row r="41" spans="1:25" x14ac:dyDescent="0.2">
      <c r="A41" s="148"/>
      <c r="B41" s="1207"/>
      <c r="C41" s="1070"/>
      <c r="D41" s="964"/>
      <c r="E41" s="1072"/>
      <c r="F41" s="1072"/>
      <c r="G41" s="1364"/>
      <c r="H41" s="1072"/>
      <c r="K41" s="1210"/>
      <c r="L41" s="1447"/>
      <c r="M41" s="1447"/>
      <c r="N41" s="1447"/>
      <c r="O41" s="1451"/>
      <c r="P41" s="1096"/>
      <c r="Q41" s="1096"/>
      <c r="R41" s="956"/>
      <c r="Y41" s="941"/>
    </row>
    <row r="42" spans="1:25" x14ac:dyDescent="0.2">
      <c r="A42" s="681" t="s">
        <v>824</v>
      </c>
      <c r="B42" s="680" t="s">
        <v>691</v>
      </c>
      <c r="C42" s="1332"/>
      <c r="G42" s="941" t="s">
        <v>698</v>
      </c>
      <c r="I42" s="1429"/>
      <c r="J42" s="1429"/>
      <c r="K42" s="1412">
        <f>[11]площі!F5</f>
        <v>55.91</v>
      </c>
      <c r="L42" s="1413">
        <f>K42</f>
        <v>55.91</v>
      </c>
      <c r="M42" s="1413">
        <f>'[11]Адм.,збут'!T57</f>
        <v>0</v>
      </c>
      <c r="N42" s="1413"/>
      <c r="O42" s="941" t="s">
        <v>1109</v>
      </c>
      <c r="P42" s="1096">
        <f>L42+M42+N42</f>
        <v>55.91</v>
      </c>
      <c r="Q42" s="1096"/>
      <c r="Y42" s="941"/>
    </row>
    <row r="43" spans="1:25" x14ac:dyDescent="0.2">
      <c r="A43" s="681"/>
      <c r="B43" s="680"/>
      <c r="C43" s="1332"/>
      <c r="I43" s="1429"/>
      <c r="J43" s="1429"/>
      <c r="K43" s="954"/>
      <c r="L43" s="1413"/>
      <c r="M43" s="1413"/>
      <c r="N43" s="1413"/>
      <c r="P43" s="1096"/>
      <c r="Q43" s="1096"/>
      <c r="Y43" s="941"/>
    </row>
    <row r="44" spans="1:25" x14ac:dyDescent="0.2">
      <c r="B44" s="942" t="s">
        <v>1053</v>
      </c>
      <c r="C44" s="1332"/>
      <c r="E44" s="1332"/>
      <c r="G44" s="941" t="s">
        <v>1135</v>
      </c>
      <c r="I44" s="1429"/>
      <c r="J44" s="1429"/>
      <c r="K44" s="1452">
        <f>SUM(K45:K50)</f>
        <v>62.156453913043471</v>
      </c>
      <c r="L44" s="954">
        <f>SUM(L45:L50)</f>
        <v>62.156453913043471</v>
      </c>
      <c r="M44" s="954">
        <f>SUM(M45:M49)</f>
        <v>0</v>
      </c>
      <c r="N44" s="1413"/>
      <c r="O44" s="941" t="s">
        <v>1109</v>
      </c>
      <c r="P44" s="1096">
        <f t="shared" ref="P44:P50" si="4">L44+M44+N44</f>
        <v>62.156453913043471</v>
      </c>
      <c r="Q44" s="1096">
        <f>[11]ОП!BK129</f>
        <v>62156.453913043471</v>
      </c>
      <c r="S44" s="944"/>
      <c r="T44" s="944"/>
      <c r="Y44" s="941"/>
    </row>
    <row r="45" spans="1:25" s="964" customFormat="1" ht="12" x14ac:dyDescent="0.2">
      <c r="B45" s="960" t="s">
        <v>705</v>
      </c>
      <c r="E45" s="967"/>
      <c r="K45" s="967">
        <f>[11]ОП!BK6/1000</f>
        <v>0</v>
      </c>
      <c r="L45" s="1453">
        <f t="shared" ref="L45:L50" si="5">K45-M45</f>
        <v>0</v>
      </c>
      <c r="M45" s="1453">
        <v>0</v>
      </c>
      <c r="N45" s="1453"/>
      <c r="O45" s="964" t="s">
        <v>1109</v>
      </c>
      <c r="P45" s="967">
        <f t="shared" si="4"/>
        <v>0</v>
      </c>
      <c r="Q45" s="967"/>
      <c r="S45" s="966"/>
      <c r="T45" s="966"/>
    </row>
    <row r="46" spans="1:25" s="964" customFormat="1" ht="12" x14ac:dyDescent="0.2">
      <c r="B46" s="960" t="s">
        <v>706</v>
      </c>
      <c r="C46" s="960"/>
      <c r="D46" s="960"/>
      <c r="E46" s="960"/>
      <c r="F46" s="960"/>
      <c r="G46" s="960"/>
      <c r="H46" s="960"/>
      <c r="I46" s="960"/>
      <c r="J46" s="960"/>
      <c r="K46" s="967">
        <f>[11]ОП!BK104/1000</f>
        <v>11.762499999999999</v>
      </c>
      <c r="L46" s="1453">
        <f t="shared" si="5"/>
        <v>11.762499999999999</v>
      </c>
      <c r="M46" s="1453">
        <v>0</v>
      </c>
      <c r="N46" s="1453"/>
      <c r="O46" s="964" t="s">
        <v>1109</v>
      </c>
      <c r="P46" s="967">
        <f t="shared" si="4"/>
        <v>11.762499999999999</v>
      </c>
      <c r="Q46" s="967"/>
      <c r="S46" s="966"/>
      <c r="T46" s="966"/>
    </row>
    <row r="47" spans="1:25" s="964" customFormat="1" ht="12" x14ac:dyDescent="0.2">
      <c r="B47" s="960" t="s">
        <v>707</v>
      </c>
      <c r="E47" s="967"/>
      <c r="K47" s="967">
        <f>[11]ОП!BK112/1000</f>
        <v>13.483953913043477</v>
      </c>
      <c r="L47" s="1453">
        <f t="shared" si="5"/>
        <v>13.483953913043477</v>
      </c>
      <c r="M47" s="1453">
        <v>0</v>
      </c>
      <c r="N47" s="1453"/>
      <c r="O47" s="964" t="s">
        <v>1109</v>
      </c>
      <c r="P47" s="967">
        <f t="shared" si="4"/>
        <v>13.483953913043477</v>
      </c>
      <c r="Q47" s="967"/>
      <c r="S47" s="966"/>
      <c r="T47" s="966"/>
    </row>
    <row r="48" spans="1:25" s="964" customFormat="1" ht="12" x14ac:dyDescent="0.2">
      <c r="B48" s="960" t="s">
        <v>708</v>
      </c>
      <c r="E48" s="967"/>
      <c r="K48" s="967">
        <f>[11]ОП!BK90/1000</f>
        <v>24.169999999999991</v>
      </c>
      <c r="L48" s="1453">
        <f t="shared" si="5"/>
        <v>24.169999999999991</v>
      </c>
      <c r="M48" s="1453">
        <v>0</v>
      </c>
      <c r="N48" s="1453"/>
      <c r="O48" s="964" t="s">
        <v>1109</v>
      </c>
      <c r="P48" s="967">
        <f t="shared" si="4"/>
        <v>24.169999999999991</v>
      </c>
      <c r="Q48" s="967"/>
      <c r="S48" s="966"/>
      <c r="T48" s="966"/>
    </row>
    <row r="49" spans="2:25" s="964" customFormat="1" ht="12" hidden="1" x14ac:dyDescent="0.2">
      <c r="B49" s="960" t="s">
        <v>709</v>
      </c>
      <c r="E49" s="967"/>
      <c r="K49" s="967">
        <f>[11]ОП!BK122/1000</f>
        <v>0</v>
      </c>
      <c r="L49" s="1453">
        <f t="shared" si="5"/>
        <v>0</v>
      </c>
      <c r="M49" s="1453">
        <v>0</v>
      </c>
      <c r="N49" s="1453"/>
      <c r="O49" s="964" t="s">
        <v>1109</v>
      </c>
      <c r="P49" s="967">
        <f t="shared" si="4"/>
        <v>0</v>
      </c>
      <c r="Q49" s="967"/>
      <c r="S49" s="966"/>
      <c r="T49" s="966"/>
    </row>
    <row r="50" spans="2:25" s="944" customFormat="1" x14ac:dyDescent="0.2">
      <c r="B50" s="1332" t="s">
        <v>710</v>
      </c>
      <c r="C50" s="1332"/>
      <c r="D50" s="1332"/>
      <c r="E50" s="1332"/>
      <c r="F50" s="941"/>
      <c r="G50" s="941"/>
      <c r="H50" s="941"/>
      <c r="I50" s="1429"/>
      <c r="J50" s="1429"/>
      <c r="K50" s="967">
        <f>[11]ОП!BK123/1000</f>
        <v>12.74</v>
      </c>
      <c r="L50" s="1453">
        <f t="shared" si="5"/>
        <v>12.74</v>
      </c>
      <c r="M50" s="1453">
        <v>0</v>
      </c>
      <c r="N50" s="1453"/>
      <c r="O50" s="964" t="s">
        <v>1109</v>
      </c>
      <c r="P50" s="967">
        <f t="shared" si="4"/>
        <v>12.74</v>
      </c>
    </row>
    <row r="51" spans="2:25" x14ac:dyDescent="0.2">
      <c r="F51" s="944"/>
      <c r="M51" s="1413"/>
      <c r="N51" s="1413"/>
      <c r="S51" s="944"/>
      <c r="T51" s="944"/>
      <c r="Y51" s="941"/>
    </row>
    <row r="52" spans="2:25" ht="15.75" x14ac:dyDescent="0.25">
      <c r="B52" s="943" t="s">
        <v>1136</v>
      </c>
      <c r="C52" s="943"/>
      <c r="D52" s="943"/>
      <c r="E52" s="1096"/>
      <c r="F52" s="1454">
        <v>54.991711246719994</v>
      </c>
      <c r="G52" s="1164"/>
      <c r="H52" s="1164"/>
      <c r="J52" s="1454"/>
      <c r="K52" s="1366">
        <f>SUM(K3:K6)+K24+K34+K44+K42</f>
        <v>5219.512478564292</v>
      </c>
      <c r="L52" s="1366">
        <f>SUM(L3:L6)+L24+L34+L44+L42</f>
        <v>3387.2516577837946</v>
      </c>
      <c r="M52" s="1366">
        <f>SUM(M3:M6)+M24+M34+M44+M42</f>
        <v>1832.2608207804985</v>
      </c>
      <c r="N52" s="1366">
        <f>SUM(N3:N6)+N24+N34+N44+N42</f>
        <v>0</v>
      </c>
      <c r="O52" s="1366" t="s">
        <v>617</v>
      </c>
      <c r="S52" s="944"/>
      <c r="T52" s="944"/>
      <c r="Y52" s="941"/>
    </row>
    <row r="53" spans="2:25" ht="15.75" x14ac:dyDescent="0.25">
      <c r="B53" s="943"/>
      <c r="C53" s="943"/>
      <c r="D53" s="943"/>
      <c r="E53" s="1096"/>
      <c r="F53" s="1454"/>
      <c r="G53" s="1164"/>
      <c r="H53" s="1164"/>
      <c r="J53" s="1454"/>
      <c r="K53" s="1366"/>
      <c r="L53" s="1366"/>
      <c r="M53" s="1366"/>
      <c r="N53" s="1366"/>
      <c r="Y53" s="941"/>
    </row>
    <row r="54" spans="2:25" ht="15.75" x14ac:dyDescent="0.25">
      <c r="B54" s="964" t="s">
        <v>218</v>
      </c>
      <c r="C54" s="964"/>
      <c r="D54" s="964"/>
      <c r="E54" s="964"/>
      <c r="F54" s="964"/>
      <c r="G54" s="964"/>
      <c r="H54" s="967" t="s">
        <v>148</v>
      </c>
      <c r="J54" s="1454"/>
      <c r="K54" s="1366"/>
      <c r="L54" s="1366"/>
      <c r="M54" s="1366"/>
      <c r="N54" s="1366"/>
      <c r="Y54" s="941"/>
    </row>
    <row r="55" spans="2:25" ht="15.75" x14ac:dyDescent="0.25">
      <c r="B55" s="943"/>
      <c r="C55" s="943"/>
      <c r="D55" s="943"/>
      <c r="E55" s="1096"/>
      <c r="F55" s="1454"/>
      <c r="G55" s="1164"/>
      <c r="H55" s="1164"/>
      <c r="J55" s="1454"/>
      <c r="K55" s="1366"/>
      <c r="L55" s="1366"/>
      <c r="M55" s="1366"/>
      <c r="N55" s="1366"/>
      <c r="Y55" s="941"/>
    </row>
    <row r="56" spans="2:25" ht="15.75" x14ac:dyDescent="0.25">
      <c r="B56" s="943"/>
      <c r="C56" s="943"/>
      <c r="D56" s="943"/>
      <c r="E56" s="1096"/>
      <c r="F56" s="1454"/>
      <c r="G56" s="1164"/>
      <c r="H56" s="1164"/>
      <c r="J56" s="1454"/>
      <c r="K56" s="1455">
        <f>'[11]Адм.,збут'!B39</f>
        <v>5219.5124785642947</v>
      </c>
      <c r="L56" s="1456">
        <f>L52+M52+N52-K52</f>
        <v>0</v>
      </c>
      <c r="M56" s="1457">
        <f>L52+M52</f>
        <v>5219.5124785642929</v>
      </c>
      <c r="N56" s="1457"/>
      <c r="Y56" s="941"/>
    </row>
    <row r="57" spans="2:25" ht="15.75" hidden="1" x14ac:dyDescent="0.25">
      <c r="B57" s="943"/>
      <c r="C57" s="943"/>
      <c r="D57" s="943"/>
      <c r="E57" s="1096"/>
      <c r="F57" s="1454"/>
      <c r="G57" s="1164"/>
      <c r="H57" s="1164"/>
      <c r="J57" s="1454"/>
      <c r="L57" s="1096"/>
      <c r="M57" s="1164"/>
      <c r="N57" s="1164"/>
      <c r="Y57" s="941"/>
    </row>
    <row r="58" spans="2:25" ht="15.75" hidden="1" x14ac:dyDescent="0.25">
      <c r="B58" s="943"/>
      <c r="C58" s="943"/>
      <c r="D58" s="943"/>
      <c r="E58" s="1096"/>
      <c r="F58" s="1454"/>
      <c r="G58" s="1164"/>
      <c r="H58" s="1164"/>
      <c r="J58" s="1454"/>
      <c r="K58" s="947"/>
      <c r="M58" s="1164"/>
      <c r="N58" s="1164"/>
      <c r="Y58" s="941"/>
    </row>
    <row r="59" spans="2:25" ht="15.75" hidden="1" x14ac:dyDescent="0.25">
      <c r="B59" s="943"/>
      <c r="C59" s="943"/>
      <c r="D59" s="943"/>
      <c r="E59" s="1096"/>
      <c r="F59" s="1454"/>
      <c r="G59" s="1164"/>
      <c r="H59" s="1164"/>
      <c r="J59" s="1454"/>
      <c r="K59" s="1164">
        <f>M56+K58</f>
        <v>5219.5124785642929</v>
      </c>
      <c r="L59" s="1164">
        <f>'[11]Адм.,збут'!B39</f>
        <v>5219.5124785642947</v>
      </c>
      <c r="M59" s="1096"/>
      <c r="O59" s="1366"/>
      <c r="S59" s="944"/>
      <c r="T59" s="944"/>
      <c r="Y59" s="941"/>
    </row>
    <row r="60" spans="2:25" ht="15.75" hidden="1" x14ac:dyDescent="0.25">
      <c r="B60" s="943"/>
      <c r="C60" s="943"/>
      <c r="D60" s="943"/>
      <c r="E60" s="1096"/>
      <c r="F60" s="1454"/>
      <c r="G60" s="1164"/>
      <c r="H60" s="1164"/>
      <c r="J60" s="1454"/>
      <c r="K60" s="1164">
        <f>'[11]Адм.,збут'!B39</f>
        <v>5219.5124785642947</v>
      </c>
      <c r="O60" s="1366"/>
      <c r="S60" s="944"/>
      <c r="T60" s="944"/>
      <c r="Y60" s="941"/>
    </row>
    <row r="61" spans="2:25" hidden="1" x14ac:dyDescent="0.2">
      <c r="E61" s="1096"/>
      <c r="F61" s="1161"/>
      <c r="G61" s="1455">
        <v>3.9999999997917257E-3</v>
      </c>
      <c r="H61" s="944"/>
      <c r="K61" s="1458">
        <f>K59-K60</f>
        <v>0</v>
      </c>
      <c r="M61" s="1096">
        <f>[11]Витр!M68-[11]Збут!K52</f>
        <v>0</v>
      </c>
      <c r="S61" s="944">
        <v>27.495855623359997</v>
      </c>
      <c r="T61" s="944"/>
      <c r="Y61" s="941"/>
    </row>
    <row r="62" spans="2:25" hidden="1" x14ac:dyDescent="0.2">
      <c r="F62" s="948"/>
      <c r="G62" s="948"/>
      <c r="H62" s="948"/>
      <c r="O62" s="948"/>
      <c r="P62" s="948"/>
      <c r="Q62" s="948"/>
      <c r="R62" s="1096"/>
      <c r="V62" s="944"/>
      <c r="Y62" s="941"/>
    </row>
    <row r="63" spans="2:25" hidden="1" x14ac:dyDescent="0.2">
      <c r="F63" s="1096"/>
      <c r="G63" s="1096"/>
      <c r="H63" s="1096"/>
      <c r="K63" s="1165">
        <f>K52-J216</f>
        <v>0</v>
      </c>
      <c r="O63" s="948"/>
      <c r="P63" s="948"/>
      <c r="Q63" s="948"/>
      <c r="R63" s="1096"/>
      <c r="V63" s="944"/>
      <c r="Y63" s="941"/>
    </row>
    <row r="64" spans="2:25" hidden="1" x14ac:dyDescent="0.2">
      <c r="V64" s="944"/>
      <c r="Y64" s="941"/>
    </row>
    <row r="65" spans="2:25" hidden="1" x14ac:dyDescent="0.2">
      <c r="K65" s="1096">
        <f>[11]Витр!M68+[11]Витр!J68</f>
        <v>8225.877865545137</v>
      </c>
      <c r="V65" s="944"/>
      <c r="Y65" s="941"/>
    </row>
    <row r="66" spans="2:25" hidden="1" x14ac:dyDescent="0.2">
      <c r="K66" s="1096">
        <f>K52+[11]пов!H106</f>
        <v>5219.512478564292</v>
      </c>
      <c r="V66" s="944"/>
      <c r="Y66" s="941"/>
    </row>
    <row r="67" spans="2:25" hidden="1" x14ac:dyDescent="0.2">
      <c r="K67" s="947">
        <f>[11]ФП!F60</f>
        <v>5219.5124785642938</v>
      </c>
      <c r="X67" s="944"/>
      <c r="Y67" s="941"/>
    </row>
    <row r="68" spans="2:25" hidden="1" x14ac:dyDescent="0.2">
      <c r="K68" s="1459">
        <f>K66-K67</f>
        <v>0</v>
      </c>
      <c r="X68" s="944"/>
      <c r="Y68" s="941"/>
    </row>
    <row r="69" spans="2:25" hidden="1" x14ac:dyDescent="0.2">
      <c r="K69" s="1096">
        <f>K65-K66</f>
        <v>3006.365386980845</v>
      </c>
      <c r="X69" s="944"/>
      <c r="Y69" s="941"/>
    </row>
    <row r="70" spans="2:25" ht="15.75" hidden="1" x14ac:dyDescent="0.25">
      <c r="K70" s="1366"/>
      <c r="L70" s="1366"/>
      <c r="M70" s="1366"/>
      <c r="N70" s="1366"/>
      <c r="X70" s="944"/>
      <c r="Y70" s="941"/>
    </row>
    <row r="71" spans="2:25" ht="15.75" x14ac:dyDescent="0.25">
      <c r="K71" s="1366"/>
      <c r="L71" s="1366"/>
      <c r="M71" s="1366"/>
      <c r="N71" s="1366"/>
      <c r="X71" s="944"/>
      <c r="Y71" s="941"/>
    </row>
    <row r="72" spans="2:25" s="148" customFormat="1" ht="15" x14ac:dyDescent="0.25">
      <c r="B72" s="1200" t="s">
        <v>1137</v>
      </c>
      <c r="C72" s="1200"/>
      <c r="D72" s="1200"/>
      <c r="E72" s="1200"/>
      <c r="F72" s="1200"/>
      <c r="K72" s="564"/>
      <c r="M72" s="564"/>
      <c r="N72" s="564"/>
      <c r="O72" s="564"/>
      <c r="P72" s="564"/>
      <c r="Q72" s="1460"/>
      <c r="R72" s="1460"/>
      <c r="S72" s="1460"/>
      <c r="W72" s="4"/>
    </row>
    <row r="73" spans="2:25" s="148" customFormat="1" ht="15" x14ac:dyDescent="0.25">
      <c r="B73" s="1200" t="s">
        <v>1070</v>
      </c>
      <c r="C73" s="1200" t="s">
        <v>1071</v>
      </c>
      <c r="D73" s="1200" t="s">
        <v>1072</v>
      </c>
      <c r="E73" s="1200" t="s">
        <v>1073</v>
      </c>
      <c r="F73" s="1200" t="s">
        <v>1138</v>
      </c>
      <c r="K73" s="790"/>
      <c r="M73" s="564"/>
      <c r="N73" s="564"/>
      <c r="O73" s="564"/>
      <c r="P73" s="564"/>
      <c r="Q73" s="1460"/>
      <c r="R73" s="1460"/>
      <c r="S73" s="1460"/>
      <c r="W73" s="4"/>
    </row>
    <row r="74" spans="2:25" s="148" customFormat="1" ht="15" x14ac:dyDescent="0.25">
      <c r="B74" s="1200"/>
      <c r="C74" s="1200"/>
      <c r="D74" s="1200"/>
      <c r="E74" s="1200"/>
      <c r="F74" s="1200"/>
      <c r="K74" s="790"/>
      <c r="L74" s="564"/>
      <c r="W74" s="4"/>
    </row>
    <row r="75" spans="2:25" s="148" customFormat="1" ht="15" x14ac:dyDescent="0.25">
      <c r="B75" s="1461" t="s">
        <v>1074</v>
      </c>
      <c r="C75" s="1200"/>
      <c r="D75" s="1200"/>
      <c r="E75" s="1200"/>
      <c r="F75" s="1200"/>
    </row>
    <row r="76" spans="2:25" s="148" customFormat="1" ht="15" x14ac:dyDescent="0.25">
      <c r="B76" s="1462" t="str">
        <f>[7]Збут!B74</f>
        <v>журнал реєстрації  А4, газ.24арк.</v>
      </c>
      <c r="C76" s="1200" t="str">
        <f>[7]Збут!C74</f>
        <v>шт</v>
      </c>
      <c r="D76" s="1200">
        <f>[7]Збут!D74</f>
        <v>1</v>
      </c>
      <c r="E76" s="1200">
        <f>[7]Збут!E74</f>
        <v>49.75</v>
      </c>
      <c r="F76" s="1463">
        <f t="shared" ref="F76:F147" si="6">D76*E76</f>
        <v>49.75</v>
      </c>
      <c r="H76" s="1464"/>
      <c r="I76" s="1464"/>
      <c r="L76" s="1460"/>
      <c r="W76" s="4"/>
    </row>
    <row r="77" spans="2:25" s="148" customFormat="1" ht="15" x14ac:dyDescent="0.25">
      <c r="B77" s="1462" t="str">
        <f>[7]Збут!B75</f>
        <v>блокнот-записник</v>
      </c>
      <c r="C77" s="1200" t="str">
        <f>[7]Збут!C75</f>
        <v>шт</v>
      </c>
      <c r="D77" s="1200">
        <f>[7]Збут!D75</f>
        <v>5</v>
      </c>
      <c r="E77" s="1200">
        <f>[7]Збут!E75</f>
        <v>109.75</v>
      </c>
      <c r="F77" s="1463">
        <f t="shared" si="6"/>
        <v>548.75</v>
      </c>
      <c r="H77" s="1464"/>
      <c r="I77" s="1464"/>
      <c r="W77" s="4"/>
    </row>
    <row r="78" spans="2:25" s="148" customFormat="1" ht="15" x14ac:dyDescent="0.25">
      <c r="B78" s="1462" t="str">
        <f>[7]Збут!B76</f>
        <v>зошит 48 аркушів</v>
      </c>
      <c r="C78" s="1200" t="str">
        <f>[7]Збут!C76</f>
        <v>шт</v>
      </c>
      <c r="D78" s="1200">
        <f>[7]Збут!D76</f>
        <v>16</v>
      </c>
      <c r="E78" s="1200">
        <f>[7]Збут!E76</f>
        <v>18.3</v>
      </c>
      <c r="F78" s="1463">
        <f t="shared" si="6"/>
        <v>292.8</v>
      </c>
      <c r="H78" s="1464"/>
      <c r="I78" s="1464"/>
      <c r="W78" s="4"/>
    </row>
    <row r="79" spans="2:25" s="148" customFormat="1" ht="15" x14ac:dyDescent="0.25">
      <c r="B79" s="1462" t="str">
        <f>[7]Збут!B77</f>
        <v xml:space="preserve">зошит, А4, 176 арк., тв.палітурка, </v>
      </c>
      <c r="C79" s="1200" t="str">
        <f>[7]Збут!C77</f>
        <v>шт</v>
      </c>
      <c r="D79" s="1200">
        <f>[7]Збут!D77</f>
        <v>5</v>
      </c>
      <c r="E79" s="1200">
        <f>[7]Збут!E77</f>
        <v>112.25</v>
      </c>
      <c r="F79" s="1463">
        <f t="shared" si="6"/>
        <v>561.25</v>
      </c>
      <c r="H79" s="1464"/>
      <c r="I79" s="1464"/>
      <c r="L79" s="564"/>
      <c r="M79" s="564"/>
      <c r="N79" s="564"/>
      <c r="O79" s="564"/>
      <c r="P79" s="564"/>
      <c r="W79" s="4"/>
    </row>
    <row r="80" spans="2:25" s="148" customFormat="1" ht="15" x14ac:dyDescent="0.25">
      <c r="B80" s="1462" t="str">
        <f>[7]Збут!B78</f>
        <v>зошит 96 аркушів</v>
      </c>
      <c r="C80" s="1200" t="str">
        <f>[7]Збут!C78</f>
        <v>шт</v>
      </c>
      <c r="D80" s="1200">
        <f>[7]Збут!D78</f>
        <v>10</v>
      </c>
      <c r="E80" s="1200">
        <f>[7]Збут!E78</f>
        <v>51.6</v>
      </c>
      <c r="F80" s="1463">
        <f t="shared" si="6"/>
        <v>516</v>
      </c>
      <c r="H80" s="1464"/>
      <c r="I80" s="1464"/>
      <c r="W80" s="4"/>
    </row>
    <row r="81" spans="2:23" s="148" customFormat="1" ht="15" x14ac:dyDescent="0.25">
      <c r="B81" s="1462" t="str">
        <f>[7]Збут!B79</f>
        <v>папка-швидкозшивач з перфорацією</v>
      </c>
      <c r="C81" s="1200" t="str">
        <f>[7]Збут!C79</f>
        <v>шт</v>
      </c>
      <c r="D81" s="1200">
        <f>[7]Збут!D79</f>
        <v>100</v>
      </c>
      <c r="E81" s="1200">
        <f>[7]Збут!E79</f>
        <v>4.5</v>
      </c>
      <c r="F81" s="1463">
        <f t="shared" si="6"/>
        <v>450</v>
      </c>
      <c r="H81" s="1464"/>
      <c r="I81" s="1464"/>
      <c r="W81" s="4"/>
    </row>
    <row r="82" spans="2:23" s="148" customFormat="1" ht="15" x14ac:dyDescent="0.25">
      <c r="B82" s="1462" t="str">
        <f>[7]Збут!B80</f>
        <v>папка-швидкозшивач з перфорацією</v>
      </c>
      <c r="C82" s="1200" t="str">
        <f>[7]Збут!C80</f>
        <v>шт</v>
      </c>
      <c r="D82" s="1200">
        <f>[7]Збут!D80</f>
        <v>50</v>
      </c>
      <c r="E82" s="1200">
        <f>[7]Збут!E80</f>
        <v>6.5</v>
      </c>
      <c r="F82" s="1463">
        <f t="shared" si="6"/>
        <v>325</v>
      </c>
      <c r="H82" s="1464"/>
      <c r="I82" s="1464"/>
      <c r="W82" s="4"/>
    </row>
    <row r="83" spans="2:23" s="148" customFormat="1" ht="15" x14ac:dyDescent="0.25">
      <c r="B83" s="1462" t="str">
        <f>[7]Збут!B81</f>
        <v>папка "Дело"("Справа")</v>
      </c>
      <c r="C83" s="1200" t="str">
        <f>[7]Збут!C81</f>
        <v>шт</v>
      </c>
      <c r="D83" s="1200">
        <f>[7]Збут!D81</f>
        <v>30</v>
      </c>
      <c r="E83" s="1200">
        <f>[7]Збут!E81</f>
        <v>5.75</v>
      </c>
      <c r="F83" s="1463">
        <f t="shared" si="6"/>
        <v>172.5</v>
      </c>
      <c r="H83" s="1464"/>
      <c r="I83" s="1464"/>
      <c r="W83" s="4"/>
    </row>
    <row r="84" spans="2:23" s="148" customFormat="1" ht="15" x14ac:dyDescent="0.25">
      <c r="B84" s="1462" t="str">
        <f>[7]Збут!B82</f>
        <v>папка-швидкозшивач с проз.верхом</v>
      </c>
      <c r="C84" s="1200" t="str">
        <f>[7]Збут!C82</f>
        <v>шт</v>
      </c>
      <c r="D84" s="1200">
        <f>[7]Збут!D82</f>
        <v>13</v>
      </c>
      <c r="E84" s="1200">
        <f>[7]Збут!E82</f>
        <v>6.25</v>
      </c>
      <c r="F84" s="1463">
        <f t="shared" si="6"/>
        <v>81.25</v>
      </c>
      <c r="H84" s="1464"/>
      <c r="I84" s="1464"/>
      <c r="W84" s="4"/>
    </row>
    <row r="85" spans="2:23" s="148" customFormat="1" ht="15" x14ac:dyDescent="0.25">
      <c r="B85" s="1462" t="str">
        <f>[7]Збут!B83</f>
        <v>папка для паперів на зав"язках</v>
      </c>
      <c r="C85" s="1200" t="str">
        <f>[7]Збут!C83</f>
        <v>шт</v>
      </c>
      <c r="D85" s="1200">
        <f>[7]Збут!D83</f>
        <v>40</v>
      </c>
      <c r="E85" s="1200">
        <f>[7]Збут!E83</f>
        <v>9.75</v>
      </c>
      <c r="F85" s="1463">
        <f t="shared" si="6"/>
        <v>390</v>
      </c>
      <c r="H85" s="1464"/>
      <c r="I85" s="1464"/>
      <c r="W85" s="4"/>
    </row>
    <row r="86" spans="2:23" s="148" customFormat="1" ht="15" x14ac:dyDescent="0.25">
      <c r="B86" s="1462" t="str">
        <f>[7]Збут!B84</f>
        <v>папка А4 пластикова</v>
      </c>
      <c r="C86" s="1200" t="str">
        <f>[7]Збут!C84</f>
        <v>шт</v>
      </c>
      <c r="D86" s="1200">
        <f>[7]Збут!D84</f>
        <v>1</v>
      </c>
      <c r="E86" s="1200">
        <f>[7]Збут!E84</f>
        <v>11.25</v>
      </c>
      <c r="F86" s="1463">
        <f t="shared" si="6"/>
        <v>11.25</v>
      </c>
      <c r="H86" s="1464"/>
      <c r="I86" s="1464"/>
      <c r="W86" s="4"/>
    </row>
    <row r="87" spans="2:23" s="148" customFormat="1" ht="15" x14ac:dyDescent="0.25">
      <c r="B87" s="1462" t="str">
        <f>[7]Збут!B85</f>
        <v>папка дисплей на 20л</v>
      </c>
      <c r="C87" s="1200" t="str">
        <f>[7]Збут!C85</f>
        <v>шт</v>
      </c>
      <c r="D87" s="1200">
        <f>[7]Збут!D85</f>
        <v>3</v>
      </c>
      <c r="E87" s="1200">
        <f>[7]Збут!E85</f>
        <v>50.5</v>
      </c>
      <c r="F87" s="1463">
        <f t="shared" si="6"/>
        <v>151.5</v>
      </c>
      <c r="H87" s="1464"/>
      <c r="I87" s="1464"/>
      <c r="W87" s="4"/>
    </row>
    <row r="88" spans="2:23" s="148" customFormat="1" ht="15" x14ac:dyDescent="0.25">
      <c r="B88" s="1462" t="str">
        <f>[7]Збут!B86</f>
        <v>папка-планшет з затиском</v>
      </c>
      <c r="C88" s="1200" t="str">
        <f>[7]Збут!C86</f>
        <v>шт</v>
      </c>
      <c r="D88" s="1200">
        <f>[7]Збут!D86</f>
        <v>20</v>
      </c>
      <c r="E88" s="1200">
        <f>[7]Збут!E86</f>
        <v>194.87520000000001</v>
      </c>
      <c r="F88" s="1463">
        <f t="shared" si="6"/>
        <v>3897.5039999999999</v>
      </c>
      <c r="H88" s="1464"/>
      <c r="I88" s="1464"/>
      <c r="W88" s="4"/>
    </row>
    <row r="89" spans="2:23" s="148" customFormat="1" ht="15" x14ac:dyDescent="0.25">
      <c r="B89" s="1462" t="str">
        <f>[7]Збут!B87</f>
        <v>швидкозшивач</v>
      </c>
      <c r="C89" s="1200" t="str">
        <f>[7]Збут!C87</f>
        <v>шт</v>
      </c>
      <c r="D89" s="1200">
        <f>[7]Збут!D87</f>
        <v>270</v>
      </c>
      <c r="E89" s="1200">
        <f>[7]Збут!E87</f>
        <v>8.25</v>
      </c>
      <c r="F89" s="1463">
        <f t="shared" si="6"/>
        <v>2227.5</v>
      </c>
      <c r="H89" s="1464"/>
      <c r="I89" s="1464"/>
      <c r="W89" s="4"/>
    </row>
    <row r="90" spans="2:23" s="148" customFormat="1" ht="15" x14ac:dyDescent="0.25">
      <c r="B90" s="1462" t="str">
        <f>[7]Збут!B88</f>
        <v>клей-олівець</v>
      </c>
      <c r="C90" s="1200" t="str">
        <f>[7]Збут!C88</f>
        <v>шт</v>
      </c>
      <c r="D90" s="1200">
        <f>[7]Збут!D88</f>
        <v>5</v>
      </c>
      <c r="E90" s="1200">
        <f>[7]Збут!E88</f>
        <v>12.1104</v>
      </c>
      <c r="F90" s="1463">
        <f t="shared" si="6"/>
        <v>60.552</v>
      </c>
      <c r="H90" s="1464"/>
      <c r="I90" s="1464"/>
      <c r="W90" s="4"/>
    </row>
    <row r="91" spans="2:23" s="148" customFormat="1" ht="15" x14ac:dyDescent="0.25">
      <c r="B91" s="1462" t="str">
        <f>[7]Збут!B89</f>
        <v>клей ПВА 35мл</v>
      </c>
      <c r="C91" s="1200" t="str">
        <f>[7]Збут!C89</f>
        <v>шт</v>
      </c>
      <c r="D91" s="1200">
        <f>[7]Збут!D89</f>
        <v>20</v>
      </c>
      <c r="E91" s="1200">
        <f>[7]Збут!E89</f>
        <v>13.147200000000002</v>
      </c>
      <c r="F91" s="1463">
        <f t="shared" si="6"/>
        <v>262.94400000000002</v>
      </c>
      <c r="H91" s="1464"/>
      <c r="I91" s="1464"/>
      <c r="W91" s="4"/>
    </row>
    <row r="92" spans="2:23" s="148" customFormat="1" ht="15" x14ac:dyDescent="0.25">
      <c r="B92" s="1462" t="str">
        <f>[7]Збут!B90</f>
        <v>клей ПВА 200 мл</v>
      </c>
      <c r="C92" s="1200" t="str">
        <f>[7]Збут!C90</f>
        <v>шт</v>
      </c>
      <c r="D92" s="1200">
        <f>[7]Збут!D90</f>
        <v>15</v>
      </c>
      <c r="E92" s="1200">
        <f>[7]Збут!E90</f>
        <v>31.75</v>
      </c>
      <c r="F92" s="1463">
        <f t="shared" si="6"/>
        <v>476.25</v>
      </c>
      <c r="H92" s="1464"/>
      <c r="I92" s="1464"/>
      <c r="W92" s="4"/>
    </row>
    <row r="93" spans="2:23" s="148" customFormat="1" ht="15" x14ac:dyDescent="0.25">
      <c r="B93" s="1462" t="str">
        <f>[7]Збут!B91</f>
        <v>клей силікатний 70 г з пензликом (не купували)</v>
      </c>
      <c r="C93" s="1200" t="str">
        <f>[7]Збут!C91</f>
        <v>шт</v>
      </c>
      <c r="D93" s="1200">
        <f>[7]Збут!D91</f>
        <v>2</v>
      </c>
      <c r="E93" s="1200">
        <f>[7]Збут!E91</f>
        <v>6.8112000000000004</v>
      </c>
      <c r="F93" s="1463">
        <f t="shared" si="6"/>
        <v>13.622400000000001</v>
      </c>
      <c r="H93" s="1464"/>
      <c r="I93" s="1464"/>
      <c r="W93" s="4"/>
    </row>
    <row r="94" spans="2:23" s="148" customFormat="1" ht="15" x14ac:dyDescent="0.25">
      <c r="B94" s="1462" t="str">
        <f>[7]Збут!B92</f>
        <v>стрічка касова для термопринтерів 57/17м</v>
      </c>
      <c r="C94" s="1200" t="str">
        <f>[7]Збут!C92</f>
        <v>рул</v>
      </c>
      <c r="D94" s="1200">
        <f>[7]Збут!D92</f>
        <v>100</v>
      </c>
      <c r="E94" s="1200">
        <f>[7]Збут!E92</f>
        <v>9.5</v>
      </c>
      <c r="F94" s="1463">
        <f t="shared" si="6"/>
        <v>950</v>
      </c>
      <c r="H94" s="1464"/>
      <c r="I94" s="1464"/>
      <c r="W94" s="4"/>
    </row>
    <row r="95" spans="2:23" s="148" customFormat="1" ht="15" x14ac:dyDescent="0.25">
      <c r="B95" s="1462" t="str">
        <f>[7]Збут!B93</f>
        <v>стрічка клеюча прозора 40 мкм</v>
      </c>
      <c r="C95" s="1200" t="str">
        <f>[7]Збут!C93</f>
        <v>рул</v>
      </c>
      <c r="D95" s="1200">
        <f>[7]Збут!D93</f>
        <v>4</v>
      </c>
      <c r="E95" s="1200">
        <f>[7]Збут!E93</f>
        <v>48.25</v>
      </c>
      <c r="F95" s="1463">
        <f t="shared" si="6"/>
        <v>193</v>
      </c>
      <c r="H95" s="1464"/>
      <c r="I95" s="1464"/>
      <c r="W95" s="4"/>
    </row>
    <row r="96" spans="2:23" s="148" customFormat="1" ht="15" x14ac:dyDescent="0.25">
      <c r="B96" s="1462" t="str">
        <f>[7]Збут!B94</f>
        <v>стрічка клеюча прозора 24*20</v>
      </c>
      <c r="C96" s="1200" t="str">
        <f>[7]Збут!C94</f>
        <v>рул</v>
      </c>
      <c r="D96" s="1200">
        <f>[7]Збут!D94</f>
        <v>159</v>
      </c>
      <c r="E96" s="1200">
        <f>[7]Збут!E94</f>
        <v>11.1</v>
      </c>
      <c r="F96" s="1463">
        <f t="shared" si="6"/>
        <v>1764.8999999999999</v>
      </c>
      <c r="H96" s="1464"/>
      <c r="I96" s="1464"/>
      <c r="W96" s="4"/>
    </row>
    <row r="97" spans="2:23" s="148" customFormat="1" ht="15" x14ac:dyDescent="0.25">
      <c r="B97" s="1462" t="str">
        <f>[7]Збут!B95</f>
        <v>ручка масляна</v>
      </c>
      <c r="C97" s="1200" t="str">
        <f>[7]Збут!C95</f>
        <v>шт</v>
      </c>
      <c r="D97" s="1200">
        <f>[7]Збут!D95</f>
        <v>4</v>
      </c>
      <c r="E97" s="1200">
        <f>[7]Збут!E95</f>
        <v>7.1999999999999993</v>
      </c>
      <c r="F97" s="1463">
        <f t="shared" si="6"/>
        <v>28.799999999999997</v>
      </c>
      <c r="H97" s="1464"/>
      <c r="I97" s="1464"/>
      <c r="W97" s="4"/>
    </row>
    <row r="98" spans="2:23" s="148" customFormat="1" ht="15" x14ac:dyDescent="0.25">
      <c r="B98" s="1462" t="str">
        <f>[7]Збут!B96</f>
        <v>ручка кулькова</v>
      </c>
      <c r="C98" s="1200" t="str">
        <f>[7]Збут!C96</f>
        <v>шт</v>
      </c>
      <c r="D98" s="1200">
        <f>[7]Збут!D96</f>
        <v>248</v>
      </c>
      <c r="E98" s="1200">
        <f>[7]Збут!E96</f>
        <v>17</v>
      </c>
      <c r="F98" s="1463">
        <f t="shared" si="6"/>
        <v>4216</v>
      </c>
      <c r="H98" s="1464"/>
      <c r="I98" s="1464"/>
      <c r="W98" s="4"/>
    </row>
    <row r="99" spans="2:23" s="148" customFormat="1" ht="15" x14ac:dyDescent="0.25">
      <c r="B99" s="1462" t="str">
        <f>[7]Збут!B97</f>
        <v>ручка-коректор</v>
      </c>
      <c r="C99" s="1200" t="str">
        <f>[7]Збут!C97</f>
        <v>шт</v>
      </c>
      <c r="D99" s="1200">
        <f>[7]Збут!D97</f>
        <v>15</v>
      </c>
      <c r="E99" s="1200">
        <f>[7]Збут!E97</f>
        <v>21.25</v>
      </c>
      <c r="F99" s="1463">
        <f t="shared" si="6"/>
        <v>318.75</v>
      </c>
      <c r="H99" s="1464"/>
      <c r="I99" s="1464"/>
      <c r="W99" s="4"/>
    </row>
    <row r="100" spans="2:23" s="148" customFormat="1" ht="15" x14ac:dyDescent="0.25">
      <c r="B100" s="1462" t="str">
        <f>[7]Збут!B98</f>
        <v>стрижень кульковий (не купували)</v>
      </c>
      <c r="C100" s="1200" t="str">
        <f>[7]Збут!C98</f>
        <v>шт</v>
      </c>
      <c r="D100" s="1200">
        <f>[7]Збут!D98</f>
        <v>296</v>
      </c>
      <c r="E100" s="1200">
        <f>[7]Збут!E98</f>
        <v>2.1</v>
      </c>
      <c r="F100" s="1463">
        <f t="shared" si="6"/>
        <v>621.6</v>
      </c>
      <c r="H100" s="1464"/>
      <c r="I100" s="1464"/>
      <c r="W100" s="4"/>
    </row>
    <row r="101" spans="2:23" s="148" customFormat="1" ht="15" x14ac:dyDescent="0.25">
      <c r="B101" s="1462" t="str">
        <f>[7]Збут!B99</f>
        <v>чинка металева</v>
      </c>
      <c r="C101" s="1200" t="str">
        <f>[7]Збут!C99</f>
        <v>шт</v>
      </c>
      <c r="D101" s="1200">
        <f>[7]Збут!D99</f>
        <v>2</v>
      </c>
      <c r="E101" s="1200">
        <f>[7]Збут!E99</f>
        <v>10</v>
      </c>
      <c r="F101" s="1463">
        <f t="shared" si="6"/>
        <v>20</v>
      </c>
      <c r="H101" s="1464"/>
      <c r="I101" s="1464"/>
      <c r="W101" s="4"/>
    </row>
    <row r="102" spans="2:23" s="148" customFormat="1" ht="15" x14ac:dyDescent="0.25">
      <c r="B102" s="1462" t="str">
        <f>[7]Збут!B100</f>
        <v xml:space="preserve">олівець креслярський </v>
      </c>
      <c r="C102" s="1200" t="str">
        <f>[7]Збут!C100</f>
        <v>шт</v>
      </c>
      <c r="D102" s="1200">
        <f>[7]Збут!D100</f>
        <v>10</v>
      </c>
      <c r="E102" s="1200">
        <f>[7]Збут!E100</f>
        <v>36</v>
      </c>
      <c r="F102" s="1463">
        <f t="shared" si="6"/>
        <v>360</v>
      </c>
      <c r="H102" s="1464"/>
      <c r="I102" s="1464"/>
      <c r="W102" s="4"/>
    </row>
    <row r="103" spans="2:23" s="148" customFormat="1" ht="15" x14ac:dyDescent="0.25">
      <c r="B103" s="1462" t="str">
        <f>[7]Збут!B101</f>
        <v>олівець чорнографітовий без гумки</v>
      </c>
      <c r="C103" s="1200" t="str">
        <f>[7]Збут!C101</f>
        <v>шт</v>
      </c>
      <c r="D103" s="1200">
        <f>[7]Збут!D101</f>
        <v>70</v>
      </c>
      <c r="E103" s="1200">
        <f>[7]Збут!E101</f>
        <v>6.5</v>
      </c>
      <c r="F103" s="1463">
        <f t="shared" si="6"/>
        <v>455</v>
      </c>
      <c r="H103" s="1464"/>
      <c r="I103" s="1464"/>
      <c r="W103" s="4"/>
    </row>
    <row r="104" spans="2:23" s="148" customFormat="1" ht="15" x14ac:dyDescent="0.25">
      <c r="B104" s="1462" t="str">
        <f>[7]Збут!B102</f>
        <v>олівець 0.5 мм</v>
      </c>
      <c r="C104" s="1200" t="str">
        <f>[7]Збут!C102</f>
        <v>шт</v>
      </c>
      <c r="D104" s="1200">
        <f>[7]Збут!D102</f>
        <v>4</v>
      </c>
      <c r="E104" s="1200">
        <f>[7]Збут!E102</f>
        <v>10.25</v>
      </c>
      <c r="F104" s="1463">
        <f t="shared" si="6"/>
        <v>41</v>
      </c>
      <c r="H104" s="1464"/>
      <c r="I104" s="1464"/>
      <c r="W104" s="4"/>
    </row>
    <row r="105" spans="2:23" s="148" customFormat="1" ht="15" x14ac:dyDescent="0.25">
      <c r="B105" s="1462" t="str">
        <f>[7]Збут!B103</f>
        <v>грифель 0.5 мм</v>
      </c>
      <c r="C105" s="1200" t="str">
        <f>[7]Збут!C103</f>
        <v>пач</v>
      </c>
      <c r="D105" s="1200">
        <f>[7]Збут!D103</f>
        <v>10</v>
      </c>
      <c r="E105" s="1200">
        <f>[7]Збут!E103</f>
        <v>23.25</v>
      </c>
      <c r="F105" s="1463">
        <f t="shared" si="6"/>
        <v>232.5</v>
      </c>
      <c r="H105" s="1464"/>
      <c r="I105" s="1464"/>
      <c r="W105" s="4"/>
    </row>
    <row r="106" spans="2:23" s="148" customFormat="1" ht="15" x14ac:dyDescent="0.25">
      <c r="B106" s="1462" t="str">
        <f>[7]Збут!B104</f>
        <v>скріпка канцелярська 25мм (1000 шт.)</v>
      </c>
      <c r="C106" s="1200" t="str">
        <f>[7]Збут!C104</f>
        <v>шт</v>
      </c>
      <c r="D106" s="1200">
        <f>[7]Збут!D104</f>
        <v>13</v>
      </c>
      <c r="E106" s="1200">
        <f>[7]Збут!E104</f>
        <v>10.007999999999999</v>
      </c>
      <c r="F106" s="1463">
        <f t="shared" si="6"/>
        <v>130.10399999999998</v>
      </c>
      <c r="H106" s="1464"/>
      <c r="I106" s="1464"/>
      <c r="W106" s="4"/>
    </row>
    <row r="107" spans="2:23" s="148" customFormat="1" ht="15" x14ac:dyDescent="0.25">
      <c r="B107" s="1462" t="str">
        <f>[7]Збут!B105</f>
        <v>скріпка канцелярська кругла 25мм (100 шт.)</v>
      </c>
      <c r="C107" s="1200" t="str">
        <f>[7]Збут!C105</f>
        <v>пач</v>
      </c>
      <c r="D107" s="1200">
        <f>[7]Збут!D105</f>
        <v>27</v>
      </c>
      <c r="E107" s="1200">
        <f>[7]Збут!E105</f>
        <v>11.2608</v>
      </c>
      <c r="F107" s="1463">
        <f t="shared" si="6"/>
        <v>304.04160000000002</v>
      </c>
      <c r="H107" s="1464"/>
      <c r="I107" s="1464"/>
      <c r="W107" s="4"/>
    </row>
    <row r="108" spans="2:23" s="148" customFormat="1" ht="15" x14ac:dyDescent="0.25">
      <c r="B108" s="1462" t="str">
        <f>[7]Збут!B106</f>
        <v>скоби № 10 (1000 шт.)</v>
      </c>
      <c r="C108" s="1200" t="str">
        <f>[7]Збут!C106</f>
        <v>пач</v>
      </c>
      <c r="D108" s="1200">
        <f>[7]Збут!D106</f>
        <v>33</v>
      </c>
      <c r="E108" s="1200">
        <f>[7]Збут!E106</f>
        <v>11.735999999999999</v>
      </c>
      <c r="F108" s="1463">
        <f t="shared" si="6"/>
        <v>387.28799999999995</v>
      </c>
      <c r="H108" s="1464"/>
      <c r="I108" s="1464"/>
      <c r="W108" s="4"/>
    </row>
    <row r="109" spans="2:23" s="148" customFormat="1" ht="15" x14ac:dyDescent="0.25">
      <c r="B109" s="1462" t="str">
        <f>[7]Збут!B107</f>
        <v>скоби № 10 /5</v>
      </c>
      <c r="C109" s="1200" t="str">
        <f>[7]Збут!C107</f>
        <v>пач</v>
      </c>
      <c r="D109" s="1200">
        <f>[7]Збут!D107</f>
        <v>10</v>
      </c>
      <c r="E109" s="1200">
        <f>[7]Збут!E107</f>
        <v>10.799999999999999</v>
      </c>
      <c r="F109" s="1463">
        <f t="shared" si="6"/>
        <v>107.99999999999999</v>
      </c>
      <c r="H109" s="1464"/>
      <c r="I109" s="1464"/>
      <c r="W109" s="4"/>
    </row>
    <row r="110" spans="2:23" s="148" customFormat="1" ht="15" x14ac:dyDescent="0.25">
      <c r="B110" s="1462" t="str">
        <f>[7]Збут!B108</f>
        <v>скобы 24</v>
      </c>
      <c r="C110" s="1200" t="str">
        <f>[7]Збут!C108</f>
        <v>пач</v>
      </c>
      <c r="D110" s="1200">
        <f>[7]Збут!D108</f>
        <v>5</v>
      </c>
      <c r="E110" s="1200">
        <f>[7]Збут!E108</f>
        <v>17.75</v>
      </c>
      <c r="F110" s="1463">
        <f t="shared" si="6"/>
        <v>88.75</v>
      </c>
      <c r="H110" s="1464"/>
      <c r="I110" s="1464"/>
      <c r="W110" s="4"/>
    </row>
    <row r="111" spans="2:23" s="148" customFormat="1" ht="15" x14ac:dyDescent="0.25">
      <c r="B111" s="1462" t="str">
        <f>[7]Збут!B109</f>
        <v>маркер текстовий</v>
      </c>
      <c r="C111" s="1200" t="str">
        <f>[7]Збут!C109</f>
        <v>шт</v>
      </c>
      <c r="D111" s="1200">
        <f>[7]Збут!D109</f>
        <v>20</v>
      </c>
      <c r="E111" s="1200">
        <f>[7]Збут!E109</f>
        <v>26</v>
      </c>
      <c r="F111" s="1463">
        <f t="shared" si="6"/>
        <v>520</v>
      </c>
      <c r="H111" s="1464"/>
      <c r="I111" s="1464"/>
      <c r="W111" s="4"/>
    </row>
    <row r="112" spans="2:23" s="148" customFormat="1" ht="15" x14ac:dyDescent="0.25">
      <c r="B112" s="1462" t="str">
        <f>[7]Збут!B110</f>
        <v>маркер</v>
      </c>
      <c r="C112" s="1200" t="str">
        <f>[7]Збут!C110</f>
        <v>шт</v>
      </c>
      <c r="D112" s="1200">
        <f>[7]Збут!D110</f>
        <v>41</v>
      </c>
      <c r="E112" s="1200">
        <f>[7]Збут!E110</f>
        <v>28.104000000000003</v>
      </c>
      <c r="F112" s="1463">
        <f t="shared" si="6"/>
        <v>1152.2640000000001</v>
      </c>
      <c r="H112" s="1464"/>
      <c r="I112" s="1464"/>
      <c r="W112" s="4"/>
    </row>
    <row r="113" spans="2:23" s="148" customFormat="1" ht="15" x14ac:dyDescent="0.25">
      <c r="B113" s="1462" t="str">
        <f>[7]Збут!B111</f>
        <v>Гумка SunpearI,чорнило-олівець</v>
      </c>
      <c r="C113" s="1200" t="str">
        <f>[7]Збут!C111</f>
        <v>шт</v>
      </c>
      <c r="D113" s="1200">
        <f>[7]Збут!D111</f>
        <v>22</v>
      </c>
      <c r="E113" s="1200">
        <f>[7]Збут!E111</f>
        <v>10.699199999999998</v>
      </c>
      <c r="F113" s="1463">
        <f t="shared" si="6"/>
        <v>235.38239999999996</v>
      </c>
      <c r="H113" s="1464"/>
      <c r="I113" s="1464"/>
      <c r="W113" s="4"/>
    </row>
    <row r="114" spans="2:23" s="148" customFormat="1" ht="15" x14ac:dyDescent="0.25">
      <c r="B114" s="1462" t="str">
        <f>[7]Збут!B112</f>
        <v>гумки для грошей 200 гр</v>
      </c>
      <c r="C114" s="1200" t="str">
        <f>[7]Збут!C112</f>
        <v>пач</v>
      </c>
      <c r="D114" s="1200">
        <f>[7]Збут!D112</f>
        <v>10</v>
      </c>
      <c r="E114" s="1200">
        <f>[7]Збут!E112</f>
        <v>136.25</v>
      </c>
      <c r="F114" s="1463">
        <f t="shared" si="6"/>
        <v>1362.5</v>
      </c>
      <c r="H114" s="1464"/>
      <c r="I114" s="1464"/>
      <c r="W114" s="4"/>
    </row>
    <row r="115" spans="2:23" s="148" customFormat="1" ht="15" x14ac:dyDescent="0.25">
      <c r="B115" s="1462" t="str">
        <f>[7]Збут!B113</f>
        <v>ніж канцелярский</v>
      </c>
      <c r="C115" s="1200" t="str">
        <f>[7]Збут!C113</f>
        <v>шт</v>
      </c>
      <c r="D115" s="1200">
        <f>[7]Збут!D113</f>
        <v>10</v>
      </c>
      <c r="E115" s="1200">
        <f>[7]Збут!E113</f>
        <v>63.995999999999995</v>
      </c>
      <c r="F115" s="1463">
        <f t="shared" si="6"/>
        <v>639.95999999999992</v>
      </c>
      <c r="H115" s="1464"/>
      <c r="I115" s="1464"/>
      <c r="W115" s="4"/>
    </row>
    <row r="116" spans="2:23" s="148" customFormat="1" ht="15" x14ac:dyDescent="0.25">
      <c r="B116" s="1462" t="str">
        <f>[7]Збут!B114</f>
        <v>папір для нотаток 90х90х80мм</v>
      </c>
      <c r="C116" s="1200" t="str">
        <f>[7]Збут!C114</f>
        <v>пач</v>
      </c>
      <c r="D116" s="1200">
        <f>[7]Збут!D114</f>
        <v>15</v>
      </c>
      <c r="E116" s="1200">
        <f>[7]Збут!E114</f>
        <v>96.3</v>
      </c>
      <c r="F116" s="1463">
        <f t="shared" si="6"/>
        <v>1444.5</v>
      </c>
      <c r="H116" s="1464"/>
      <c r="I116" s="1464"/>
      <c r="W116" s="4"/>
    </row>
    <row r="117" spans="2:23" s="148" customFormat="1" ht="15" x14ac:dyDescent="0.25">
      <c r="B117" s="1462" t="str">
        <f>[7]Збут!B115</f>
        <v>папір офісний А 3</v>
      </c>
      <c r="C117" s="1200" t="str">
        <f>[7]Збут!C115</f>
        <v>пач</v>
      </c>
      <c r="D117" s="1200">
        <f>[7]Збут!D115</f>
        <v>1</v>
      </c>
      <c r="E117" s="1200">
        <f>[7]Збут!E115</f>
        <v>616.25</v>
      </c>
      <c r="F117" s="1463">
        <f t="shared" si="6"/>
        <v>616.25</v>
      </c>
      <c r="H117" s="1464"/>
      <c r="I117" s="1464"/>
      <c r="W117" s="4"/>
    </row>
    <row r="118" spans="2:23" s="148" customFormat="1" ht="15" x14ac:dyDescent="0.25">
      <c r="B118" s="1462" t="str">
        <f>[7]Збут!B116</f>
        <v>папір офісний А4, 500 арк.</v>
      </c>
      <c r="C118" s="1200" t="str">
        <f>[7]Збут!C116</f>
        <v>пач</v>
      </c>
      <c r="D118" s="1200">
        <f>[7]Збут!D116</f>
        <v>200</v>
      </c>
      <c r="E118" s="1200">
        <f>[7]Збут!E116</f>
        <v>196.2</v>
      </c>
      <c r="F118" s="1463">
        <f t="shared" si="6"/>
        <v>39240</v>
      </c>
      <c r="H118" s="1464"/>
      <c r="I118" s="1464"/>
      <c r="W118" s="4"/>
    </row>
    <row r="119" spans="2:23" s="148" customFormat="1" ht="15" x14ac:dyDescent="0.25">
      <c r="B119" s="1462" t="str">
        <f>[7]Збут!B117</f>
        <v>папір офісний А4</v>
      </c>
      <c r="C119" s="1200" t="str">
        <f>[7]Збут!C117</f>
        <v>пач</v>
      </c>
      <c r="D119" s="1200">
        <f>[7]Збут!D117</f>
        <v>2</v>
      </c>
      <c r="E119" s="1200">
        <f>[7]Збут!E117</f>
        <v>318</v>
      </c>
      <c r="F119" s="1463">
        <f t="shared" si="6"/>
        <v>636</v>
      </c>
      <c r="H119" s="1464"/>
      <c r="I119" s="1464"/>
      <c r="W119" s="4"/>
    </row>
    <row r="120" spans="2:23" s="148" customFormat="1" ht="15" x14ac:dyDescent="0.25">
      <c r="B120" s="1462" t="str">
        <f>[7]Збут!B118</f>
        <v>папір офісний А5</v>
      </c>
      <c r="C120" s="1200" t="str">
        <f>[7]Збут!C118</f>
        <v>пач</v>
      </c>
      <c r="D120" s="1200">
        <f>[7]Збут!D118</f>
        <v>45</v>
      </c>
      <c r="E120" s="1200">
        <f>[7]Збут!E118</f>
        <v>106.5</v>
      </c>
      <c r="F120" s="1463">
        <f t="shared" si="6"/>
        <v>4792.5</v>
      </c>
      <c r="H120" s="1464"/>
      <c r="I120" s="1464"/>
      <c r="W120" s="4"/>
    </row>
    <row r="121" spans="2:23" s="148" customFormat="1" ht="15" x14ac:dyDescent="0.25">
      <c r="B121" s="1462" t="str">
        <f>[7]Збут!B119</f>
        <v>файл-конверт А4 100 шт</v>
      </c>
      <c r="C121" s="1200" t="str">
        <f>[7]Збут!C119</f>
        <v>пач</v>
      </c>
      <c r="D121" s="1200">
        <f>[7]Збут!D119</f>
        <v>22</v>
      </c>
      <c r="E121" s="1200">
        <f>[7]Збут!E119</f>
        <v>151.19999999999999</v>
      </c>
      <c r="F121" s="1463">
        <f t="shared" si="6"/>
        <v>3326.3999999999996</v>
      </c>
      <c r="H121" s="1464"/>
      <c r="I121" s="1464"/>
      <c r="W121" s="4"/>
    </row>
    <row r="122" spans="2:23" s="148" customFormat="1" ht="15" x14ac:dyDescent="0.25">
      <c r="B122" s="1462" t="str">
        <f>[7]Збут!B120</f>
        <v>закладка неонова 5 кольорів 12х45мм,125шт,cтрілка</v>
      </c>
      <c r="C122" s="1200" t="str">
        <f>[7]Збут!C120</f>
        <v>пач</v>
      </c>
      <c r="D122" s="1200">
        <f>[7]Збут!D120</f>
        <v>10</v>
      </c>
      <c r="E122" s="1200">
        <f>[7]Збут!E120</f>
        <v>18.446400000000001</v>
      </c>
      <c r="F122" s="1463">
        <f t="shared" si="6"/>
        <v>184.464</v>
      </c>
      <c r="H122" s="1464"/>
      <c r="I122" s="1464"/>
      <c r="W122" s="4"/>
    </row>
    <row r="123" spans="2:23" s="148" customFormat="1" ht="15" x14ac:dyDescent="0.25">
      <c r="B123" s="1462" t="str">
        <f>[7]Збут!B121</f>
        <v xml:space="preserve">подорожній лист </v>
      </c>
      <c r="C123" s="1200" t="str">
        <f>[7]Збут!C121</f>
        <v>пач</v>
      </c>
      <c r="D123" s="1200">
        <f>[7]Збут!D121</f>
        <v>20</v>
      </c>
      <c r="E123" s="1200">
        <f>[7]Збут!E121</f>
        <v>151.5</v>
      </c>
      <c r="F123" s="1463">
        <f t="shared" si="6"/>
        <v>3030</v>
      </c>
      <c r="H123" s="1464"/>
      <c r="I123" s="1464"/>
      <c r="W123" s="4"/>
    </row>
    <row r="124" spans="2:23" s="148" customFormat="1" ht="15" x14ac:dyDescent="0.25">
      <c r="B124" s="1462" t="str">
        <f>[7]Збут!B122</f>
        <v xml:space="preserve">календар настінний </v>
      </c>
      <c r="C124" s="1200" t="str">
        <f>[7]Збут!C122</f>
        <v>шт</v>
      </c>
      <c r="D124" s="1200">
        <f>[7]Збут!D122</f>
        <v>8</v>
      </c>
      <c r="E124" s="1200">
        <f>[7]Збут!E122</f>
        <v>109.08</v>
      </c>
      <c r="F124" s="1463">
        <f t="shared" si="6"/>
        <v>872.64</v>
      </c>
      <c r="H124" s="1464"/>
      <c r="I124" s="1464"/>
      <c r="W124" s="4"/>
    </row>
    <row r="125" spans="2:23" s="148" customFormat="1" ht="15" x14ac:dyDescent="0.25">
      <c r="B125" s="1462" t="str">
        <f>[7]Збут!B123</f>
        <v>календарь перекедной</v>
      </c>
      <c r="C125" s="1200" t="str">
        <f>[7]Збут!C123</f>
        <v>шт</v>
      </c>
      <c r="D125" s="1200">
        <f>[7]Збут!D123</f>
        <v>7</v>
      </c>
      <c r="E125" s="1200">
        <f>[7]Збут!E123</f>
        <v>34.295999999999999</v>
      </c>
      <c r="F125" s="1463">
        <f t="shared" si="6"/>
        <v>240.072</v>
      </c>
      <c r="H125" s="1464"/>
      <c r="I125" s="1464"/>
      <c r="W125" s="4"/>
    </row>
    <row r="126" spans="2:23" s="148" customFormat="1" ht="15" x14ac:dyDescent="0.25">
      <c r="B126" s="1462" t="str">
        <f>[7]Збут!B124</f>
        <v>ножницы с резин.вставками</v>
      </c>
      <c r="C126" s="1200" t="str">
        <f>[7]Збут!C124</f>
        <v>шт</v>
      </c>
      <c r="D126" s="1200">
        <f>[7]Збут!D124</f>
        <v>12</v>
      </c>
      <c r="E126" s="1200">
        <f>[7]Збут!E124</f>
        <v>56.5</v>
      </c>
      <c r="F126" s="1463">
        <f t="shared" si="6"/>
        <v>678</v>
      </c>
      <c r="H126" s="1464"/>
      <c r="I126" s="1464"/>
      <c r="W126" s="4"/>
    </row>
    <row r="127" spans="2:23" s="148" customFormat="1" ht="15" x14ac:dyDescent="0.25">
      <c r="B127" s="1462" t="str">
        <f>[7]Збут!B125</f>
        <v>степлер  № 10</v>
      </c>
      <c r="C127" s="1200" t="str">
        <f>[7]Збут!C125</f>
        <v>шт</v>
      </c>
      <c r="D127" s="1200">
        <f>[7]Збут!D125</f>
        <v>10</v>
      </c>
      <c r="E127" s="1200">
        <f>[7]Збут!E125</f>
        <v>75.75</v>
      </c>
      <c r="F127" s="1463">
        <f t="shared" si="6"/>
        <v>757.5</v>
      </c>
      <c r="H127" s="1464"/>
      <c r="I127" s="1464"/>
      <c r="W127" s="4"/>
    </row>
    <row r="128" spans="2:23" s="148" customFormat="1" ht="15" x14ac:dyDescent="0.25">
      <c r="B128" s="1462" t="str">
        <f>[7]Збут!B126</f>
        <v>антистеплер</v>
      </c>
      <c r="C128" s="1200" t="str">
        <f>[7]Збут!C126</f>
        <v>шт</v>
      </c>
      <c r="D128" s="1200">
        <f>[7]Збут!D126</f>
        <v>5</v>
      </c>
      <c r="E128" s="1200">
        <f>[7]Збут!E126</f>
        <v>33.25</v>
      </c>
      <c r="F128" s="1463">
        <f t="shared" si="6"/>
        <v>166.25</v>
      </c>
      <c r="H128" s="1464"/>
      <c r="I128" s="1464"/>
      <c r="W128" s="4"/>
    </row>
    <row r="129" spans="2:23" s="148" customFormat="1" ht="15" x14ac:dyDescent="0.25">
      <c r="B129" s="1462" t="str">
        <f>[7]Збут!B127</f>
        <v>затиск для паперу 25 мм</v>
      </c>
      <c r="C129" s="1200" t="str">
        <f>[7]Збут!C127</f>
        <v>шт</v>
      </c>
      <c r="D129" s="1200">
        <f>[7]Збут!D127</f>
        <v>9</v>
      </c>
      <c r="E129" s="1200">
        <f>[7]Збут!E127</f>
        <v>28.584</v>
      </c>
      <c r="F129" s="1463">
        <f t="shared" si="6"/>
        <v>257.25599999999997</v>
      </c>
      <c r="H129" s="1464"/>
      <c r="I129" s="1464"/>
      <c r="W129" s="4"/>
    </row>
    <row r="130" spans="2:23" s="148" customFormat="1" ht="15" x14ac:dyDescent="0.25">
      <c r="B130" s="1462" t="str">
        <f>[7]Збут!B128</f>
        <v>затиск для паперу 19 мм</v>
      </c>
      <c r="C130" s="1200" t="str">
        <f>[7]Збут!C128</f>
        <v>шт</v>
      </c>
      <c r="D130" s="1200">
        <f>[7]Збут!D128</f>
        <v>10</v>
      </c>
      <c r="E130" s="1200">
        <f>[7]Збут!E128</f>
        <v>15.75</v>
      </c>
      <c r="F130" s="1463">
        <f t="shared" si="6"/>
        <v>157.5</v>
      </c>
      <c r="H130" s="1464"/>
      <c r="I130" s="1464"/>
      <c r="W130" s="4"/>
    </row>
    <row r="131" spans="2:23" s="148" customFormat="1" ht="15" x14ac:dyDescent="0.25">
      <c r="B131" s="1462" t="str">
        <f>[7]Збут!B129</f>
        <v xml:space="preserve">кисть флейцевая </v>
      </c>
      <c r="C131" s="1200" t="str">
        <f>[7]Збут!C129</f>
        <v>шт</v>
      </c>
      <c r="D131" s="1200">
        <f>[7]Збут!D129</f>
        <v>2</v>
      </c>
      <c r="E131" s="1200">
        <f>[7]Збут!E129</f>
        <v>36</v>
      </c>
      <c r="F131" s="1463">
        <f t="shared" si="6"/>
        <v>72</v>
      </c>
      <c r="H131" s="1464"/>
      <c r="I131" s="1464"/>
      <c r="W131" s="4"/>
    </row>
    <row r="132" spans="2:23" s="148" customFormat="1" ht="15" x14ac:dyDescent="0.25">
      <c r="B132" s="1462" t="str">
        <f>[7]Збут!B130</f>
        <v>пензель-макловиця тип "Мини" 30х120мм натурал.ворс</v>
      </c>
      <c r="C132" s="1200" t="str">
        <f>[7]Збут!C130</f>
        <v>шт</v>
      </c>
      <c r="D132" s="1200">
        <f>[7]Збут!D130</f>
        <v>2</v>
      </c>
      <c r="E132" s="1200">
        <f>[7]Збут!E130</f>
        <v>42.48</v>
      </c>
      <c r="F132" s="1463">
        <f t="shared" si="6"/>
        <v>84.96</v>
      </c>
      <c r="H132" s="1464"/>
      <c r="I132" s="1464"/>
      <c r="W132" s="4"/>
    </row>
    <row r="133" spans="2:23" s="148" customFormat="1" ht="15" x14ac:dyDescent="0.25">
      <c r="B133" s="1462" t="str">
        <f>[7]Збут!B131</f>
        <v>фарба штемпельна</v>
      </c>
      <c r="C133" s="1200" t="str">
        <f>[7]Збут!C131</f>
        <v>шт</v>
      </c>
      <c r="D133" s="1200">
        <f>[7]Збут!D131</f>
        <v>9</v>
      </c>
      <c r="E133" s="1200">
        <f>[7]Збут!E131</f>
        <v>49.247999999999998</v>
      </c>
      <c r="F133" s="1463">
        <f t="shared" si="6"/>
        <v>443.23199999999997</v>
      </c>
      <c r="H133" s="1464"/>
      <c r="I133" s="1464"/>
      <c r="W133" s="4"/>
    </row>
    <row r="134" spans="2:23" s="148" customFormat="1" ht="15" x14ac:dyDescent="0.25">
      <c r="B134" s="1462" t="str">
        <f>[7]Збут!B132</f>
        <v>реєстратор 50 мм двостор.</v>
      </c>
      <c r="C134" s="1200" t="str">
        <f>[7]Збут!C132</f>
        <v>шт</v>
      </c>
      <c r="D134" s="1200">
        <f>[7]Збут!D132</f>
        <v>105</v>
      </c>
      <c r="E134" s="1200">
        <f>[7]Збут!E132</f>
        <v>80.5</v>
      </c>
      <c r="F134" s="1463">
        <f t="shared" si="6"/>
        <v>8452.5</v>
      </c>
      <c r="H134" s="1464"/>
      <c r="I134" s="1464"/>
      <c r="W134" s="4"/>
    </row>
    <row r="135" spans="2:23" s="148" customFormat="1" ht="15" x14ac:dyDescent="0.25">
      <c r="B135" s="1462" t="str">
        <f>[7]Збут!B133</f>
        <v>чинка металева</v>
      </c>
      <c r="C135" s="1200" t="str">
        <f>[7]Збут!C133</f>
        <v>шт</v>
      </c>
      <c r="D135" s="1200">
        <f>[7]Збут!D133</f>
        <v>4</v>
      </c>
      <c r="E135" s="1200">
        <f>[7]Збут!E133</f>
        <v>10</v>
      </c>
      <c r="F135" s="1463">
        <f t="shared" si="6"/>
        <v>40</v>
      </c>
      <c r="H135" s="1464"/>
      <c r="I135" s="1464"/>
      <c r="W135" s="4"/>
    </row>
    <row r="136" spans="2:23" s="148" customFormat="1" ht="15" x14ac:dyDescent="0.25">
      <c r="B136" s="1462" t="str">
        <f>[7]Збут!B134</f>
        <v>діркопробивач  Welle-2 20 аркушів чорний</v>
      </c>
      <c r="C136" s="1200" t="str">
        <f>[7]Збут!C134</f>
        <v>шт</v>
      </c>
      <c r="D136" s="1200">
        <f>[7]Збут!D134</f>
        <v>2</v>
      </c>
      <c r="E136" s="1200">
        <f>[7]Збут!E134</f>
        <v>112.752</v>
      </c>
      <c r="F136" s="1463">
        <f t="shared" si="6"/>
        <v>225.50399999999999</v>
      </c>
      <c r="H136" s="1464"/>
      <c r="I136" s="1464"/>
      <c r="W136" s="4"/>
    </row>
    <row r="137" spans="2:23" s="148" customFormat="1" ht="15" x14ac:dyDescent="0.25">
      <c r="B137" s="1462" t="str">
        <f>[7]Збут!B135</f>
        <v>штемпель самонабиратель</v>
      </c>
      <c r="C137" s="1200" t="str">
        <f>[7]Збут!C135</f>
        <v>шт</v>
      </c>
      <c r="D137" s="1200">
        <f>[7]Збут!D135</f>
        <v>1</v>
      </c>
      <c r="E137" s="1200">
        <f>[7]Збут!E135</f>
        <v>365.16</v>
      </c>
      <c r="F137" s="1463">
        <f t="shared" si="6"/>
        <v>365.16</v>
      </c>
      <c r="H137" s="1464"/>
      <c r="I137" s="1464"/>
      <c r="W137" s="4"/>
    </row>
    <row r="138" spans="2:23" s="148" customFormat="1" ht="15" x14ac:dyDescent="0.25">
      <c r="B138" s="1462" t="str">
        <f>[7]Збут!B136</f>
        <v>елемент живлення LR 3 (блістер 4 шт)</v>
      </c>
      <c r="C138" s="1200" t="str">
        <f>[7]Збут!C136</f>
        <v>шт</v>
      </c>
      <c r="D138" s="1200">
        <f>[7]Збут!D136</f>
        <v>15</v>
      </c>
      <c r="E138" s="1200">
        <f>[7]Збут!E136</f>
        <v>14.803199999999997</v>
      </c>
      <c r="F138" s="1463">
        <f t="shared" si="6"/>
        <v>222.04799999999994</v>
      </c>
      <c r="H138" s="1464"/>
      <c r="I138" s="1464"/>
      <c r="W138" s="4"/>
    </row>
    <row r="139" spans="2:23" s="148" customFormat="1" ht="15" x14ac:dyDescent="0.25">
      <c r="B139" s="1462" t="str">
        <f>[7]Збут!B137</f>
        <v>елемент живлення LR 3 (блістер 4 шт)</v>
      </c>
      <c r="C139" s="1200" t="str">
        <f>[7]Збут!C137</f>
        <v>шт</v>
      </c>
      <c r="D139" s="1200">
        <f>[7]Збут!D137</f>
        <v>14</v>
      </c>
      <c r="E139" s="1200">
        <f>[7]Збут!E137</f>
        <v>14.313599999999999</v>
      </c>
      <c r="F139" s="1463">
        <f t="shared" si="6"/>
        <v>200.3904</v>
      </c>
      <c r="H139" s="1464"/>
      <c r="I139" s="1464"/>
      <c r="W139" s="4"/>
    </row>
    <row r="140" spans="2:23" s="148" customFormat="1" ht="15" x14ac:dyDescent="0.25">
      <c r="B140" s="1462" t="str">
        <f>[7]Збут!B138</f>
        <v>елемент живлення LR 6 (блістер 4 шт)</v>
      </c>
      <c r="C140" s="1200" t="str">
        <f>[7]Збут!C138</f>
        <v>шт</v>
      </c>
      <c r="D140" s="1200">
        <f>[7]Збут!D138</f>
        <v>10</v>
      </c>
      <c r="E140" s="1200">
        <f>[7]Збут!E138</f>
        <v>15.25</v>
      </c>
      <c r="F140" s="1463">
        <f t="shared" si="6"/>
        <v>152.5</v>
      </c>
      <c r="H140" s="1464"/>
      <c r="I140" s="1464"/>
      <c r="W140" s="4"/>
    </row>
    <row r="141" spans="2:23" s="148" customFormat="1" ht="15" x14ac:dyDescent="0.25">
      <c r="B141" s="1462" t="str">
        <f>[7]Збут!B139</f>
        <v>батарейка LR3 (мини-пальчик)</v>
      </c>
      <c r="C141" s="1200" t="str">
        <f>[7]Збут!C139</f>
        <v>шт</v>
      </c>
      <c r="D141" s="1200">
        <f>[7]Збут!D139</f>
        <v>5</v>
      </c>
      <c r="E141" s="1200">
        <f>[7]Збут!E139</f>
        <v>15</v>
      </c>
      <c r="F141" s="1463">
        <f t="shared" si="6"/>
        <v>75</v>
      </c>
      <c r="H141" s="1464"/>
      <c r="I141" s="1464"/>
      <c r="W141" s="4"/>
    </row>
    <row r="142" spans="2:23" s="148" customFormat="1" ht="15" x14ac:dyDescent="0.25">
      <c r="B142" s="1462">
        <f>[7]Збут!B140</f>
        <v>0</v>
      </c>
      <c r="C142" s="1200">
        <f>[7]Збут!C140</f>
        <v>0</v>
      </c>
      <c r="D142" s="1200">
        <f>[7]Збут!D140</f>
        <v>0</v>
      </c>
      <c r="E142" s="1200">
        <f>[7]Збут!E140</f>
        <v>0</v>
      </c>
      <c r="F142" s="1463">
        <f t="shared" si="6"/>
        <v>0</v>
      </c>
      <c r="H142" s="1464"/>
      <c r="I142" s="1464"/>
      <c r="W142" s="4"/>
    </row>
    <row r="143" spans="2:23" s="120" customFormat="1" ht="14.25" x14ac:dyDescent="0.2">
      <c r="B143" s="1461" t="s">
        <v>1075</v>
      </c>
      <c r="C143" s="1206"/>
      <c r="D143" s="1206"/>
      <c r="E143" s="1465"/>
      <c r="F143" s="1465">
        <f>SUM(F76:F142)</f>
        <v>91350.888800000001</v>
      </c>
      <c r="G143" s="1351">
        <f>[7]Збут!$F$142</f>
        <v>91350.888800000001</v>
      </c>
      <c r="H143" s="1466"/>
      <c r="I143" s="1466"/>
      <c r="W143" s="110"/>
    </row>
    <row r="144" spans="2:23" s="148" customFormat="1" ht="15" x14ac:dyDescent="0.25">
      <c r="B144" s="1200"/>
      <c r="C144" s="1200"/>
      <c r="D144" s="1200"/>
      <c r="E144" s="1463"/>
      <c r="F144" s="1463"/>
      <c r="H144" s="1464"/>
      <c r="I144" s="1464"/>
      <c r="W144" s="4"/>
    </row>
    <row r="145" spans="2:23" s="120" customFormat="1" ht="14.25" x14ac:dyDescent="0.2">
      <c r="B145" s="1206" t="s">
        <v>1041</v>
      </c>
      <c r="C145" s="1206"/>
      <c r="D145" s="1206"/>
      <c r="E145" s="1465"/>
      <c r="F145" s="1465"/>
      <c r="H145" s="1466"/>
      <c r="I145" s="1466"/>
    </row>
    <row r="146" spans="2:23" s="148" customFormat="1" ht="15" x14ac:dyDescent="0.25">
      <c r="B146" s="1200" t="str">
        <f>[7]Збут!B145</f>
        <v xml:space="preserve">Подовжувач 5м </v>
      </c>
      <c r="C146" s="1200" t="str">
        <f>[7]Збут!C145</f>
        <v>шт</v>
      </c>
      <c r="D146" s="1200">
        <f>[7]Збут!D145</f>
        <v>2</v>
      </c>
      <c r="E146" s="1200">
        <f>[7]Збут!E145</f>
        <v>339.84</v>
      </c>
      <c r="F146" s="1463">
        <f t="shared" si="6"/>
        <v>679.68</v>
      </c>
      <c r="H146" s="1464"/>
      <c r="I146" s="1464"/>
      <c r="W146" s="4"/>
    </row>
    <row r="147" spans="2:23" s="148" customFormat="1" ht="15" x14ac:dyDescent="0.25">
      <c r="B147" s="1200" t="str">
        <f>[7]Збут!B146</f>
        <v>Подовжувач 3м</v>
      </c>
      <c r="C147" s="1200" t="str">
        <f>[7]Збут!C146</f>
        <v>шт</v>
      </c>
      <c r="D147" s="1200">
        <f>[7]Збут!D146</f>
        <v>2</v>
      </c>
      <c r="E147" s="1200">
        <f>[7]Збут!E146</f>
        <v>240.48</v>
      </c>
      <c r="F147" s="1463">
        <f t="shared" si="6"/>
        <v>480.96</v>
      </c>
      <c r="H147" s="1464"/>
      <c r="I147" s="1464"/>
      <c r="W147" s="4"/>
    </row>
    <row r="148" spans="2:23" s="148" customFormat="1" ht="15" x14ac:dyDescent="0.25">
      <c r="B148" s="1200">
        <f>[7]Збут!B147</f>
        <v>0</v>
      </c>
      <c r="C148" s="1200">
        <f>[7]Збут!C147</f>
        <v>0</v>
      </c>
      <c r="D148" s="1200">
        <f>[7]Збут!D147</f>
        <v>0</v>
      </c>
      <c r="E148" s="1200">
        <f>[7]Збут!E147</f>
        <v>0</v>
      </c>
      <c r="F148" s="1463">
        <f t="shared" ref="F148" si="7">D148*E148</f>
        <v>0</v>
      </c>
      <c r="H148" s="1464"/>
      <c r="I148" s="1464"/>
      <c r="W148" s="4"/>
    </row>
    <row r="149" spans="2:23" s="120" customFormat="1" ht="14.25" x14ac:dyDescent="0.2">
      <c r="B149" s="1206" t="s">
        <v>1075</v>
      </c>
      <c r="C149" s="1206"/>
      <c r="D149" s="1206"/>
      <c r="E149" s="1465"/>
      <c r="F149" s="1465">
        <f>SUM(F146:F148)</f>
        <v>1160.6399999999999</v>
      </c>
      <c r="W149" s="110"/>
    </row>
    <row r="150" spans="2:23" s="120" customFormat="1" ht="14.25" x14ac:dyDescent="0.2">
      <c r="B150" s="1206"/>
      <c r="C150" s="1206"/>
      <c r="D150" s="1206"/>
      <c r="E150" s="1465"/>
      <c r="F150" s="1465"/>
      <c r="W150" s="110"/>
    </row>
    <row r="151" spans="2:23" s="148" customFormat="1" ht="15" x14ac:dyDescent="0.25">
      <c r="B151" s="1200" t="str">
        <f>[7]Збут!B151</f>
        <v>Матеріали</v>
      </c>
      <c r="C151" s="1200"/>
      <c r="D151" s="1200"/>
      <c r="E151" s="1200"/>
      <c r="F151" s="1463"/>
      <c r="H151" s="1464"/>
      <c r="I151" s="1464"/>
      <c r="W151" s="4"/>
    </row>
    <row r="152" spans="2:23" s="148" customFormat="1" ht="15" x14ac:dyDescent="0.25">
      <c r="B152" s="1200" t="str">
        <f>[7]Збут!B152</f>
        <v>Туалетний папір, носові хустинки, рушники для рук і серветки</v>
      </c>
      <c r="C152" s="1200" t="str">
        <f>[7]Збут!C152</f>
        <v>рул</v>
      </c>
      <c r="D152" s="1200">
        <f>[7]Збут!D152</f>
        <v>62</v>
      </c>
      <c r="E152" s="1200">
        <f>[7]Збут!E152</f>
        <v>11.48</v>
      </c>
      <c r="F152" s="1463">
        <f>D152*E152</f>
        <v>711.76</v>
      </c>
      <c r="H152" s="1464"/>
      <c r="I152" s="1464"/>
      <c r="W152" s="4"/>
    </row>
    <row r="153" spans="2:23" s="148" customFormat="1" ht="15" x14ac:dyDescent="0.25">
      <c r="B153" s="1200" t="str">
        <f>[7]Збут!B153</f>
        <v>нитка прошивочная</v>
      </c>
      <c r="C153" s="1200" t="str">
        <f>[7]Збут!C153</f>
        <v>шт</v>
      </c>
      <c r="D153" s="1200">
        <f>[7]Збут!D153</f>
        <v>1</v>
      </c>
      <c r="E153" s="1200">
        <f>[7]Збут!E153</f>
        <v>73</v>
      </c>
      <c r="F153" s="1463">
        <f>D153*E153</f>
        <v>73</v>
      </c>
      <c r="H153" s="1464"/>
      <c r="I153" s="1464"/>
      <c r="W153" s="4"/>
    </row>
    <row r="154" spans="2:23" s="148" customFormat="1" ht="15" x14ac:dyDescent="0.25">
      <c r="B154" s="1200" t="str">
        <f>[7]Збут!B154</f>
        <v>стрічка клеюча пакувальна каучук,прозора</v>
      </c>
      <c r="C154" s="1200" t="str">
        <f>[7]Збут!C154</f>
        <v>рул</v>
      </c>
      <c r="D154" s="1200">
        <f>[7]Збут!D154</f>
        <v>5</v>
      </c>
      <c r="E154" s="1200">
        <f>[7]Збут!E154</f>
        <v>88.5</v>
      </c>
      <c r="F154" s="1463">
        <f>D154*E154</f>
        <v>442.5</v>
      </c>
      <c r="H154" s="1464"/>
      <c r="I154" s="1464"/>
      <c r="W154" s="4"/>
    </row>
    <row r="155" spans="2:23" s="148" customFormat="1" ht="15" x14ac:dyDescent="0.25">
      <c r="B155" s="1200">
        <f>[7]Збут!B155</f>
        <v>0</v>
      </c>
      <c r="C155" s="1200">
        <f>[7]Збут!C155</f>
        <v>0</v>
      </c>
      <c r="D155" s="1200">
        <f>[7]Збут!D155</f>
        <v>0</v>
      </c>
      <c r="E155" s="1200">
        <f>[7]Збут!E155</f>
        <v>0</v>
      </c>
      <c r="F155" s="1463">
        <f>D155*E155</f>
        <v>0</v>
      </c>
      <c r="H155" s="1464"/>
      <c r="I155" s="1464"/>
      <c r="W155" s="4"/>
    </row>
    <row r="156" spans="2:23" s="148" customFormat="1" ht="15" x14ac:dyDescent="0.25">
      <c r="B156" s="1200" t="str">
        <f>[7]Збут!B156</f>
        <v>Усього</v>
      </c>
      <c r="C156" s="1200">
        <f>[7]Збут!C156</f>
        <v>0</v>
      </c>
      <c r="D156" s="1200"/>
      <c r="E156" s="1200">
        <f>[7]Збут!E156</f>
        <v>0</v>
      </c>
      <c r="F156" s="1465">
        <f>SUM(F152:F155)</f>
        <v>1227.26</v>
      </c>
      <c r="H156" s="1464"/>
      <c r="I156" s="1464"/>
      <c r="W156" s="4"/>
    </row>
    <row r="157" spans="2:23" s="148" customFormat="1" x14ac:dyDescent="0.2">
      <c r="W157" s="4"/>
    </row>
    <row r="158" spans="2:23" s="120" customFormat="1" ht="14.25" x14ac:dyDescent="0.2">
      <c r="B158" s="1206" t="s">
        <v>1043</v>
      </c>
      <c r="C158" s="1206"/>
      <c r="D158" s="1206"/>
      <c r="E158" s="1465"/>
      <c r="F158" s="1465"/>
      <c r="H158" s="1466"/>
      <c r="I158" s="1466"/>
    </row>
    <row r="159" spans="2:23" s="148" customFormat="1" ht="15" x14ac:dyDescent="0.25">
      <c r="B159" s="1200" t="str">
        <f>[7]Збут!B159</f>
        <v>картридж лазерний Canon 052H</v>
      </c>
      <c r="C159" s="1200" t="str">
        <f>[7]Збут!C159</f>
        <v>шт</v>
      </c>
      <c r="D159" s="1200">
        <f>[7]Збут!D159</f>
        <v>2</v>
      </c>
      <c r="E159" s="1200">
        <f>[7]Збут!E159</f>
        <v>4978.8</v>
      </c>
      <c r="F159" s="1463">
        <f t="shared" ref="F159:F172" si="8">D159*E159</f>
        <v>9957.6</v>
      </c>
      <c r="H159" s="1464"/>
      <c r="I159" s="1464"/>
      <c r="W159" s="4"/>
    </row>
    <row r="160" spans="2:23" s="148" customFormat="1" ht="15" x14ac:dyDescent="0.25">
      <c r="B160" s="1200" t="str">
        <f>[7]Збут!B160</f>
        <v>Драм-картридж Xerox WC 5016/5020</v>
      </c>
      <c r="C160" s="1200" t="str">
        <f>[7]Збут!C160</f>
        <v>шт</v>
      </c>
      <c r="D160" s="1200">
        <f>[7]Збут!D160</f>
        <v>1</v>
      </c>
      <c r="E160" s="1200">
        <f>[7]Збут!E160</f>
        <v>3956.3999999999996</v>
      </c>
      <c r="F160" s="1463">
        <f t="shared" si="8"/>
        <v>3956.3999999999996</v>
      </c>
      <c r="H160" s="1464"/>
      <c r="I160" s="1464"/>
      <c r="W160" s="4"/>
    </row>
    <row r="161" spans="2:25" s="148" customFormat="1" ht="15" x14ac:dyDescent="0.25">
      <c r="B161" s="1200" t="str">
        <f>[7]Збут!B161</f>
        <v>картридж  Xerox WC 5016/5020 комплект 2шт</v>
      </c>
      <c r="C161" s="1200" t="str">
        <f>[7]Збут!C161</f>
        <v>комп</v>
      </c>
      <c r="D161" s="1200">
        <f>[7]Збут!D161</f>
        <v>1</v>
      </c>
      <c r="E161" s="1200">
        <f>[7]Збут!E161</f>
        <v>1384.17</v>
      </c>
      <c r="F161" s="1463">
        <f>D161*E161</f>
        <v>1384.17</v>
      </c>
      <c r="H161" s="1464"/>
      <c r="I161" s="1464"/>
      <c r="W161" s="4"/>
    </row>
    <row r="162" spans="2:25" s="148" customFormat="1" ht="15" x14ac:dyDescent="0.25">
      <c r="B162" s="1200" t="str">
        <f>[7]Збут!B162</f>
        <v>картридж лазерний Xerox WC 5016/5020</v>
      </c>
      <c r="C162" s="1200" t="str">
        <f>[7]Збут!C162</f>
        <v>шт</v>
      </c>
      <c r="D162" s="1200">
        <f>[7]Збут!D162</f>
        <v>1</v>
      </c>
      <c r="E162" s="1200">
        <f>[7]Збут!E162</f>
        <v>3399.17</v>
      </c>
      <c r="F162" s="1463">
        <f t="shared" si="8"/>
        <v>3399.17</v>
      </c>
      <c r="H162" s="1464"/>
      <c r="I162" s="1464"/>
      <c r="W162" s="4"/>
    </row>
    <row r="163" spans="2:25" s="148" customFormat="1" ht="15" x14ac:dyDescent="0.25">
      <c r="B163" s="1200" t="str">
        <f>[7]Збут!B163</f>
        <v>эл. Дрель мала (для зшивання документыв)</v>
      </c>
      <c r="C163" s="1200" t="str">
        <f>[7]Збут!C163</f>
        <v>шт</v>
      </c>
      <c r="D163" s="1200">
        <f>[7]Збут!D163</f>
        <v>1</v>
      </c>
      <c r="E163" s="1200">
        <f>[7]Збут!E163</f>
        <v>1008</v>
      </c>
      <c r="F163" s="1463">
        <f t="shared" si="8"/>
        <v>1008</v>
      </c>
      <c r="H163" s="1464"/>
      <c r="I163" s="1464"/>
      <c r="W163" s="4"/>
    </row>
    <row r="164" spans="2:25" s="148" customFormat="1" ht="15" x14ac:dyDescent="0.25">
      <c r="B164" s="1200" t="str">
        <f>[7]Збут!B164</f>
        <v>калькулятор СИТЕЗЕН</v>
      </c>
      <c r="C164" s="1200" t="str">
        <f>[7]Збут!C164</f>
        <v>шт</v>
      </c>
      <c r="D164" s="1200">
        <f>[7]Збут!D164</f>
        <v>3</v>
      </c>
      <c r="E164" s="1200">
        <f>[7]Збут!E164</f>
        <v>402.27600000000001</v>
      </c>
      <c r="F164" s="1463">
        <f t="shared" si="8"/>
        <v>1206.828</v>
      </c>
      <c r="H164" s="1464"/>
      <c r="I164" s="1464"/>
      <c r="W164" s="4"/>
    </row>
    <row r="165" spans="2:25" s="148" customFormat="1" ht="15" x14ac:dyDescent="0.25">
      <c r="B165" s="1200" t="str">
        <f>[7]Збут!B165</f>
        <v>діркопробивач  Welle-2 20 аркушів чорний</v>
      </c>
      <c r="C165" s="1200" t="str">
        <f>[7]Збут!C165</f>
        <v>шт</v>
      </c>
      <c r="D165" s="1200">
        <f>[7]Збут!D165</f>
        <v>2</v>
      </c>
      <c r="E165" s="1200">
        <f>[7]Збут!E165</f>
        <v>112.752</v>
      </c>
      <c r="F165" s="1463">
        <f t="shared" si="8"/>
        <v>225.50399999999999</v>
      </c>
      <c r="H165" s="1464"/>
      <c r="I165" s="1464"/>
      <c r="W165" s="4"/>
    </row>
    <row r="166" spans="2:25" s="148" customFormat="1" ht="15" x14ac:dyDescent="0.25">
      <c r="B166" s="1200" t="str">
        <f>[7]Збут!B166</f>
        <v>Підставка настольна для ручок,оліців -канц.</v>
      </c>
      <c r="C166" s="1200" t="str">
        <f>[7]Збут!C166</f>
        <v>шт</v>
      </c>
      <c r="D166" s="1200">
        <f>[7]Збут!D166</f>
        <v>5</v>
      </c>
      <c r="E166" s="1200">
        <f>[7]Збут!E166</f>
        <v>129.6</v>
      </c>
      <c r="F166" s="1463">
        <f t="shared" si="8"/>
        <v>648</v>
      </c>
      <c r="H166" s="1464"/>
      <c r="I166" s="1464"/>
      <c r="W166" s="4"/>
    </row>
    <row r="167" spans="2:25" s="148" customFormat="1" ht="15" x14ac:dyDescent="0.25">
      <c r="B167" s="1200" t="str">
        <f>[7]Збут!B167</f>
        <v>проушина 50 мм</v>
      </c>
      <c r="C167" s="1200" t="str">
        <f>[7]Збут!C167</f>
        <v>шт</v>
      </c>
      <c r="D167" s="1200">
        <f>[7]Збут!D167</f>
        <v>1</v>
      </c>
      <c r="E167" s="1200">
        <f>[7]Збут!E167</f>
        <v>6.5</v>
      </c>
      <c r="F167" s="1463">
        <f t="shared" si="8"/>
        <v>6.5</v>
      </c>
      <c r="H167" s="1464"/>
      <c r="I167" s="1464"/>
      <c r="W167" s="4"/>
    </row>
    <row r="168" spans="2:25" s="148" customFormat="1" ht="15" x14ac:dyDescent="0.25">
      <c r="B168" s="1200" t="str">
        <f>[7]Збут!B168</f>
        <v>лоток горизонтальний</v>
      </c>
      <c r="C168" s="1200" t="str">
        <f>[7]Збут!C168</f>
        <v>шт</v>
      </c>
      <c r="D168" s="1200">
        <f>[7]Збут!D168</f>
        <v>10</v>
      </c>
      <c r="E168" s="1200">
        <f>[7]Збут!E168</f>
        <v>87.623999999999995</v>
      </c>
      <c r="F168" s="1463">
        <f t="shared" si="8"/>
        <v>876.24</v>
      </c>
      <c r="H168" s="1464"/>
      <c r="I168" s="1464"/>
      <c r="W168" s="4"/>
    </row>
    <row r="169" spans="2:25" s="148" customFormat="1" ht="15" x14ac:dyDescent="0.25">
      <c r="B169" s="1200" t="str">
        <f>[7]Збут!B169</f>
        <v>лоток горизонтальний</v>
      </c>
      <c r="C169" s="1200" t="str">
        <f>[7]Збут!C169</f>
        <v>шт</v>
      </c>
      <c r="D169" s="1200">
        <f>[7]Збут!D169</f>
        <v>8</v>
      </c>
      <c r="E169" s="1200">
        <f>[7]Збут!E169</f>
        <v>108.91200000000001</v>
      </c>
      <c r="F169" s="1463">
        <f t="shared" si="8"/>
        <v>871.29600000000005</v>
      </c>
      <c r="H169" s="1464"/>
      <c r="I169" s="1464"/>
      <c r="W169" s="4"/>
    </row>
    <row r="170" spans="2:25" s="148" customFormat="1" ht="15" x14ac:dyDescent="0.25">
      <c r="B170" s="1200" t="str">
        <f>[7]Збут!B170</f>
        <v>калькулятор</v>
      </c>
      <c r="C170" s="1200" t="str">
        <f>[7]Збут!C170</f>
        <v>шт</v>
      </c>
      <c r="D170" s="1200">
        <f>[7]Збут!D170</f>
        <v>2</v>
      </c>
      <c r="E170" s="1200">
        <f>[7]Збут!E170</f>
        <v>402.27600000000001</v>
      </c>
      <c r="F170" s="1463">
        <f t="shared" si="8"/>
        <v>804.55200000000002</v>
      </c>
      <c r="H170" s="1464"/>
      <c r="I170" s="1464"/>
      <c r="W170" s="4"/>
    </row>
    <row r="171" spans="2:25" s="148" customFormat="1" ht="15" x14ac:dyDescent="0.25">
      <c r="B171" s="1200" t="str">
        <f>[7]Збут!B171</f>
        <v>вентилятор настільний</v>
      </c>
      <c r="C171" s="1200" t="str">
        <f>[7]Збут!C171</f>
        <v>шт</v>
      </c>
      <c r="D171" s="1200">
        <f>[7]Збут!D171</f>
        <v>1</v>
      </c>
      <c r="E171" s="1200">
        <f>[7]Збут!E171</f>
        <v>1008</v>
      </c>
      <c r="F171" s="1463">
        <f t="shared" si="8"/>
        <v>1008</v>
      </c>
      <c r="H171" s="1464"/>
      <c r="I171" s="1464"/>
      <c r="W171" s="4"/>
    </row>
    <row r="172" spans="2:25" s="148" customFormat="1" ht="15" x14ac:dyDescent="0.25">
      <c r="B172" s="1200">
        <f>[7]Збут!B172</f>
        <v>0</v>
      </c>
      <c r="C172" s="1200">
        <f>[7]Збут!C172</f>
        <v>0</v>
      </c>
      <c r="D172" s="1200">
        <f>[7]Збут!D172</f>
        <v>0</v>
      </c>
      <c r="E172" s="1200">
        <f>[7]Збут!E172</f>
        <v>0</v>
      </c>
      <c r="F172" s="1463">
        <f t="shared" si="8"/>
        <v>0</v>
      </c>
      <c r="H172" s="1464"/>
      <c r="I172" s="1464"/>
      <c r="W172" s="4"/>
    </row>
    <row r="173" spans="2:25" s="148" customFormat="1" ht="15" x14ac:dyDescent="0.25">
      <c r="B173" s="1200"/>
      <c r="C173" s="1200"/>
      <c r="D173" s="1200"/>
      <c r="E173" s="1200"/>
      <c r="F173" s="1463"/>
      <c r="H173" s="1464"/>
      <c r="I173" s="1464"/>
      <c r="W173" s="4"/>
    </row>
    <row r="174" spans="2:25" s="120" customFormat="1" ht="14.25" x14ac:dyDescent="0.2">
      <c r="B174" s="1206" t="s">
        <v>1075</v>
      </c>
      <c r="C174" s="1206"/>
      <c r="D174" s="1206"/>
      <c r="E174" s="1465"/>
      <c r="F174" s="1465">
        <f>SUM(F159:F173)</f>
        <v>25352.260000000002</v>
      </c>
      <c r="W174" s="110"/>
    </row>
    <row r="175" spans="2:25" ht="15.75" x14ac:dyDescent="0.25">
      <c r="K175" s="1366"/>
      <c r="L175" s="1366"/>
      <c r="M175" s="1366"/>
      <c r="N175" s="1366"/>
      <c r="X175" s="944"/>
      <c r="Y175" s="941"/>
    </row>
    <row r="176" spans="2:25" ht="15.75" x14ac:dyDescent="0.25">
      <c r="K176" s="1366"/>
      <c r="L176" s="1366"/>
      <c r="M176" s="1366"/>
      <c r="N176" s="1366"/>
      <c r="X176" s="944"/>
      <c r="Y176" s="941"/>
    </row>
    <row r="177" spans="1:25" ht="15.75" x14ac:dyDescent="0.25">
      <c r="K177" s="1366"/>
      <c r="L177" s="1366"/>
      <c r="M177" s="1366"/>
      <c r="N177" s="1366"/>
      <c r="X177" s="944"/>
      <c r="Y177" s="941"/>
    </row>
    <row r="178" spans="1:25" x14ac:dyDescent="0.2">
      <c r="X178" s="944"/>
      <c r="Y178" s="941"/>
    </row>
    <row r="179" spans="1:25" x14ac:dyDescent="0.2">
      <c r="G179" s="1096"/>
      <c r="H179" s="1096"/>
      <c r="I179" s="1096"/>
      <c r="M179" s="825" t="s">
        <v>1139</v>
      </c>
      <c r="N179" s="825"/>
      <c r="O179" s="825"/>
      <c r="P179" s="946"/>
      <c r="Q179" s="946"/>
      <c r="Y179" s="941"/>
    </row>
    <row r="180" spans="1:25" ht="18.75" hidden="1" x14ac:dyDescent="0.3">
      <c r="G180" s="1097" t="s">
        <v>1140</v>
      </c>
      <c r="H180" s="1096"/>
      <c r="I180" s="1096"/>
      <c r="M180" s="946"/>
      <c r="N180" s="946"/>
      <c r="O180" s="946"/>
      <c r="P180" s="946"/>
      <c r="Q180" s="946"/>
      <c r="X180" s="1467" t="s">
        <v>1141</v>
      </c>
      <c r="Y180" s="1467"/>
    </row>
    <row r="181" spans="1:25" ht="12.6" hidden="1" customHeight="1" x14ac:dyDescent="0.3">
      <c r="F181" s="1097"/>
      <c r="G181" s="1096"/>
      <c r="H181" s="1096"/>
      <c r="I181" s="1096"/>
      <c r="J181" s="946"/>
      <c r="K181" s="946"/>
      <c r="L181" s="1468">
        <f>[11]ВНС!N204</f>
        <v>0.56709344017781582</v>
      </c>
      <c r="M181" s="1468">
        <f>[11]ВНС!O204</f>
        <v>0.43290655982218407</v>
      </c>
      <c r="N181" s="1468">
        <f>'[11] ''К'' розподілу ЦВ та ХВ '!C30</f>
        <v>1</v>
      </c>
      <c r="O181" s="1468">
        <f>'[11] ''К'' розподілу ЦВ та ХВ '!D30</f>
        <v>0</v>
      </c>
      <c r="P181" s="1469">
        <f>P216/J216</f>
        <v>0</v>
      </c>
      <c r="Q181" s="1469"/>
      <c r="X181" s="1467">
        <v>12102</v>
      </c>
      <c r="Y181" s="1467" t="s">
        <v>1142</v>
      </c>
    </row>
    <row r="182" spans="1:25" ht="15" hidden="1" customHeight="1" x14ac:dyDescent="0.2">
      <c r="A182" s="1098" t="s">
        <v>737</v>
      </c>
      <c r="B182" s="1470" t="s">
        <v>738</v>
      </c>
      <c r="C182" s="1471"/>
      <c r="D182" s="1098" t="s">
        <v>739</v>
      </c>
      <c r="E182" s="1098" t="s">
        <v>740</v>
      </c>
      <c r="F182" s="1098" t="s">
        <v>741</v>
      </c>
      <c r="G182" s="2074" t="s">
        <v>742</v>
      </c>
      <c r="H182" s="2086"/>
      <c r="I182" s="2075"/>
      <c r="J182" s="1472" t="s">
        <v>968</v>
      </c>
      <c r="K182" s="1472"/>
      <c r="L182" s="1472"/>
      <c r="M182" s="1472"/>
      <c r="N182" s="1472"/>
      <c r="O182" s="1472"/>
      <c r="P182" s="1472"/>
      <c r="Q182" s="1473"/>
      <c r="R182" s="1302">
        <f>N216+O216+P216</f>
        <v>1784.126945780499</v>
      </c>
      <c r="S182" s="944">
        <f>7221995.35+2647592.63-49120.19</f>
        <v>9820467.790000001</v>
      </c>
      <c r="T182" s="944"/>
      <c r="U182" s="944"/>
      <c r="V182" s="944"/>
      <c r="X182" s="1467">
        <v>10628</v>
      </c>
      <c r="Y182" s="1467" t="s">
        <v>1143</v>
      </c>
    </row>
    <row r="183" spans="1:25" s="981" customFormat="1" ht="45.6" hidden="1" customHeight="1" x14ac:dyDescent="0.2">
      <c r="A183" s="1474"/>
      <c r="B183" s="1475"/>
      <c r="C183" s="1476"/>
      <c r="D183" s="1474"/>
      <c r="E183" s="1474"/>
      <c r="F183" s="1474"/>
      <c r="G183" s="1474" t="s">
        <v>229</v>
      </c>
      <c r="H183" s="1474" t="s">
        <v>970</v>
      </c>
      <c r="I183" s="1474" t="s">
        <v>971</v>
      </c>
      <c r="J183" s="1477" t="s">
        <v>920</v>
      </c>
      <c r="K183" s="1478"/>
      <c r="L183" s="1479" t="s">
        <v>1144</v>
      </c>
      <c r="M183" s="1479" t="s">
        <v>1145</v>
      </c>
      <c r="N183" s="1479" t="s">
        <v>1146</v>
      </c>
      <c r="O183" s="1479" t="s">
        <v>1147</v>
      </c>
      <c r="P183" s="1306" t="s">
        <v>1148</v>
      </c>
      <c r="Q183" s="1480"/>
      <c r="R183" s="1481">
        <f>J184-R184</f>
        <v>0</v>
      </c>
      <c r="S183" s="1482" t="s">
        <v>1149</v>
      </c>
      <c r="T183" s="1482" t="s">
        <v>1150</v>
      </c>
      <c r="U183" s="1482" t="s">
        <v>1151</v>
      </c>
      <c r="V183" s="1482" t="s">
        <v>1152</v>
      </c>
      <c r="X183" s="1483">
        <v>345</v>
      </c>
      <c r="Y183" s="1483" t="s">
        <v>1153</v>
      </c>
    </row>
    <row r="184" spans="1:25" ht="13.9" hidden="1" customHeight="1" x14ac:dyDescent="0.25">
      <c r="A184" s="1100">
        <v>1</v>
      </c>
      <c r="B184" s="2054" t="s">
        <v>1091</v>
      </c>
      <c r="C184" s="2056"/>
      <c r="D184" s="1484" t="s">
        <v>617</v>
      </c>
      <c r="E184" s="1317">
        <f>446.14166+54.44186</f>
        <v>500.58352000000002</v>
      </c>
      <c r="F184" s="1317">
        <f>446.14166+54.44186</f>
        <v>500.58352000000002</v>
      </c>
      <c r="G184" s="1317">
        <v>483.28323</v>
      </c>
      <c r="H184" s="1317">
        <f>G184*0.75923</f>
        <v>366.9231267129</v>
      </c>
      <c r="I184" s="1317">
        <f>G184-H184</f>
        <v>116.3601032871</v>
      </c>
      <c r="J184" s="1485">
        <f>K3</f>
        <v>3422.7583999999997</v>
      </c>
      <c r="K184" s="1330">
        <f>L184+M184</f>
        <v>2235.0603199999991</v>
      </c>
      <c r="L184" s="1330">
        <f>(J184-P184-M3)*L$181</f>
        <v>1267.4880458737296</v>
      </c>
      <c r="M184" s="1330">
        <f>(J184-P184-M3)*M$181</f>
        <v>967.57227412626969</v>
      </c>
      <c r="N184" s="1330">
        <f t="shared" ref="N184:N207" si="9">T184*$N$181</f>
        <v>1187.6980800000006</v>
      </c>
      <c r="O184" s="1330">
        <f t="shared" ref="O184:O207" si="10">T184*$O$181</f>
        <v>0</v>
      </c>
      <c r="P184" s="1330">
        <f>N3</f>
        <v>0</v>
      </c>
      <c r="Q184" s="1486"/>
      <c r="R184" s="1302">
        <f>SUM(L184:P184)</f>
        <v>3422.7583999999997</v>
      </c>
      <c r="S184" s="1096">
        <f t="shared" ref="S184:S207" si="11">L184+M184</f>
        <v>2235.0603199999991</v>
      </c>
      <c r="T184" s="1096">
        <f t="shared" ref="T184:T207" si="12">J184-K184-P184</f>
        <v>1187.6980800000006</v>
      </c>
      <c r="U184" s="1096">
        <f t="shared" ref="U184:V207" si="13">L184-H184</f>
        <v>900.5649191608295</v>
      </c>
      <c r="V184" s="1096">
        <f t="shared" si="13"/>
        <v>851.21217083916963</v>
      </c>
      <c r="X184" s="1467">
        <v>916</v>
      </c>
      <c r="Y184" s="1467" t="s">
        <v>1154</v>
      </c>
    </row>
    <row r="185" spans="1:25" ht="13.9" hidden="1" customHeight="1" x14ac:dyDescent="0.25">
      <c r="A185" s="1100">
        <v>2</v>
      </c>
      <c r="B185" s="2054" t="s">
        <v>818</v>
      </c>
      <c r="C185" s="2056"/>
      <c r="D185" s="1484" t="s">
        <v>617</v>
      </c>
      <c r="E185" s="1317">
        <f>159.74509+17.34928</f>
        <v>177.09437</v>
      </c>
      <c r="F185" s="1317">
        <f>159.74509+17.34928</f>
        <v>177.09437</v>
      </c>
      <c r="G185" s="1317">
        <v>183.02</v>
      </c>
      <c r="H185" s="1317">
        <f>G185*0.75923</f>
        <v>138.95427459999999</v>
      </c>
      <c r="I185" s="1317">
        <f t="shared" ref="I185:I212" si="14">G185-H185</f>
        <v>44.065725400000019</v>
      </c>
      <c r="J185" s="1485">
        <f>K4</f>
        <v>753.00684799999999</v>
      </c>
      <c r="K185" s="1330">
        <f t="shared" ref="K185:K215" si="15">L185+M185</f>
        <v>491.71327039999994</v>
      </c>
      <c r="L185" s="1330">
        <f>(J185-P185-M4)*L$181</f>
        <v>278.84737009222056</v>
      </c>
      <c r="M185" s="1330">
        <f>(J185-P185-M4)*M$181</f>
        <v>212.86590030777936</v>
      </c>
      <c r="N185" s="1330">
        <f t="shared" si="9"/>
        <v>261.29357760000005</v>
      </c>
      <c r="O185" s="1330">
        <f t="shared" si="10"/>
        <v>0</v>
      </c>
      <c r="P185" s="1330">
        <f>N4</f>
        <v>0</v>
      </c>
      <c r="Q185" s="1486"/>
      <c r="R185" s="1302">
        <f t="shared" ref="R185:R216" si="16">SUM(L185:P185)</f>
        <v>753.00684799999999</v>
      </c>
      <c r="S185" s="1096">
        <f t="shared" si="11"/>
        <v>491.71327039999994</v>
      </c>
      <c r="T185" s="1096">
        <f t="shared" si="12"/>
        <v>261.29357760000005</v>
      </c>
      <c r="U185" s="1096">
        <f t="shared" si="13"/>
        <v>139.89309549222057</v>
      </c>
      <c r="V185" s="1096">
        <f t="shared" si="13"/>
        <v>168.80017490777934</v>
      </c>
      <c r="W185" s="1074"/>
      <c r="Y185" s="941"/>
    </row>
    <row r="186" spans="1:25" ht="13.9" hidden="1" customHeight="1" x14ac:dyDescent="0.25">
      <c r="A186" s="1100">
        <v>3</v>
      </c>
      <c r="B186" s="2054" t="s">
        <v>1155</v>
      </c>
      <c r="C186" s="2056"/>
      <c r="D186" s="1484" t="s">
        <v>617</v>
      </c>
      <c r="E186" s="1317">
        <f>24.12847+22.38781</f>
        <v>46.516280000000002</v>
      </c>
      <c r="F186" s="1317">
        <f>24.12847+22.38781</f>
        <v>46.516280000000002</v>
      </c>
      <c r="G186" s="1317">
        <v>2.12</v>
      </c>
      <c r="H186" s="1317">
        <f>G186*0.7379</f>
        <v>1.5643480000000001</v>
      </c>
      <c r="I186" s="1317">
        <f t="shared" si="14"/>
        <v>0.55565200000000003</v>
      </c>
      <c r="J186" s="1485">
        <f>K7</f>
        <v>239.13528818049841</v>
      </c>
      <c r="K186" s="1330">
        <f t="shared" si="15"/>
        <v>0</v>
      </c>
      <c r="L186" s="1330">
        <f>(J186-P186-M7)*L$181</f>
        <v>0</v>
      </c>
      <c r="M186" s="1330">
        <f>(J186-P186-M7)*M$181</f>
        <v>0</v>
      </c>
      <c r="N186" s="1330">
        <f t="shared" si="9"/>
        <v>239.13528818049841</v>
      </c>
      <c r="O186" s="1330">
        <f t="shared" si="10"/>
        <v>0</v>
      </c>
      <c r="P186" s="1330"/>
      <c r="Q186" s="1486"/>
      <c r="R186" s="1302">
        <f t="shared" si="16"/>
        <v>239.13528818049841</v>
      </c>
      <c r="S186" s="1096">
        <f t="shared" si="11"/>
        <v>0</v>
      </c>
      <c r="T186" s="1096">
        <f t="shared" si="12"/>
        <v>239.13528818049841</v>
      </c>
      <c r="U186" s="1096">
        <f t="shared" si="13"/>
        <v>-1.5643480000000001</v>
      </c>
      <c r="V186" s="1096">
        <f t="shared" si="13"/>
        <v>-0.55565200000000003</v>
      </c>
      <c r="W186" s="1125">
        <f>P186/J186</f>
        <v>0</v>
      </c>
      <c r="X186" s="941">
        <f>X181+X183+X184</f>
        <v>13363</v>
      </c>
      <c r="Y186" s="941"/>
    </row>
    <row r="187" spans="1:25" ht="13.9" hidden="1" customHeight="1" x14ac:dyDescent="0.25">
      <c r="A187" s="1100">
        <v>4</v>
      </c>
      <c r="B187" s="2054" t="s">
        <v>649</v>
      </c>
      <c r="C187" s="2056"/>
      <c r="D187" s="1484" t="s">
        <v>617</v>
      </c>
      <c r="E187" s="1317">
        <v>3.16839</v>
      </c>
      <c r="F187" s="1317">
        <v>3.16839</v>
      </c>
      <c r="G187" s="1317">
        <v>3.27</v>
      </c>
      <c r="H187" s="1317">
        <f t="shared" ref="H187:H200" si="17">G187*0.7379</f>
        <v>2.4129330000000002</v>
      </c>
      <c r="I187" s="1317">
        <f t="shared" si="14"/>
        <v>0.8570669999999998</v>
      </c>
      <c r="J187" s="1485">
        <f>K5</f>
        <v>44.471039999999988</v>
      </c>
      <c r="K187" s="1330">
        <f t="shared" si="15"/>
        <v>44.471039999999981</v>
      </c>
      <c r="L187" s="1330">
        <f>(J187-P187)*L$181</f>
        <v>25.219235061885247</v>
      </c>
      <c r="M187" s="1330">
        <f>(J187-P187)*M$181</f>
        <v>19.251804938114734</v>
      </c>
      <c r="N187" s="1330">
        <f t="shared" si="9"/>
        <v>7.1054273576010019E-15</v>
      </c>
      <c r="O187" s="1330">
        <f t="shared" si="10"/>
        <v>0</v>
      </c>
      <c r="P187" s="1330"/>
      <c r="Q187" s="1486"/>
      <c r="R187" s="1302">
        <f t="shared" si="16"/>
        <v>44.471039999999988</v>
      </c>
      <c r="S187" s="1096">
        <f t="shared" si="11"/>
        <v>44.471039999999981</v>
      </c>
      <c r="T187" s="1096">
        <f t="shared" si="12"/>
        <v>7.1054273576010019E-15</v>
      </c>
      <c r="U187" s="1096">
        <f t="shared" si="13"/>
        <v>22.806302061885248</v>
      </c>
      <c r="V187" s="1096">
        <f t="shared" si="13"/>
        <v>18.394737938114734</v>
      </c>
      <c r="W187" s="1125"/>
      <c r="X187" s="941">
        <f>(X183+X184)/X186</f>
        <v>9.4365037790915207E-2</v>
      </c>
      <c r="Y187" s="941"/>
    </row>
    <row r="188" spans="1:25" ht="13.9" hidden="1" customHeight="1" x14ac:dyDescent="0.25">
      <c r="A188" s="1100">
        <v>4</v>
      </c>
      <c r="B188" s="2054" t="s">
        <v>1156</v>
      </c>
      <c r="C188" s="2056"/>
      <c r="D188" s="1484" t="s">
        <v>617</v>
      </c>
      <c r="E188" s="1317">
        <v>3.16839</v>
      </c>
      <c r="F188" s="1317">
        <v>3.16839</v>
      </c>
      <c r="G188" s="1317">
        <v>3.27</v>
      </c>
      <c r="H188" s="1317">
        <f t="shared" si="17"/>
        <v>2.4129330000000002</v>
      </c>
      <c r="I188" s="1317">
        <f t="shared" si="14"/>
        <v>0.8570669999999998</v>
      </c>
      <c r="J188" s="1485">
        <f>K12</f>
        <v>26.4</v>
      </c>
      <c r="K188" s="1330">
        <f t="shared" si="15"/>
        <v>26.4</v>
      </c>
      <c r="L188" s="1330">
        <f>(J188-P188)*L$181</f>
        <v>14.971266820694337</v>
      </c>
      <c r="M188" s="1330">
        <f>(J188-P188)*M$181</f>
        <v>11.428733179305659</v>
      </c>
      <c r="N188" s="1330">
        <f t="shared" si="9"/>
        <v>0</v>
      </c>
      <c r="O188" s="1330">
        <f t="shared" si="10"/>
        <v>0</v>
      </c>
      <c r="P188" s="1330"/>
      <c r="Q188" s="1486"/>
      <c r="R188" s="1302">
        <f t="shared" ref="R188" si="18">SUM(L188:P188)</f>
        <v>26.4</v>
      </c>
      <c r="S188" s="1096">
        <f t="shared" si="11"/>
        <v>26.4</v>
      </c>
      <c r="T188" s="1096">
        <f t="shared" si="12"/>
        <v>0</v>
      </c>
      <c r="U188" s="1096">
        <f t="shared" si="13"/>
        <v>12.558333820694337</v>
      </c>
      <c r="V188" s="1096">
        <f t="shared" si="13"/>
        <v>10.571666179305659</v>
      </c>
      <c r="W188" s="1125"/>
      <c r="X188" s="941">
        <f>(X184+X185)/X187</f>
        <v>9706.9849325931809</v>
      </c>
      <c r="Y188" s="941"/>
    </row>
    <row r="189" spans="1:25" ht="13.9" hidden="1" customHeight="1" x14ac:dyDescent="0.25">
      <c r="A189" s="1100">
        <v>5</v>
      </c>
      <c r="B189" s="2054" t="s">
        <v>1157</v>
      </c>
      <c r="C189" s="2056"/>
      <c r="D189" s="1484" t="s">
        <v>617</v>
      </c>
      <c r="E189" s="1317">
        <f>1.08651+0.6286</f>
        <v>1.7151100000000001</v>
      </c>
      <c r="F189" s="1317">
        <f>1.08651+0.6286</f>
        <v>1.7151100000000001</v>
      </c>
      <c r="G189" s="1317">
        <v>3.49</v>
      </c>
      <c r="H189" s="1317">
        <f t="shared" si="17"/>
        <v>2.5752710000000003</v>
      </c>
      <c r="I189" s="1317">
        <f t="shared" si="14"/>
        <v>0.9147289999999999</v>
      </c>
      <c r="J189" s="1485">
        <f>K11+K10</f>
        <v>142.149</v>
      </c>
      <c r="K189" s="1330">
        <f t="shared" si="15"/>
        <v>46.149000000000001</v>
      </c>
      <c r="L189" s="1330">
        <f>(J189-P189-M11)*L$181</f>
        <v>26.170795170766024</v>
      </c>
      <c r="M189" s="1330">
        <f>(J189-P189-M11)*M$181</f>
        <v>19.978204829233974</v>
      </c>
      <c r="N189" s="1330">
        <f t="shared" si="9"/>
        <v>96</v>
      </c>
      <c r="O189" s="1330">
        <f t="shared" si="10"/>
        <v>0</v>
      </c>
      <c r="P189" s="1330"/>
      <c r="Q189" s="1486"/>
      <c r="R189" s="1302">
        <f t="shared" si="16"/>
        <v>142.149</v>
      </c>
      <c r="S189" s="1096">
        <f t="shared" si="11"/>
        <v>46.149000000000001</v>
      </c>
      <c r="T189" s="1096">
        <f t="shared" si="12"/>
        <v>96</v>
      </c>
      <c r="U189" s="1096">
        <f t="shared" si="13"/>
        <v>23.595524170766023</v>
      </c>
      <c r="V189" s="1096">
        <f t="shared" si="13"/>
        <v>19.063475829233973</v>
      </c>
      <c r="W189" s="1125"/>
      <c r="Y189" s="941"/>
    </row>
    <row r="190" spans="1:25" ht="13.9" hidden="1" customHeight="1" x14ac:dyDescent="0.25">
      <c r="A190" s="1100">
        <v>5</v>
      </c>
      <c r="B190" s="2054" t="s">
        <v>1158</v>
      </c>
      <c r="C190" s="2056"/>
      <c r="D190" s="1484" t="s">
        <v>617</v>
      </c>
      <c r="E190" s="1317"/>
      <c r="F190" s="1317"/>
      <c r="G190" s="1317"/>
      <c r="H190" s="1317"/>
      <c r="I190" s="1317"/>
      <c r="J190" s="1485">
        <f>K14</f>
        <v>1.875</v>
      </c>
      <c r="K190" s="1330">
        <f>L190+M190</f>
        <v>1.8749999999999998</v>
      </c>
      <c r="L190" s="1330">
        <f>(J190-P190-M13)*L$181</f>
        <v>1.0633002003334047</v>
      </c>
      <c r="M190" s="1330">
        <f>(J190-P190-M13)*M$181</f>
        <v>0.81169979966659511</v>
      </c>
      <c r="N190" s="1330">
        <f t="shared" si="9"/>
        <v>2.2204460492503131E-16</v>
      </c>
      <c r="O190" s="1330">
        <f t="shared" si="10"/>
        <v>0</v>
      </c>
      <c r="P190" s="1330"/>
      <c r="Q190" s="1486"/>
      <c r="R190" s="1302">
        <f>SUM(L190:P190)</f>
        <v>1.875</v>
      </c>
      <c r="S190" s="1096">
        <f t="shared" si="11"/>
        <v>1.8749999999999998</v>
      </c>
      <c r="T190" s="1096">
        <f t="shared" si="12"/>
        <v>2.2204460492503131E-16</v>
      </c>
      <c r="U190" s="1096">
        <f t="shared" si="13"/>
        <v>1.0633002003334047</v>
      </c>
      <c r="V190" s="1096">
        <f t="shared" si="13"/>
        <v>0.81169979966659511</v>
      </c>
      <c r="W190" s="1125"/>
      <c r="Y190" s="941"/>
    </row>
    <row r="191" spans="1:25" s="1334" customFormat="1" ht="13.9" hidden="1" customHeight="1" x14ac:dyDescent="0.25">
      <c r="A191" s="1100">
        <v>6</v>
      </c>
      <c r="B191" s="2054" t="s">
        <v>1028</v>
      </c>
      <c r="C191" s="2056"/>
      <c r="D191" s="1484" t="s">
        <v>617</v>
      </c>
      <c r="E191" s="1317">
        <v>5.8</v>
      </c>
      <c r="F191" s="1317">
        <v>5.8</v>
      </c>
      <c r="G191" s="1317">
        <v>3.28</v>
      </c>
      <c r="H191" s="1317">
        <f t="shared" si="17"/>
        <v>2.420312</v>
      </c>
      <c r="I191" s="1317">
        <f t="shared" si="14"/>
        <v>0.85968799999999979</v>
      </c>
      <c r="J191" s="1485">
        <f>K13</f>
        <v>58.8</v>
      </c>
      <c r="K191" s="1330">
        <f t="shared" si="15"/>
        <v>58.79999999999999</v>
      </c>
      <c r="L191" s="1330">
        <f t="shared" ref="L191:L207" si="19">(J191-P191)*L$181</f>
        <v>33.34509428245557</v>
      </c>
      <c r="M191" s="1330">
        <f t="shared" ref="M191:M207" si="20">(J191-P191)*M$181</f>
        <v>25.45490571754442</v>
      </c>
      <c r="N191" s="1330">
        <f t="shared" si="9"/>
        <v>7.1054273576010019E-15</v>
      </c>
      <c r="O191" s="1330">
        <f t="shared" si="10"/>
        <v>0</v>
      </c>
      <c r="P191" s="1330"/>
      <c r="Q191" s="1486"/>
      <c r="R191" s="1302">
        <f t="shared" si="16"/>
        <v>58.8</v>
      </c>
      <c r="S191" s="1096">
        <f t="shared" si="11"/>
        <v>58.79999999999999</v>
      </c>
      <c r="T191" s="1096">
        <f t="shared" si="12"/>
        <v>7.1054273576010019E-15</v>
      </c>
      <c r="U191" s="1096">
        <f t="shared" si="13"/>
        <v>30.92478228245557</v>
      </c>
      <c r="V191" s="1096">
        <f t="shared" si="13"/>
        <v>24.595217717544422</v>
      </c>
      <c r="W191" s="1060"/>
    </row>
    <row r="192" spans="1:25" s="1334" customFormat="1" ht="13.9" hidden="1" customHeight="1" x14ac:dyDescent="0.25">
      <c r="A192" s="1100"/>
      <c r="B192" s="2054" t="s">
        <v>1030</v>
      </c>
      <c r="C192" s="2056"/>
      <c r="D192" s="1484" t="s">
        <v>617</v>
      </c>
      <c r="E192" s="1317">
        <f>1.65083+0.39916</f>
        <v>2.0499900000000002</v>
      </c>
      <c r="F192" s="1317">
        <f>1.65083+0.39916</f>
        <v>2.0499900000000002</v>
      </c>
      <c r="G192" s="1317">
        <v>3.28</v>
      </c>
      <c r="H192" s="1317">
        <f t="shared" si="17"/>
        <v>2.420312</v>
      </c>
      <c r="I192" s="1317">
        <f>G192-H192</f>
        <v>0.85968799999999979</v>
      </c>
      <c r="J192" s="1485">
        <f>K15+K16</f>
        <v>25.5</v>
      </c>
      <c r="K192" s="1330">
        <f t="shared" si="15"/>
        <v>25.5</v>
      </c>
      <c r="L192" s="1330">
        <f t="shared" si="19"/>
        <v>14.460882724534304</v>
      </c>
      <c r="M192" s="1330">
        <f t="shared" si="20"/>
        <v>11.039117275465694</v>
      </c>
      <c r="N192" s="1330">
        <f t="shared" si="9"/>
        <v>0</v>
      </c>
      <c r="O192" s="1330">
        <f t="shared" si="10"/>
        <v>0</v>
      </c>
      <c r="P192" s="1330"/>
      <c r="Q192" s="1486"/>
      <c r="R192" s="1302">
        <f>SUM(L192:P192)</f>
        <v>25.5</v>
      </c>
      <c r="S192" s="1096">
        <f t="shared" si="11"/>
        <v>25.5</v>
      </c>
      <c r="T192" s="1096">
        <f t="shared" si="12"/>
        <v>0</v>
      </c>
      <c r="U192" s="1096">
        <f t="shared" si="13"/>
        <v>12.040570724534305</v>
      </c>
      <c r="V192" s="1096">
        <f t="shared" si="13"/>
        <v>10.179429275465694</v>
      </c>
      <c r="W192" s="1060"/>
    </row>
    <row r="193" spans="1:25" ht="13.9" hidden="1" customHeight="1" x14ac:dyDescent="0.25">
      <c r="A193" s="1100"/>
      <c r="B193" s="2054" t="s">
        <v>1001</v>
      </c>
      <c r="C193" s="2056"/>
      <c r="D193" s="1484" t="s">
        <v>617</v>
      </c>
      <c r="E193" s="1317">
        <f>0.4136+2.36544</f>
        <v>2.7790400000000002</v>
      </c>
      <c r="F193" s="1317">
        <f>0.4136+2.36544</f>
        <v>2.7790400000000002</v>
      </c>
      <c r="G193" s="1317">
        <v>2.3199999999999998</v>
      </c>
      <c r="H193" s="1317">
        <f t="shared" si="17"/>
        <v>1.7119279999999999</v>
      </c>
      <c r="I193" s="1317">
        <f t="shared" si="14"/>
        <v>0.60807199999999995</v>
      </c>
      <c r="J193" s="1485">
        <f>K17</f>
        <v>11.87499976</v>
      </c>
      <c r="K193" s="1330">
        <f t="shared" si="15"/>
        <v>11.874999759999998</v>
      </c>
      <c r="L193" s="1330">
        <f t="shared" si="19"/>
        <v>6.7342344660091369</v>
      </c>
      <c r="M193" s="1330">
        <f t="shared" si="20"/>
        <v>5.140765293990861</v>
      </c>
      <c r="N193" s="1330">
        <f t="shared" si="9"/>
        <v>1.7763568394002505E-15</v>
      </c>
      <c r="O193" s="1330">
        <f t="shared" si="10"/>
        <v>0</v>
      </c>
      <c r="P193" s="1330"/>
      <c r="Q193" s="1486"/>
      <c r="R193" s="1302">
        <f t="shared" si="16"/>
        <v>11.87499976</v>
      </c>
      <c r="S193" s="1096">
        <f t="shared" si="11"/>
        <v>11.874999759999998</v>
      </c>
      <c r="T193" s="1096">
        <f t="shared" si="12"/>
        <v>1.7763568394002505E-15</v>
      </c>
      <c r="U193" s="1096">
        <f t="shared" si="13"/>
        <v>5.0223064660091374</v>
      </c>
      <c r="V193" s="1096">
        <f t="shared" si="13"/>
        <v>4.5326932939908611</v>
      </c>
      <c r="W193" s="1060"/>
      <c r="Y193" s="941"/>
    </row>
    <row r="194" spans="1:25" s="1334" customFormat="1" ht="13.9" hidden="1" customHeight="1" x14ac:dyDescent="0.25">
      <c r="A194" s="1100"/>
      <c r="B194" s="2054" t="s">
        <v>714</v>
      </c>
      <c r="C194" s="2056"/>
      <c r="D194" s="1484" t="s">
        <v>617</v>
      </c>
      <c r="E194" s="1317">
        <v>0.51500000000000001</v>
      </c>
      <c r="F194" s="1317">
        <v>0.51500000000000001</v>
      </c>
      <c r="G194" s="1317">
        <v>1.0900000000000001</v>
      </c>
      <c r="H194" s="1317">
        <f t="shared" si="17"/>
        <v>0.80431100000000011</v>
      </c>
      <c r="I194" s="1317">
        <f t="shared" si="14"/>
        <v>0.28568899999999997</v>
      </c>
      <c r="J194" s="1485">
        <f>K19</f>
        <v>0.86099999999999999</v>
      </c>
      <c r="K194" s="1330">
        <f t="shared" si="15"/>
        <v>0.86099999999999988</v>
      </c>
      <c r="L194" s="1330">
        <f t="shared" si="19"/>
        <v>0.4882674519930994</v>
      </c>
      <c r="M194" s="1330">
        <f t="shared" si="20"/>
        <v>0.37273254800690048</v>
      </c>
      <c r="N194" s="1330">
        <f t="shared" si="9"/>
        <v>1.1102230246251565E-16</v>
      </c>
      <c r="O194" s="1330">
        <f t="shared" si="10"/>
        <v>0</v>
      </c>
      <c r="P194" s="1330"/>
      <c r="Q194" s="1486"/>
      <c r="R194" s="1302">
        <f t="shared" si="16"/>
        <v>0.86099999999999999</v>
      </c>
      <c r="S194" s="1096">
        <f t="shared" si="11"/>
        <v>0.86099999999999988</v>
      </c>
      <c r="T194" s="1096">
        <f t="shared" si="12"/>
        <v>1.1102230246251565E-16</v>
      </c>
      <c r="U194" s="1096">
        <f t="shared" si="13"/>
        <v>-0.31604354800690071</v>
      </c>
      <c r="V194" s="1096">
        <f t="shared" si="13"/>
        <v>8.7043548006900506E-2</v>
      </c>
      <c r="W194" s="1060"/>
    </row>
    <row r="195" spans="1:25" ht="13.9" hidden="1" customHeight="1" x14ac:dyDescent="0.25">
      <c r="A195" s="1100"/>
      <c r="B195" s="2054" t="s">
        <v>1159</v>
      </c>
      <c r="C195" s="2056"/>
      <c r="D195" s="1484" t="s">
        <v>617</v>
      </c>
      <c r="E195" s="1317">
        <f>6.42469+4.31286+0.1575+0.75213-0.04634-E212</f>
        <v>11.373229999999998</v>
      </c>
      <c r="F195" s="1317">
        <f>6.42469+4.31286+0.1575+0.75213-0.04634-F212</f>
        <v>11.373229999999998</v>
      </c>
      <c r="G195" s="1317">
        <v>8.17</v>
      </c>
      <c r="H195" s="1317">
        <f t="shared" si="17"/>
        <v>6.0286429999999998</v>
      </c>
      <c r="I195" s="1317">
        <f t="shared" si="14"/>
        <v>2.1413570000000002</v>
      </c>
      <c r="J195" s="1485">
        <f>K25+K26</f>
        <v>59.904022500000004</v>
      </c>
      <c r="K195" s="1330">
        <f t="shared" si="15"/>
        <v>59.904022499999996</v>
      </c>
      <c r="L195" s="1330">
        <f t="shared" si="19"/>
        <v>33.971178200014286</v>
      </c>
      <c r="M195" s="1330">
        <f t="shared" si="20"/>
        <v>25.93284429998571</v>
      </c>
      <c r="N195" s="1330">
        <f t="shared" si="9"/>
        <v>7.1054273576010019E-15</v>
      </c>
      <c r="O195" s="1330">
        <f t="shared" si="10"/>
        <v>0</v>
      </c>
      <c r="P195" s="1330"/>
      <c r="Q195" s="1486"/>
      <c r="R195" s="1302">
        <f t="shared" si="16"/>
        <v>59.904022500000004</v>
      </c>
      <c r="S195" s="1096">
        <f t="shared" si="11"/>
        <v>59.904022499999996</v>
      </c>
      <c r="T195" s="1096">
        <f t="shared" si="12"/>
        <v>7.1054273576010019E-15</v>
      </c>
      <c r="U195" s="1096">
        <f t="shared" si="13"/>
        <v>27.942535200014287</v>
      </c>
      <c r="V195" s="1096">
        <f t="shared" si="13"/>
        <v>23.791487299985711</v>
      </c>
      <c r="W195" s="1060"/>
      <c r="Y195" s="941"/>
    </row>
    <row r="196" spans="1:25" s="1334" customFormat="1" ht="13.9" hidden="1" customHeight="1" x14ac:dyDescent="0.25">
      <c r="A196" s="1100"/>
      <c r="B196" s="2054" t="s">
        <v>1074</v>
      </c>
      <c r="C196" s="2056"/>
      <c r="D196" s="1484" t="s">
        <v>617</v>
      </c>
      <c r="E196" s="1317">
        <f>3.03201+0.0425</f>
        <v>3.0745100000000001</v>
      </c>
      <c r="F196" s="1317">
        <f>3.03201+0.0425</f>
        <v>3.0745100000000001</v>
      </c>
      <c r="G196" s="1317">
        <v>3.25</v>
      </c>
      <c r="H196" s="1317">
        <f t="shared" si="17"/>
        <v>2.3981750000000002</v>
      </c>
      <c r="I196" s="1317">
        <f t="shared" si="14"/>
        <v>0.85182499999999983</v>
      </c>
      <c r="J196" s="1485">
        <f>K32</f>
        <v>91.350888800000007</v>
      </c>
      <c r="K196" s="1330">
        <f t="shared" si="15"/>
        <v>91.350888799999993</v>
      </c>
      <c r="L196" s="1330">
        <f t="shared" si="19"/>
        <v>51.804489792893108</v>
      </c>
      <c r="M196" s="1330">
        <f t="shared" si="20"/>
        <v>39.546399007106885</v>
      </c>
      <c r="N196" s="1330">
        <f t="shared" si="9"/>
        <v>1.4210854715202004E-14</v>
      </c>
      <c r="O196" s="1330">
        <f t="shared" si="10"/>
        <v>0</v>
      </c>
      <c r="P196" s="1330"/>
      <c r="Q196" s="1486"/>
      <c r="R196" s="1302">
        <f t="shared" si="16"/>
        <v>91.350888800000007</v>
      </c>
      <c r="S196" s="1096">
        <f t="shared" si="11"/>
        <v>91.350888799999993</v>
      </c>
      <c r="T196" s="1096">
        <f t="shared" si="12"/>
        <v>1.4210854715202004E-14</v>
      </c>
      <c r="U196" s="1096">
        <f t="shared" si="13"/>
        <v>49.406314792893106</v>
      </c>
      <c r="V196" s="1096">
        <f t="shared" si="13"/>
        <v>38.694574007106887</v>
      </c>
      <c r="W196" s="1060"/>
    </row>
    <row r="197" spans="1:25" s="1334" customFormat="1" ht="13.9" hidden="1" customHeight="1" x14ac:dyDescent="0.25">
      <c r="A197" s="1100"/>
      <c r="B197" s="2054" t="str">
        <f>B42</f>
        <v>Послуги по охороні об'єктів</v>
      </c>
      <c r="C197" s="2056"/>
      <c r="D197" s="1484" t="s">
        <v>617</v>
      </c>
      <c r="E197" s="1317">
        <v>0</v>
      </c>
      <c r="F197" s="1317">
        <v>0</v>
      </c>
      <c r="G197" s="1317">
        <v>0</v>
      </c>
      <c r="H197" s="1317">
        <f t="shared" si="17"/>
        <v>0</v>
      </c>
      <c r="I197" s="1317">
        <f t="shared" si="14"/>
        <v>0</v>
      </c>
      <c r="J197" s="1485">
        <f>K42</f>
        <v>55.91</v>
      </c>
      <c r="K197" s="1330">
        <f t="shared" si="15"/>
        <v>55.909999999999989</v>
      </c>
      <c r="L197" s="1330">
        <f t="shared" si="19"/>
        <v>31.706194240341681</v>
      </c>
      <c r="M197" s="1330">
        <f t="shared" si="20"/>
        <v>24.203805759658309</v>
      </c>
      <c r="N197" s="1330">
        <f t="shared" si="9"/>
        <v>7.1054273576010019E-15</v>
      </c>
      <c r="O197" s="1330">
        <f t="shared" si="10"/>
        <v>0</v>
      </c>
      <c r="P197" s="1330"/>
      <c r="Q197" s="1486"/>
      <c r="R197" s="1302">
        <f t="shared" si="16"/>
        <v>55.91</v>
      </c>
      <c r="S197" s="1096">
        <f t="shared" si="11"/>
        <v>55.909999999999989</v>
      </c>
      <c r="T197" s="1096">
        <f t="shared" si="12"/>
        <v>7.1054273576010019E-15</v>
      </c>
      <c r="U197" s="1096">
        <f t="shared" si="13"/>
        <v>31.706194240341681</v>
      </c>
      <c r="V197" s="1096">
        <f t="shared" si="13"/>
        <v>24.203805759658309</v>
      </c>
      <c r="W197" s="1060"/>
    </row>
    <row r="198" spans="1:25" s="1334" customFormat="1" ht="13.9" hidden="1" customHeight="1" x14ac:dyDescent="0.25">
      <c r="A198" s="1100"/>
      <c r="B198" s="2054" t="s">
        <v>1121</v>
      </c>
      <c r="C198" s="2056"/>
      <c r="D198" s="1484" t="s">
        <v>617</v>
      </c>
      <c r="E198" s="1317">
        <v>0</v>
      </c>
      <c r="F198" s="1317">
        <v>0</v>
      </c>
      <c r="G198" s="1317">
        <v>0</v>
      </c>
      <c r="H198" s="1317">
        <f>G198*0.7379</f>
        <v>0</v>
      </c>
      <c r="I198" s="1317">
        <f>G198-H198</f>
        <v>0</v>
      </c>
      <c r="J198" s="1485">
        <f>K20</f>
        <v>0</v>
      </c>
      <c r="K198" s="1330">
        <f>L198+M198</f>
        <v>0</v>
      </c>
      <c r="L198" s="1330">
        <f t="shared" si="19"/>
        <v>0</v>
      </c>
      <c r="M198" s="1330">
        <f t="shared" si="20"/>
        <v>0</v>
      </c>
      <c r="N198" s="1330">
        <f t="shared" si="9"/>
        <v>0</v>
      </c>
      <c r="O198" s="1330">
        <f t="shared" si="10"/>
        <v>0</v>
      </c>
      <c r="P198" s="1330"/>
      <c r="Q198" s="1486"/>
      <c r="R198" s="1302">
        <f>SUM(L198:P198)</f>
        <v>0</v>
      </c>
      <c r="S198" s="1096">
        <f t="shared" si="11"/>
        <v>0</v>
      </c>
      <c r="T198" s="1096">
        <f t="shared" si="12"/>
        <v>0</v>
      </c>
      <c r="U198" s="1096">
        <f t="shared" si="13"/>
        <v>0</v>
      </c>
      <c r="V198" s="1096">
        <f t="shared" si="13"/>
        <v>0</v>
      </c>
      <c r="W198" s="1060"/>
    </row>
    <row r="199" spans="1:25" s="1334" customFormat="1" ht="13.9" hidden="1" customHeight="1" x14ac:dyDescent="0.25">
      <c r="A199" s="1100"/>
      <c r="B199" s="2054" t="s">
        <v>1160</v>
      </c>
      <c r="C199" s="2056"/>
      <c r="D199" s="1484" t="s">
        <v>617</v>
      </c>
      <c r="E199" s="1317">
        <f>0.0204+1.7306</f>
        <v>1.7509999999999999</v>
      </c>
      <c r="F199" s="1317">
        <f>0.0204+1.7306</f>
        <v>1.7509999999999999</v>
      </c>
      <c r="G199" s="1317">
        <v>0.17</v>
      </c>
      <c r="H199" s="1317">
        <f t="shared" si="17"/>
        <v>0.125443</v>
      </c>
      <c r="I199" s="1317">
        <f t="shared" si="14"/>
        <v>4.4557000000000013E-2</v>
      </c>
      <c r="J199" s="1485">
        <f>K21</f>
        <v>99.99</v>
      </c>
      <c r="K199" s="1330">
        <f t="shared" si="15"/>
        <v>99.989999999999981</v>
      </c>
      <c r="L199" s="1330">
        <f t="shared" si="19"/>
        <v>56.703673083379805</v>
      </c>
      <c r="M199" s="1330">
        <f t="shared" si="20"/>
        <v>43.286326916620183</v>
      </c>
      <c r="N199" s="1330">
        <f t="shared" si="9"/>
        <v>1.4210854715202004E-14</v>
      </c>
      <c r="O199" s="1330">
        <f t="shared" si="10"/>
        <v>0</v>
      </c>
      <c r="P199" s="1330"/>
      <c r="Q199" s="1486"/>
      <c r="R199" s="1302">
        <f t="shared" si="16"/>
        <v>99.99</v>
      </c>
      <c r="S199" s="1096">
        <f t="shared" si="11"/>
        <v>99.989999999999981</v>
      </c>
      <c r="T199" s="1096">
        <f t="shared" si="12"/>
        <v>1.4210854715202004E-14</v>
      </c>
      <c r="U199" s="1096">
        <f t="shared" si="13"/>
        <v>56.578230083379808</v>
      </c>
      <c r="V199" s="1096">
        <f t="shared" si="13"/>
        <v>43.241769916620186</v>
      </c>
      <c r="W199" s="1060"/>
    </row>
    <row r="200" spans="1:25" ht="25.9" hidden="1" customHeight="1" x14ac:dyDescent="0.25">
      <c r="A200" s="1100"/>
      <c r="B200" s="2054" t="s">
        <v>1035</v>
      </c>
      <c r="C200" s="2056"/>
      <c r="D200" s="1484" t="s">
        <v>617</v>
      </c>
      <c r="E200" s="1317">
        <v>0.23980000000000001</v>
      </c>
      <c r="F200" s="1317">
        <v>0.23980000000000001</v>
      </c>
      <c r="G200" s="1317">
        <v>2.65</v>
      </c>
      <c r="H200" s="1317">
        <f t="shared" si="17"/>
        <v>1.955435</v>
      </c>
      <c r="I200" s="1317">
        <f t="shared" si="14"/>
        <v>0.69456499999999988</v>
      </c>
      <c r="J200" s="1485">
        <f>K22</f>
        <v>0.46416239999999992</v>
      </c>
      <c r="K200" s="1330">
        <f t="shared" si="15"/>
        <v>0.46416239999999986</v>
      </c>
      <c r="L200" s="1330">
        <f t="shared" si="19"/>
        <v>0.2632234522171914</v>
      </c>
      <c r="M200" s="1330">
        <f t="shared" si="20"/>
        <v>0.20093894778280849</v>
      </c>
      <c r="N200" s="1330">
        <f t="shared" si="9"/>
        <v>5.5511151231257827E-17</v>
      </c>
      <c r="O200" s="1330">
        <f t="shared" si="10"/>
        <v>0</v>
      </c>
      <c r="P200" s="1330"/>
      <c r="Q200" s="1486"/>
      <c r="R200" s="1302">
        <f t="shared" si="16"/>
        <v>0.46416239999999992</v>
      </c>
      <c r="S200" s="1096">
        <f t="shared" si="11"/>
        <v>0.46416239999999986</v>
      </c>
      <c r="T200" s="1096">
        <f t="shared" si="12"/>
        <v>5.5511151231257827E-17</v>
      </c>
      <c r="U200" s="1096">
        <f t="shared" si="13"/>
        <v>-1.6922115477828086</v>
      </c>
      <c r="V200" s="1096">
        <f t="shared" si="13"/>
        <v>-0.49362605221719136</v>
      </c>
      <c r="W200" s="1060"/>
      <c r="Y200" s="1096"/>
    </row>
    <row r="201" spans="1:25" ht="22.9" hidden="1" customHeight="1" x14ac:dyDescent="0.25">
      <c r="A201" s="1100"/>
      <c r="B201" s="2054" t="s">
        <v>683</v>
      </c>
      <c r="C201" s="2056"/>
      <c r="D201" s="1484" t="s">
        <v>617</v>
      </c>
      <c r="E201" s="1317">
        <f>SUM(E202:E209)</f>
        <v>22.410089999999997</v>
      </c>
      <c r="F201" s="1317">
        <f>SUM(F202:F209)</f>
        <v>22.410089999999997</v>
      </c>
      <c r="G201" s="1317">
        <v>11.6</v>
      </c>
      <c r="H201" s="1317">
        <f>SUM(H202:H209)</f>
        <v>17.217290000000002</v>
      </c>
      <c r="I201" s="1317">
        <f>SUM(I202:I209)</f>
        <v>6.1427099999999992</v>
      </c>
      <c r="J201" s="1485">
        <f>SUM(J202:J209)</f>
        <v>122.90537501075106</v>
      </c>
      <c r="K201" s="1330">
        <f>L201+M201</f>
        <v>122.90537501075104</v>
      </c>
      <c r="L201" s="1330">
        <f t="shared" si="19"/>
        <v>69.698831931191378</v>
      </c>
      <c r="M201" s="1330">
        <f t="shared" si="20"/>
        <v>53.206543079559673</v>
      </c>
      <c r="N201" s="1330">
        <f t="shared" si="9"/>
        <v>1.4210854715202004E-14</v>
      </c>
      <c r="O201" s="1330">
        <f t="shared" si="10"/>
        <v>0</v>
      </c>
      <c r="P201" s="1330">
        <v>0</v>
      </c>
      <c r="Q201" s="1486"/>
      <c r="R201" s="1302">
        <f t="shared" si="16"/>
        <v>122.90537501075106</v>
      </c>
      <c r="S201" s="1096">
        <f t="shared" si="11"/>
        <v>122.90537501075104</v>
      </c>
      <c r="T201" s="1096">
        <f t="shared" si="12"/>
        <v>1.4210854715202004E-14</v>
      </c>
      <c r="U201" s="1096">
        <f t="shared" si="13"/>
        <v>52.481541931191373</v>
      </c>
      <c r="V201" s="1096">
        <f t="shared" si="13"/>
        <v>47.063833079559672</v>
      </c>
      <c r="W201" s="1060"/>
      <c r="Y201" s="941"/>
    </row>
    <row r="202" spans="1:25" ht="13.9" hidden="1" customHeight="1" x14ac:dyDescent="0.25">
      <c r="A202" s="1100"/>
      <c r="B202" s="1101" t="s">
        <v>895</v>
      </c>
      <c r="C202" s="1102"/>
      <c r="D202" s="1484" t="s">
        <v>617</v>
      </c>
      <c r="E202" s="1337">
        <v>5.8511300000000004</v>
      </c>
      <c r="F202" s="1337">
        <v>5.8511300000000004</v>
      </c>
      <c r="G202" s="1487">
        <v>7.13</v>
      </c>
      <c r="H202" s="1488">
        <f>G202*0.739</f>
        <v>5.2690700000000001</v>
      </c>
      <c r="I202" s="1488">
        <f t="shared" si="14"/>
        <v>1.8609299999999998</v>
      </c>
      <c r="J202" s="1489">
        <f>K35</f>
        <v>49.167594803463501</v>
      </c>
      <c r="K202" s="1330">
        <f t="shared" si="15"/>
        <v>49.167594803463494</v>
      </c>
      <c r="L202" s="1490">
        <f t="shared" si="19"/>
        <v>27.882620482365017</v>
      </c>
      <c r="M202" s="1490">
        <f t="shared" si="20"/>
        <v>21.284974321098478</v>
      </c>
      <c r="N202" s="1330">
        <f t="shared" si="9"/>
        <v>7.1054273576010019E-15</v>
      </c>
      <c r="O202" s="1330">
        <f t="shared" si="10"/>
        <v>0</v>
      </c>
      <c r="P202" s="1490"/>
      <c r="Q202" s="1450"/>
      <c r="R202" s="1302">
        <f t="shared" si="16"/>
        <v>49.167594803463501</v>
      </c>
      <c r="S202" s="1096">
        <f t="shared" si="11"/>
        <v>49.167594803463494</v>
      </c>
      <c r="T202" s="1096">
        <f t="shared" si="12"/>
        <v>7.1054273576010019E-15</v>
      </c>
      <c r="U202" s="1096">
        <f t="shared" si="13"/>
        <v>22.613550482365017</v>
      </c>
      <c r="V202" s="1096">
        <f t="shared" si="13"/>
        <v>19.424044321098478</v>
      </c>
      <c r="W202" s="1060"/>
      <c r="Y202" s="941"/>
    </row>
    <row r="203" spans="1:25" ht="13.9" hidden="1" customHeight="1" x14ac:dyDescent="0.25">
      <c r="A203" s="1100"/>
      <c r="B203" s="1101" t="s">
        <v>1161</v>
      </c>
      <c r="C203" s="1102"/>
      <c r="D203" s="1484" t="s">
        <v>617</v>
      </c>
      <c r="E203" s="1337">
        <v>3.9795600000000002</v>
      </c>
      <c r="F203" s="1337">
        <v>3.9795600000000002</v>
      </c>
      <c r="G203" s="1487">
        <v>3.91</v>
      </c>
      <c r="H203" s="1488">
        <f>G203*0.738</f>
        <v>2.88558</v>
      </c>
      <c r="I203" s="1488">
        <f>G203-H203+0.01</f>
        <v>1.0344200000000001</v>
      </c>
      <c r="J203" s="1489">
        <f>K36</f>
        <v>61.926067707287558</v>
      </c>
      <c r="K203" s="1330">
        <f>L203+M203</f>
        <v>61.926067707287544</v>
      </c>
      <c r="L203" s="1490">
        <f t="shared" si="19"/>
        <v>35.117866772810046</v>
      </c>
      <c r="M203" s="1490">
        <f t="shared" si="20"/>
        <v>26.808200934477501</v>
      </c>
      <c r="N203" s="1330">
        <f t="shared" si="9"/>
        <v>1.4210854715202004E-14</v>
      </c>
      <c r="O203" s="1330">
        <f t="shared" si="10"/>
        <v>0</v>
      </c>
      <c r="P203" s="1490"/>
      <c r="Q203" s="1450"/>
      <c r="R203" s="1302">
        <f>SUM(L203:P203)</f>
        <v>61.926067707287558</v>
      </c>
      <c r="S203" s="1096">
        <f t="shared" si="11"/>
        <v>61.926067707287544</v>
      </c>
      <c r="T203" s="1096">
        <f t="shared" si="12"/>
        <v>1.4210854715202004E-14</v>
      </c>
      <c r="U203" s="1096">
        <f t="shared" si="13"/>
        <v>32.232286772810049</v>
      </c>
      <c r="V203" s="1096">
        <f t="shared" si="13"/>
        <v>25.7737809344775</v>
      </c>
      <c r="Y203" s="941"/>
    </row>
    <row r="204" spans="1:25" ht="13.9" hidden="1" customHeight="1" x14ac:dyDescent="0.25">
      <c r="A204" s="1100"/>
      <c r="B204" s="1101" t="s">
        <v>900</v>
      </c>
      <c r="C204" s="1102"/>
      <c r="D204" s="1484" t="s">
        <v>617</v>
      </c>
      <c r="E204" s="1337">
        <v>3.9795600000000002</v>
      </c>
      <c r="F204" s="1337">
        <v>3.9795600000000002</v>
      </c>
      <c r="G204" s="1487">
        <v>3.91</v>
      </c>
      <c r="H204" s="1488">
        <f>G204*0.738</f>
        <v>2.88558</v>
      </c>
      <c r="I204" s="1488">
        <f>G204-H204+0.01</f>
        <v>1.0344200000000001</v>
      </c>
      <c r="J204" s="1489">
        <f>K37</f>
        <v>0</v>
      </c>
      <c r="K204" s="1330">
        <f>L204+M204</f>
        <v>0</v>
      </c>
      <c r="L204" s="1490">
        <f t="shared" si="19"/>
        <v>0</v>
      </c>
      <c r="M204" s="1490">
        <f t="shared" si="20"/>
        <v>0</v>
      </c>
      <c r="N204" s="1330">
        <f t="shared" si="9"/>
        <v>0</v>
      </c>
      <c r="O204" s="1330">
        <f t="shared" si="10"/>
        <v>0</v>
      </c>
      <c r="P204" s="1490"/>
      <c r="Q204" s="1450"/>
      <c r="R204" s="1302">
        <f>SUM(L204:P204)</f>
        <v>0</v>
      </c>
      <c r="S204" s="1096">
        <f t="shared" si="11"/>
        <v>0</v>
      </c>
      <c r="T204" s="1096">
        <f t="shared" si="12"/>
        <v>0</v>
      </c>
      <c r="U204" s="1096">
        <f t="shared" si="13"/>
        <v>-2.88558</v>
      </c>
      <c r="V204" s="1096">
        <f t="shared" si="13"/>
        <v>-1.0344200000000001</v>
      </c>
      <c r="Y204" s="941"/>
    </row>
    <row r="205" spans="1:25" ht="13.9" hidden="1" customHeight="1" x14ac:dyDescent="0.25">
      <c r="A205" s="1100"/>
      <c r="B205" s="1101" t="s">
        <v>988</v>
      </c>
      <c r="C205" s="1102"/>
      <c r="D205" s="1484" t="s">
        <v>617</v>
      </c>
      <c r="E205" s="1337">
        <v>3.9795600000000002</v>
      </c>
      <c r="F205" s="1337">
        <v>3.9795600000000002</v>
      </c>
      <c r="G205" s="1487">
        <v>3.91</v>
      </c>
      <c r="H205" s="1488">
        <f>G205*0.738</f>
        <v>2.88558</v>
      </c>
      <c r="I205" s="1488">
        <f>G205-H205+0.01</f>
        <v>1.0344200000000001</v>
      </c>
      <c r="J205" s="1489">
        <f>K38</f>
        <v>11.260800000000001</v>
      </c>
      <c r="K205" s="1330">
        <f>L205+M205</f>
        <v>11.2608</v>
      </c>
      <c r="L205" s="1490">
        <f t="shared" si="19"/>
        <v>6.3859258111543493</v>
      </c>
      <c r="M205" s="1490">
        <f t="shared" si="20"/>
        <v>4.8748741888456513</v>
      </c>
      <c r="N205" s="1330">
        <f t="shared" si="9"/>
        <v>1.7763568394002505E-15</v>
      </c>
      <c r="O205" s="1330">
        <f t="shared" si="10"/>
        <v>0</v>
      </c>
      <c r="P205" s="1490"/>
      <c r="Q205" s="1450"/>
      <c r="R205" s="1302">
        <f>SUM(L205:P205)</f>
        <v>11.260800000000001</v>
      </c>
      <c r="S205" s="1096">
        <f t="shared" si="11"/>
        <v>11.2608</v>
      </c>
      <c r="T205" s="1096">
        <f t="shared" si="12"/>
        <v>1.7763568394002505E-15</v>
      </c>
      <c r="U205" s="1096">
        <f t="shared" si="13"/>
        <v>3.5003458111543493</v>
      </c>
      <c r="V205" s="1096">
        <f t="shared" si="13"/>
        <v>3.8404541888456514</v>
      </c>
      <c r="Y205" s="941"/>
    </row>
    <row r="206" spans="1:25" ht="13.9" hidden="1" customHeight="1" x14ac:dyDescent="0.25">
      <c r="A206" s="1100"/>
      <c r="B206" s="1101" t="s">
        <v>1093</v>
      </c>
      <c r="C206" s="1102"/>
      <c r="D206" s="1484" t="s">
        <v>617</v>
      </c>
      <c r="E206" s="1337">
        <v>3.9795600000000002</v>
      </c>
      <c r="F206" s="1337">
        <v>3.9795600000000002</v>
      </c>
      <c r="G206" s="1487">
        <v>3.91</v>
      </c>
      <c r="H206" s="1488">
        <f>G206*0.738</f>
        <v>2.88558</v>
      </c>
      <c r="I206" s="1488">
        <f>G206-H206+0.01</f>
        <v>1.0344200000000001</v>
      </c>
      <c r="J206" s="1489">
        <f>K39</f>
        <v>0</v>
      </c>
      <c r="K206" s="1330">
        <f>L206+M206</f>
        <v>0</v>
      </c>
      <c r="L206" s="1490">
        <f t="shared" si="19"/>
        <v>0</v>
      </c>
      <c r="M206" s="1490">
        <f t="shared" si="20"/>
        <v>0</v>
      </c>
      <c r="N206" s="1330">
        <f t="shared" si="9"/>
        <v>0</v>
      </c>
      <c r="O206" s="1330">
        <f t="shared" si="10"/>
        <v>0</v>
      </c>
      <c r="P206" s="1490"/>
      <c r="Q206" s="1450"/>
      <c r="R206" s="1302">
        <f>SUM(L206:P206)</f>
        <v>0</v>
      </c>
      <c r="S206" s="1096">
        <f t="shared" si="11"/>
        <v>0</v>
      </c>
      <c r="T206" s="1096">
        <f t="shared" si="12"/>
        <v>0</v>
      </c>
      <c r="U206" s="1096">
        <f t="shared" si="13"/>
        <v>-2.88558</v>
      </c>
      <c r="V206" s="1096">
        <f t="shared" si="13"/>
        <v>-1.0344200000000001</v>
      </c>
      <c r="Y206" s="941"/>
    </row>
    <row r="207" spans="1:25" ht="13.9" hidden="1" customHeight="1" x14ac:dyDescent="0.25">
      <c r="A207" s="1100"/>
      <c r="B207" s="1101" t="s">
        <v>1094</v>
      </c>
      <c r="C207" s="1103"/>
      <c r="D207" s="1484" t="s">
        <v>617</v>
      </c>
      <c r="E207" s="1337">
        <v>0.64071999999999996</v>
      </c>
      <c r="F207" s="1337">
        <v>0.64071999999999996</v>
      </c>
      <c r="G207" s="1487">
        <v>0.55000000000000004</v>
      </c>
      <c r="H207" s="1488">
        <f>G207*0.738</f>
        <v>0.40590000000000004</v>
      </c>
      <c r="I207" s="1488">
        <f t="shared" si="14"/>
        <v>0.14410000000000001</v>
      </c>
      <c r="J207" s="1489">
        <f>K40+K41</f>
        <v>0.55091250000000003</v>
      </c>
      <c r="K207" s="1330">
        <f t="shared" si="15"/>
        <v>0.55091249999999992</v>
      </c>
      <c r="L207" s="1490">
        <f t="shared" si="19"/>
        <v>0.31241886486196097</v>
      </c>
      <c r="M207" s="1490">
        <f t="shared" si="20"/>
        <v>0.23849363513803898</v>
      </c>
      <c r="N207" s="1330">
        <f t="shared" si="9"/>
        <v>1.1102230246251565E-16</v>
      </c>
      <c r="O207" s="1330">
        <f t="shared" si="10"/>
        <v>0</v>
      </c>
      <c r="P207" s="1490"/>
      <c r="Q207" s="1450"/>
      <c r="R207" s="1302">
        <f t="shared" si="16"/>
        <v>0.55091250000000003</v>
      </c>
      <c r="S207" s="1096">
        <f t="shared" si="11"/>
        <v>0.55091249999999992</v>
      </c>
      <c r="T207" s="1096">
        <f t="shared" si="12"/>
        <v>1.1102230246251565E-16</v>
      </c>
      <c r="U207" s="1096">
        <f t="shared" si="13"/>
        <v>-9.3481135138039073E-2</v>
      </c>
      <c r="V207" s="1096">
        <f t="shared" si="13"/>
        <v>9.4393635138038973E-2</v>
      </c>
      <c r="W207" s="1060"/>
      <c r="Y207" s="941"/>
    </row>
    <row r="208" spans="1:25" ht="13.9" hidden="1" customHeight="1" x14ac:dyDescent="0.25">
      <c r="A208" s="1100"/>
      <c r="B208" s="1101"/>
      <c r="C208" s="1102"/>
      <c r="D208" s="1484"/>
      <c r="E208" s="1337"/>
      <c r="F208" s="1337"/>
      <c r="G208" s="1487"/>
      <c r="H208" s="1488"/>
      <c r="I208" s="1488"/>
      <c r="J208" s="1489"/>
      <c r="K208" s="1330"/>
      <c r="L208" s="1490"/>
      <c r="M208" s="1490"/>
      <c r="N208" s="1330"/>
      <c r="O208" s="1330"/>
      <c r="P208" s="1490"/>
      <c r="Q208" s="1450"/>
      <c r="R208" s="1302"/>
      <c r="S208" s="1096"/>
      <c r="T208" s="1096"/>
      <c r="U208" s="1096"/>
      <c r="V208" s="1096"/>
      <c r="Y208" s="941"/>
    </row>
    <row r="209" spans="1:25" ht="13.9" hidden="1" customHeight="1" x14ac:dyDescent="0.25">
      <c r="A209" s="1100"/>
      <c r="B209" s="2071"/>
      <c r="C209" s="2073"/>
      <c r="D209" s="1484"/>
      <c r="E209" s="1337"/>
      <c r="F209" s="1337"/>
      <c r="G209" s="1487"/>
      <c r="H209" s="1488"/>
      <c r="I209" s="1488"/>
      <c r="J209" s="1489"/>
      <c r="K209" s="1330">
        <f t="shared" si="15"/>
        <v>0</v>
      </c>
      <c r="L209" s="1490"/>
      <c r="M209" s="1490"/>
      <c r="N209" s="1330">
        <f t="shared" ref="N209:N215" si="21">T209*$N$181</f>
        <v>0</v>
      </c>
      <c r="O209" s="1330">
        <f t="shared" ref="O209:O215" si="22">T209*$O$181</f>
        <v>0</v>
      </c>
      <c r="P209" s="1490"/>
      <c r="Q209" s="1450"/>
      <c r="R209" s="1302">
        <f t="shared" si="16"/>
        <v>0</v>
      </c>
      <c r="S209" s="1096"/>
      <c r="T209" s="1096">
        <f t="shared" ref="T209:T216" si="23">J209-K209-P209</f>
        <v>0</v>
      </c>
      <c r="U209" s="1096"/>
      <c r="V209" s="1096"/>
      <c r="Y209" s="941"/>
    </row>
    <row r="210" spans="1:25" ht="15.6" hidden="1" customHeight="1" x14ac:dyDescent="0.25">
      <c r="A210" s="1100"/>
      <c r="B210" s="2054" t="s">
        <v>1102</v>
      </c>
      <c r="C210" s="2056"/>
      <c r="D210" s="1484" t="s">
        <v>617</v>
      </c>
      <c r="E210" s="1491">
        <f t="shared" ref="E210:J210" si="24">SUM(E211:E214)</f>
        <v>1.8330799999999998</v>
      </c>
      <c r="F210" s="1491">
        <f t="shared" si="24"/>
        <v>1.8330799999999998</v>
      </c>
      <c r="G210" s="1491">
        <f t="shared" si="24"/>
        <v>4.1399999999999997</v>
      </c>
      <c r="H210" s="1491">
        <f t="shared" si="24"/>
        <v>3.055231</v>
      </c>
      <c r="I210" s="1491">
        <f t="shared" si="24"/>
        <v>1.0847690000000001</v>
      </c>
      <c r="J210" s="1492">
        <f t="shared" si="24"/>
        <v>62.156453913043471</v>
      </c>
      <c r="K210" s="1493">
        <f>L210+M210</f>
        <v>62.156453913043464</v>
      </c>
      <c r="L210" s="1494">
        <f>(J210-P210)*L$181</f>
        <v>35.248517278801685</v>
      </c>
      <c r="M210" s="1494">
        <f>(J210-P210)*M$181</f>
        <v>26.907936634241782</v>
      </c>
      <c r="N210" s="1330">
        <f t="shared" si="21"/>
        <v>7.1054273576010019E-15</v>
      </c>
      <c r="O210" s="1330">
        <f t="shared" si="22"/>
        <v>0</v>
      </c>
      <c r="P210" s="1134">
        <f>SUM(P211:P214)</f>
        <v>0</v>
      </c>
      <c r="Q210" s="954"/>
      <c r="R210" s="1302">
        <f t="shared" si="16"/>
        <v>62.156453913043471</v>
      </c>
      <c r="S210" s="1096">
        <f t="shared" ref="S210:S216" si="25">L210+M210</f>
        <v>62.156453913043464</v>
      </c>
      <c r="T210" s="1096">
        <f t="shared" si="23"/>
        <v>7.1054273576010019E-15</v>
      </c>
      <c r="U210" s="1096">
        <f t="shared" ref="U210:V216" si="26">L210-H210</f>
        <v>32.193286278801686</v>
      </c>
      <c r="V210" s="1096">
        <f t="shared" si="26"/>
        <v>25.823167634241781</v>
      </c>
      <c r="Y210" s="941"/>
    </row>
    <row r="211" spans="1:25" ht="13.9" hidden="1" customHeight="1" x14ac:dyDescent="0.25">
      <c r="A211" s="1100"/>
      <c r="B211" s="2071" t="s">
        <v>994</v>
      </c>
      <c r="C211" s="2073"/>
      <c r="D211" s="1484" t="s">
        <v>617</v>
      </c>
      <c r="E211" s="1488">
        <v>4.6339999999999999E-2</v>
      </c>
      <c r="F211" s="1488">
        <v>4.6339999999999999E-2</v>
      </c>
      <c r="G211" s="1495">
        <v>0.89</v>
      </c>
      <c r="H211" s="1488">
        <f>G211*0.7379</f>
        <v>0.65673100000000006</v>
      </c>
      <c r="I211" s="1488">
        <f t="shared" si="14"/>
        <v>0.23326899999999995</v>
      </c>
      <c r="J211" s="1489">
        <f>K48</f>
        <v>24.169999999999991</v>
      </c>
      <c r="K211" s="1493">
        <f t="shared" si="15"/>
        <v>24.169999999999987</v>
      </c>
      <c r="L211" s="1496">
        <f>(J211-P211-M45)*L$181</f>
        <v>13.706648449097804</v>
      </c>
      <c r="M211" s="1496">
        <f>(J211-P211-M45)*M$181</f>
        <v>10.463351550902185</v>
      </c>
      <c r="N211" s="1330">
        <f t="shared" si="21"/>
        <v>3.5527136788005009E-15</v>
      </c>
      <c r="O211" s="1330">
        <f t="shared" si="22"/>
        <v>0</v>
      </c>
      <c r="P211" s="1490"/>
      <c r="Q211" s="1450"/>
      <c r="R211" s="1302">
        <f t="shared" si="16"/>
        <v>24.169999999999991</v>
      </c>
      <c r="S211" s="1096">
        <f t="shared" si="25"/>
        <v>24.169999999999987</v>
      </c>
      <c r="T211" s="1096">
        <f t="shared" si="23"/>
        <v>3.5527136788005009E-15</v>
      </c>
      <c r="U211" s="1096">
        <f t="shared" si="26"/>
        <v>13.049917449097803</v>
      </c>
      <c r="V211" s="1096">
        <f t="shared" si="26"/>
        <v>10.230082550902186</v>
      </c>
      <c r="Y211" s="941"/>
    </row>
    <row r="212" spans="1:25" ht="13.9" hidden="1" customHeight="1" x14ac:dyDescent="0.25">
      <c r="A212" s="1100"/>
      <c r="B212" s="2084" t="s">
        <v>1162</v>
      </c>
      <c r="C212" s="2085"/>
      <c r="D212" s="1484" t="s">
        <v>617</v>
      </c>
      <c r="E212" s="1488">
        <v>0.22761000000000001</v>
      </c>
      <c r="F212" s="1488">
        <v>0.22761000000000001</v>
      </c>
      <c r="G212" s="1495">
        <v>0</v>
      </c>
      <c r="H212" s="1488">
        <f>G212*0.7379</f>
        <v>0</v>
      </c>
      <c r="I212" s="1488">
        <f t="shared" si="14"/>
        <v>0</v>
      </c>
      <c r="J212" s="1489">
        <f>K46</f>
        <v>11.762499999999999</v>
      </c>
      <c r="K212" s="1493">
        <f t="shared" si="15"/>
        <v>11.762499999999999</v>
      </c>
      <c r="L212" s="1496">
        <f>(J212-P212)*L$181</f>
        <v>6.6704365900915583</v>
      </c>
      <c r="M212" s="1496">
        <f>(J212-P212)*M$181</f>
        <v>5.0920634099084401</v>
      </c>
      <c r="N212" s="1330">
        <f t="shared" si="21"/>
        <v>0</v>
      </c>
      <c r="O212" s="1330">
        <f t="shared" si="22"/>
        <v>0</v>
      </c>
      <c r="P212" s="1490"/>
      <c r="Q212" s="1450"/>
      <c r="R212" s="1302">
        <f t="shared" si="16"/>
        <v>11.762499999999999</v>
      </c>
      <c r="S212" s="1096">
        <f t="shared" si="25"/>
        <v>11.762499999999999</v>
      </c>
      <c r="T212" s="1096">
        <f t="shared" si="23"/>
        <v>0</v>
      </c>
      <c r="U212" s="1096">
        <f t="shared" si="26"/>
        <v>6.6704365900915583</v>
      </c>
      <c r="V212" s="1096">
        <f t="shared" si="26"/>
        <v>5.0920634099084401</v>
      </c>
      <c r="Y212" s="941"/>
    </row>
    <row r="213" spans="1:25" ht="13.9" hidden="1" customHeight="1" x14ac:dyDescent="0.25">
      <c r="A213" s="1100"/>
      <c r="B213" s="2071" t="s">
        <v>993</v>
      </c>
      <c r="C213" s="2073"/>
      <c r="D213" s="1484" t="s">
        <v>617</v>
      </c>
      <c r="E213" s="1488">
        <v>1.5591299999999999</v>
      </c>
      <c r="F213" s="1488">
        <v>1.5591299999999999</v>
      </c>
      <c r="G213" s="1495">
        <v>3.25</v>
      </c>
      <c r="H213" s="1488">
        <f>G213*0.738</f>
        <v>2.3984999999999999</v>
      </c>
      <c r="I213" s="1488">
        <f>G213-H213</f>
        <v>0.85150000000000015</v>
      </c>
      <c r="J213" s="1489">
        <f>K47</f>
        <v>13.483953913043477</v>
      </c>
      <c r="K213" s="1493">
        <f t="shared" si="15"/>
        <v>13.483953913043475</v>
      </c>
      <c r="L213" s="1496">
        <f>(J213-P213-M47)*L$181</f>
        <v>7.6466618117469469</v>
      </c>
      <c r="M213" s="1496">
        <f>(J213-P213-M47)*M$181</f>
        <v>5.8372921012965291</v>
      </c>
      <c r="N213" s="1330">
        <f t="shared" si="21"/>
        <v>1.7763568394002505E-15</v>
      </c>
      <c r="O213" s="1330">
        <f t="shared" si="22"/>
        <v>0</v>
      </c>
      <c r="P213" s="1490"/>
      <c r="Q213" s="1450"/>
      <c r="R213" s="1302">
        <f t="shared" si="16"/>
        <v>13.483953913043477</v>
      </c>
      <c r="S213" s="1096">
        <f t="shared" si="25"/>
        <v>13.483953913043475</v>
      </c>
      <c r="T213" s="1096">
        <f t="shared" si="23"/>
        <v>1.7763568394002505E-15</v>
      </c>
      <c r="U213" s="1096">
        <f t="shared" si="26"/>
        <v>5.2481618117469466</v>
      </c>
      <c r="V213" s="1096">
        <f t="shared" si="26"/>
        <v>4.9857921012965285</v>
      </c>
      <c r="Y213" s="941"/>
    </row>
    <row r="214" spans="1:25" ht="13.9" hidden="1" customHeight="1" x14ac:dyDescent="0.25">
      <c r="A214" s="1100"/>
      <c r="B214" s="2071" t="s">
        <v>1163</v>
      </c>
      <c r="C214" s="2073"/>
      <c r="D214" s="1484" t="s">
        <v>617</v>
      </c>
      <c r="E214" s="1488"/>
      <c r="F214" s="1488"/>
      <c r="G214" s="1495"/>
      <c r="H214" s="1488">
        <f>G214*0.738</f>
        <v>0</v>
      </c>
      <c r="I214" s="1488">
        <f>G214-H214</f>
        <v>0</v>
      </c>
      <c r="J214" s="1489">
        <f>K50</f>
        <v>12.74</v>
      </c>
      <c r="K214" s="1493">
        <f t="shared" si="15"/>
        <v>12.739999999999998</v>
      </c>
      <c r="L214" s="1496">
        <f>(J214-P214)*L$181</f>
        <v>7.2247704278653737</v>
      </c>
      <c r="M214" s="1496">
        <f>(J214-P214)*M$181</f>
        <v>5.5152295721346247</v>
      </c>
      <c r="N214" s="1330">
        <f t="shared" si="21"/>
        <v>1.7763568394002505E-15</v>
      </c>
      <c r="O214" s="1330">
        <f t="shared" si="22"/>
        <v>0</v>
      </c>
      <c r="P214" s="1490"/>
      <c r="Q214" s="1450"/>
      <c r="R214" s="1302">
        <f t="shared" si="16"/>
        <v>12.74</v>
      </c>
      <c r="S214" s="1096">
        <f t="shared" si="25"/>
        <v>12.739999999999998</v>
      </c>
      <c r="T214" s="1096">
        <f t="shared" si="23"/>
        <v>1.7763568394002505E-15</v>
      </c>
      <c r="U214" s="1096">
        <f t="shared" si="26"/>
        <v>7.2247704278653737</v>
      </c>
      <c r="V214" s="1096">
        <f t="shared" si="26"/>
        <v>5.5152295721346247</v>
      </c>
      <c r="Y214" s="941"/>
    </row>
    <row r="215" spans="1:25" hidden="1" x14ac:dyDescent="0.2">
      <c r="E215" s="1497"/>
      <c r="F215" s="1497"/>
      <c r="G215" s="1497"/>
      <c r="H215" s="1498"/>
      <c r="I215" s="1498"/>
      <c r="J215" s="1499"/>
      <c r="K215" s="1330">
        <f t="shared" si="15"/>
        <v>0</v>
      </c>
      <c r="L215" s="1500"/>
      <c r="M215" s="1500"/>
      <c r="N215" s="1330">
        <f t="shared" si="21"/>
        <v>0</v>
      </c>
      <c r="O215" s="1330">
        <f t="shared" si="22"/>
        <v>0</v>
      </c>
      <c r="P215" s="1105"/>
      <c r="R215" s="1302">
        <f t="shared" si="16"/>
        <v>0</v>
      </c>
      <c r="S215" s="1096">
        <f t="shared" si="25"/>
        <v>0</v>
      </c>
      <c r="T215" s="1096">
        <f t="shared" si="23"/>
        <v>0</v>
      </c>
      <c r="U215" s="1096">
        <f t="shared" si="26"/>
        <v>0</v>
      </c>
      <c r="V215" s="1096">
        <f t="shared" si="26"/>
        <v>0</v>
      </c>
      <c r="Y215" s="941"/>
    </row>
    <row r="216" spans="1:25" hidden="1" x14ac:dyDescent="0.2">
      <c r="A216" s="1105"/>
      <c r="B216" s="1501" t="s">
        <v>1103</v>
      </c>
      <c r="C216" s="1502"/>
      <c r="D216" s="1484" t="s">
        <v>617</v>
      </c>
      <c r="E216" s="1491">
        <f t="shared" ref="E216:J216" si="27">SUM(E184:E201)+E210</f>
        <v>784.07180000000005</v>
      </c>
      <c r="F216" s="1491">
        <f t="shared" si="27"/>
        <v>784.07180000000005</v>
      </c>
      <c r="G216" s="1491">
        <f t="shared" si="27"/>
        <v>718.40322999999989</v>
      </c>
      <c r="H216" s="1491">
        <f t="shared" si="27"/>
        <v>552.97996631290005</v>
      </c>
      <c r="I216" s="1491">
        <f t="shared" si="27"/>
        <v>177.18326368710001</v>
      </c>
      <c r="J216" s="1503">
        <f t="shared" si="27"/>
        <v>5219.512478564292</v>
      </c>
      <c r="K216" s="1330">
        <f>L216+M216</f>
        <v>3435.3855327837937</v>
      </c>
      <c r="L216" s="1134">
        <f>SUM(L184:L201)+L210</f>
        <v>1948.1846001234605</v>
      </c>
      <c r="M216" s="1134">
        <f>SUM(M184:M201)+M210</f>
        <v>1487.2009326603331</v>
      </c>
      <c r="N216" s="1134">
        <f>SUM(N184:N201)+N210</f>
        <v>1784.126945780499</v>
      </c>
      <c r="O216" s="1134">
        <f>SUM(O184:O201)+O210</f>
        <v>0</v>
      </c>
      <c r="P216" s="1134">
        <f>SUM(P184:P201)-P210</f>
        <v>0</v>
      </c>
      <c r="Q216" s="954"/>
      <c r="R216" s="1302">
        <f t="shared" si="16"/>
        <v>5219.5124785642929</v>
      </c>
      <c r="S216" s="1096">
        <f t="shared" si="25"/>
        <v>3435.3855327837937</v>
      </c>
      <c r="T216" s="1096">
        <f t="shared" si="23"/>
        <v>1784.1269457804983</v>
      </c>
      <c r="U216" s="1096">
        <f t="shared" si="26"/>
        <v>1395.2046338105606</v>
      </c>
      <c r="V216" s="1096">
        <f t="shared" si="26"/>
        <v>1310.0176689732332</v>
      </c>
      <c r="Y216" s="941"/>
    </row>
    <row r="217" spans="1:25" ht="13.15" hidden="1" customHeight="1" x14ac:dyDescent="0.3">
      <c r="D217" s="1304"/>
      <c r="E217" s="944"/>
      <c r="G217" s="946">
        <v>711.85200000000009</v>
      </c>
      <c r="H217" s="1302">
        <v>539.49</v>
      </c>
      <c r="I217" s="1302">
        <v>172.36199999999999</v>
      </c>
      <c r="J217" s="1302">
        <f>SUM(L216:P216)</f>
        <v>5219.5124785642929</v>
      </c>
      <c r="K217" s="944"/>
      <c r="L217" s="1096">
        <f>M216+L216</f>
        <v>3435.3855327837937</v>
      </c>
      <c r="M217" s="946"/>
      <c r="N217" s="946"/>
      <c r="O217" s="946"/>
      <c r="P217" s="946"/>
      <c r="Q217" s="946"/>
      <c r="U217" s="1096">
        <f>U216+V216</f>
        <v>2705.2223027837936</v>
      </c>
      <c r="Y217" s="941"/>
    </row>
    <row r="218" spans="1:25" hidden="1" x14ac:dyDescent="0.2">
      <c r="D218" s="1504"/>
      <c r="E218" s="948"/>
      <c r="F218" s="948"/>
      <c r="I218" s="944"/>
      <c r="J218" s="1096">
        <f>K52</f>
        <v>5219.512478564292</v>
      </c>
      <c r="K218" s="948"/>
      <c r="L218" s="1096">
        <f>L217-L52</f>
        <v>48.13387499999908</v>
      </c>
      <c r="M218" s="946"/>
      <c r="N218" s="946"/>
      <c r="O218" s="946"/>
      <c r="P218" s="946"/>
      <c r="Q218" s="946"/>
      <c r="Y218" s="941"/>
    </row>
    <row r="219" spans="1:25" hidden="1" x14ac:dyDescent="0.2">
      <c r="D219" s="1504"/>
      <c r="E219" s="948"/>
      <c r="F219" s="948"/>
      <c r="G219" s="944"/>
      <c r="H219" s="944"/>
      <c r="I219" s="944"/>
      <c r="J219" s="944"/>
      <c r="K219" s="944"/>
      <c r="L219" s="1302">
        <f>J216-P216+[11]пов!AB87-[11]пов!AE87</f>
        <v>5219.5124785642911</v>
      </c>
      <c r="M219" s="946"/>
      <c r="N219" s="946"/>
      <c r="O219" s="946"/>
      <c r="P219" s="946"/>
      <c r="Q219" s="946"/>
      <c r="R219" s="944"/>
      <c r="Y219" s="941"/>
    </row>
    <row r="220" spans="1:25" hidden="1" x14ac:dyDescent="0.2">
      <c r="D220" s="1504"/>
      <c r="E220" s="948">
        <f>1022.39-E216</f>
        <v>238.31819999999993</v>
      </c>
      <c r="F220" s="948"/>
      <c r="G220" s="944"/>
      <c r="H220" s="944"/>
      <c r="I220" s="944"/>
      <c r="J220" s="944"/>
      <c r="K220" s="944"/>
      <c r="L220" s="948"/>
      <c r="M220" s="946"/>
      <c r="N220" s="946"/>
      <c r="O220" s="946"/>
      <c r="P220" s="946"/>
      <c r="Q220" s="946"/>
      <c r="R220" s="944"/>
      <c r="Y220" s="941"/>
    </row>
    <row r="221" spans="1:25" hidden="1" x14ac:dyDescent="0.2">
      <c r="D221" s="1340"/>
      <c r="F221" s="1096"/>
      <c r="L221" s="944"/>
      <c r="M221" s="946"/>
      <c r="N221" s="946"/>
      <c r="O221" s="946"/>
      <c r="P221" s="946"/>
      <c r="Q221" s="946"/>
      <c r="R221" s="944"/>
      <c r="Y221" s="941"/>
    </row>
    <row r="222" spans="1:25" hidden="1" x14ac:dyDescent="0.2">
      <c r="B222" s="148" t="s">
        <v>801</v>
      </c>
      <c r="C222" s="148"/>
      <c r="D222" s="148"/>
      <c r="E222" s="148"/>
      <c r="F222" s="148"/>
      <c r="G222" s="148"/>
      <c r="H222" s="148"/>
      <c r="I222" s="148"/>
      <c r="J222" s="148"/>
      <c r="K222" s="148"/>
      <c r="L222" s="148" t="s">
        <v>569</v>
      </c>
      <c r="M222" s="946"/>
      <c r="N222" s="946"/>
      <c r="O222" s="946"/>
      <c r="P222" s="946"/>
      <c r="Q222" s="946"/>
      <c r="R222" s="944"/>
      <c r="Y222" s="941"/>
    </row>
    <row r="223" spans="1:25" hidden="1" x14ac:dyDescent="0.2">
      <c r="D223" s="1340"/>
      <c r="F223" s="1096"/>
      <c r="M223" s="946"/>
      <c r="N223" s="946"/>
      <c r="O223" s="946"/>
      <c r="P223" s="946"/>
      <c r="Q223" s="946"/>
      <c r="R223" s="944"/>
      <c r="Y223" s="941"/>
    </row>
    <row r="224" spans="1:25" ht="7.9" hidden="1" customHeight="1" x14ac:dyDescent="0.3">
      <c r="E224" s="1301"/>
      <c r="M224" s="946"/>
      <c r="N224" s="946"/>
      <c r="O224" s="946"/>
      <c r="P224" s="946"/>
      <c r="Q224" s="946"/>
      <c r="Y224" s="941"/>
    </row>
    <row r="225" spans="24:25" hidden="1" x14ac:dyDescent="0.2">
      <c r="X225" s="944"/>
      <c r="Y225" s="941"/>
    </row>
    <row r="226" spans="24:25" hidden="1" x14ac:dyDescent="0.2">
      <c r="X226" s="944"/>
      <c r="Y226" s="941"/>
    </row>
    <row r="227" spans="24:25" hidden="1" x14ac:dyDescent="0.2">
      <c r="X227" s="944"/>
      <c r="Y227" s="941"/>
    </row>
    <row r="228" spans="24:25" x14ac:dyDescent="0.2">
      <c r="X228" s="944"/>
      <c r="Y228" s="941"/>
    </row>
    <row r="229" spans="24:25" x14ac:dyDescent="0.2">
      <c r="X229" s="944"/>
      <c r="Y229" s="941"/>
    </row>
    <row r="230" spans="24:25" x14ac:dyDescent="0.2">
      <c r="X230" s="944"/>
      <c r="Y230" s="941"/>
    </row>
    <row r="231" spans="24:25" x14ac:dyDescent="0.2">
      <c r="X231" s="944"/>
      <c r="Y231" s="941"/>
    </row>
  </sheetData>
  <mergeCells count="25">
    <mergeCell ref="B188:C188"/>
    <mergeCell ref="G182:I182"/>
    <mergeCell ref="B184:C184"/>
    <mergeCell ref="B185:C185"/>
    <mergeCell ref="B186:C186"/>
    <mergeCell ref="B187:C187"/>
    <mergeCell ref="B200:C200"/>
    <mergeCell ref="B189:C189"/>
    <mergeCell ref="B190:C190"/>
    <mergeCell ref="B191:C191"/>
    <mergeCell ref="B192:C192"/>
    <mergeCell ref="B193:C193"/>
    <mergeCell ref="B194:C194"/>
    <mergeCell ref="B195:C195"/>
    <mergeCell ref="B196:C196"/>
    <mergeCell ref="B197:C197"/>
    <mergeCell ref="B198:C198"/>
    <mergeCell ref="B199:C199"/>
    <mergeCell ref="B214:C214"/>
    <mergeCell ref="B201:C201"/>
    <mergeCell ref="B209:C209"/>
    <mergeCell ref="B210:C210"/>
    <mergeCell ref="B211:C211"/>
    <mergeCell ref="B212:C212"/>
    <mergeCell ref="B213:C213"/>
  </mergeCells>
  <pageMargins left="0.70866141732283472" right="0.70866141732283472" top="0.35433070866141736" bottom="0.35433070866141736" header="0.31496062992125984" footer="0.31496062992125984"/>
  <pageSetup paperSize="9" scale="80" orientation="landscape" r:id="rId1"/>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139"/>
  <sheetViews>
    <sheetView view="pageBreakPreview" zoomScale="93" zoomScaleNormal="100" zoomScaleSheetLayoutView="93" workbookViewId="0">
      <selection activeCell="AV26" sqref="AV26"/>
    </sheetView>
  </sheetViews>
  <sheetFormatPr defaultColWidth="8.85546875" defaultRowHeight="15" x14ac:dyDescent="0.25"/>
  <cols>
    <col min="1" max="1" width="3.42578125" style="1146" customWidth="1"/>
    <col min="2" max="2" width="41.5703125" style="1146" customWidth="1"/>
    <col min="3" max="3" width="9" style="1146" customWidth="1"/>
    <col min="4" max="4" width="8.5703125" style="1146" customWidth="1"/>
    <col min="5" max="5" width="7.7109375" style="1146" customWidth="1"/>
    <col min="6" max="6" width="11" style="1146" customWidth="1"/>
    <col min="7" max="7" width="8.28515625" style="1146" customWidth="1"/>
    <col min="8" max="8" width="6.5703125" style="1146" customWidth="1"/>
    <col min="9" max="9" width="10.28515625" style="1146" customWidth="1"/>
    <col min="10" max="10" width="7.140625" style="1146" customWidth="1"/>
    <col min="11" max="11" width="2" style="821" customWidth="1"/>
    <col min="12" max="12" width="7.7109375" style="821" customWidth="1"/>
    <col min="13" max="13" width="9.42578125" style="1692" hidden="1" customWidth="1"/>
    <col min="14" max="14" width="8" style="820" hidden="1" customWidth="1"/>
    <col min="15" max="15" width="7.5703125" style="1507" hidden="1" customWidth="1"/>
    <col min="16" max="16" width="8.140625" style="1508" hidden="1" customWidth="1"/>
    <col min="17" max="18" width="8" style="1509" hidden="1" customWidth="1"/>
    <col min="19" max="19" width="8.28515625" style="821" hidden="1" customWidth="1"/>
    <col min="20" max="20" width="12.5703125" style="824" hidden="1" customWidth="1"/>
    <col min="21" max="21" width="1.28515625" style="821" hidden="1" customWidth="1"/>
    <col min="22" max="22" width="4.42578125" style="821" hidden="1" customWidth="1"/>
    <col min="23" max="23" width="24.85546875" style="821" hidden="1" customWidth="1"/>
    <col min="24" max="24" width="6.7109375" style="821" hidden="1" customWidth="1"/>
    <col min="25" max="25" width="7" style="821" hidden="1" customWidth="1"/>
    <col min="26" max="26" width="9.85546875" style="821" hidden="1" customWidth="1"/>
    <col min="27" max="27" width="7.7109375" style="821" hidden="1" customWidth="1"/>
    <col min="28" max="28" width="12" style="821" hidden="1" customWidth="1"/>
    <col min="29" max="29" width="10.28515625" style="821" hidden="1" customWidth="1"/>
    <col min="30" max="30" width="11.42578125" style="821" hidden="1" customWidth="1"/>
    <col min="31" max="31" width="10.42578125" style="821" hidden="1" customWidth="1"/>
    <col min="32" max="32" width="8.85546875" style="821" hidden="1" customWidth="1"/>
    <col min="33" max="34" width="11.140625" style="821" hidden="1" customWidth="1"/>
    <col min="35" max="47" width="8.85546875" style="821" hidden="1" customWidth="1"/>
    <col min="48" max="61" width="8.85546875" style="821" customWidth="1"/>
    <col min="62" max="16384" width="8.85546875" style="821"/>
  </cols>
  <sheetData>
    <row r="1" spans="1:36" ht="39.75" customHeight="1" x14ac:dyDescent="0.25">
      <c r="B1" s="1505" t="s">
        <v>1164</v>
      </c>
      <c r="C1" s="735"/>
      <c r="D1" s="735"/>
      <c r="E1" s="735"/>
      <c r="F1" s="735"/>
      <c r="G1" s="735"/>
      <c r="H1" s="735"/>
      <c r="I1" s="825" t="s">
        <v>1165</v>
      </c>
      <c r="J1" s="825"/>
      <c r="K1" s="825"/>
      <c r="L1" s="1"/>
      <c r="M1" s="1506"/>
      <c r="V1" s="1"/>
      <c r="W1" s="1351"/>
      <c r="X1" s="1"/>
      <c r="Y1" s="1"/>
      <c r="Z1" s="1510"/>
      <c r="AA1" s="1510"/>
      <c r="AB1" s="1510"/>
      <c r="AC1" s="1510"/>
      <c r="AD1" s="825" t="s">
        <v>1166</v>
      </c>
      <c r="AE1" s="1510"/>
      <c r="AF1" s="1510"/>
      <c r="AG1" s="1510"/>
      <c r="AH1" s="1510"/>
    </row>
    <row r="2" spans="1:36" ht="20.25" hidden="1" customHeight="1" x14ac:dyDescent="0.25">
      <c r="B2" s="735"/>
      <c r="C2" s="1505"/>
      <c r="D2" s="735"/>
      <c r="E2" s="735"/>
      <c r="F2" s="735"/>
      <c r="G2" s="735"/>
      <c r="H2" s="735"/>
      <c r="I2" s="735"/>
      <c r="J2" s="735"/>
      <c r="K2" s="1"/>
      <c r="L2" s="1"/>
      <c r="M2" s="1511" t="s">
        <v>1167</v>
      </c>
      <c r="N2" s="1512" t="s">
        <v>1168</v>
      </c>
      <c r="O2" s="1513" t="s">
        <v>1169</v>
      </c>
      <c r="P2" s="1514" t="s">
        <v>1170</v>
      </c>
      <c r="Q2" s="1515" t="s">
        <v>1171</v>
      </c>
      <c r="R2" s="1516"/>
      <c r="S2" s="1517" t="s">
        <v>1172</v>
      </c>
      <c r="T2" s="1518" t="s">
        <v>1173</v>
      </c>
      <c r="V2" s="1"/>
      <c r="W2" s="421" t="s">
        <v>1174</v>
      </c>
      <c r="X2" s="1"/>
      <c r="Y2" s="1"/>
      <c r="Z2" s="1510"/>
      <c r="AA2" s="1510"/>
      <c r="AB2" s="1510"/>
      <c r="AC2" s="1510"/>
      <c r="AD2" s="1510"/>
      <c r="AE2" s="1510"/>
      <c r="AF2" s="1510"/>
      <c r="AG2" s="1510"/>
      <c r="AH2" s="1510"/>
    </row>
    <row r="3" spans="1:36" s="23" customFormat="1" ht="17.25" customHeight="1" x14ac:dyDescent="0.2">
      <c r="A3" s="729">
        <v>1</v>
      </c>
      <c r="B3" s="680" t="s">
        <v>83</v>
      </c>
      <c r="C3" s="1505"/>
      <c r="D3" s="735"/>
      <c r="E3" s="735"/>
      <c r="F3" s="735"/>
      <c r="G3" s="735"/>
      <c r="I3" s="1143">
        <f>I4+I5+I7+I9</f>
        <v>1583.2972518499998</v>
      </c>
      <c r="J3" s="681" t="s">
        <v>809</v>
      </c>
      <c r="K3" s="1"/>
      <c r="L3" s="211"/>
      <c r="M3" s="1519">
        <f>M4+M5+M9</f>
        <v>0</v>
      </c>
      <c r="N3" s="1519">
        <f>N4+N5+N9</f>
        <v>1388.9193460483357</v>
      </c>
      <c r="O3" s="1519">
        <f>O4+O5+O9</f>
        <v>926.82904903734925</v>
      </c>
      <c r="P3" s="1519">
        <f>P4+P5+P9</f>
        <v>462.09029701098649</v>
      </c>
      <c r="Q3" s="1519">
        <f>Q4+Q5+Q9</f>
        <v>194.3779058016641</v>
      </c>
      <c r="R3" s="843">
        <f>M3+N3+Q3</f>
        <v>1583.2972518499998</v>
      </c>
      <c r="S3" s="885"/>
      <c r="T3" s="886"/>
      <c r="V3" s="1"/>
      <c r="W3" s="1"/>
      <c r="X3" s="1"/>
      <c r="Y3" s="1"/>
      <c r="Z3" s="1510"/>
      <c r="AA3" s="1510"/>
      <c r="AB3" s="1510"/>
      <c r="AC3" s="139">
        <f>[11]ВНС!N207</f>
        <v>0.56796720921922805</v>
      </c>
      <c r="AD3" s="139">
        <f>[11]ВНС!O207</f>
        <v>0.43203279078077189</v>
      </c>
      <c r="AE3" s="1391">
        <v>0.5</v>
      </c>
      <c r="AF3" s="1520"/>
      <c r="AG3" s="1510"/>
      <c r="AH3" s="1510"/>
    </row>
    <row r="4" spans="1:36" s="23" customFormat="1" ht="12.75" x14ac:dyDescent="0.2">
      <c r="A4" s="1521" t="s">
        <v>345</v>
      </c>
      <c r="B4" s="680" t="s">
        <v>1175</v>
      </c>
      <c r="C4" s="680"/>
      <c r="D4" s="680"/>
      <c r="E4" s="1146"/>
      <c r="F4" s="1146"/>
      <c r="G4" s="1522">
        <f>I4+I93</f>
        <v>1141.3953241419076</v>
      </c>
      <c r="I4" s="1523">
        <f>([3]ФОТ!$BC$753)/1000</f>
        <v>527.61447999999996</v>
      </c>
      <c r="J4" s="681" t="s">
        <v>809</v>
      </c>
      <c r="K4" s="148"/>
      <c r="L4" s="211"/>
      <c r="M4" s="1524"/>
      <c r="N4" s="1384">
        <f t="shared" ref="N4:N16" si="0">O4+P4</f>
        <v>368.28832770355399</v>
      </c>
      <c r="O4" s="1525">
        <f>[17]пов!N4</f>
        <v>37.670297366679783</v>
      </c>
      <c r="P4" s="1526">
        <f>[17]пов!O4</f>
        <v>330.6180303368742</v>
      </c>
      <c r="Q4" s="1527">
        <f>I4-N4</f>
        <v>159.32615229644597</v>
      </c>
      <c r="R4" s="843">
        <f>M4+N4+Q4</f>
        <v>527.61447999999996</v>
      </c>
      <c r="S4" s="885"/>
      <c r="T4" s="886"/>
      <c r="V4" s="2089" t="s">
        <v>737</v>
      </c>
      <c r="W4" s="2089" t="s">
        <v>738</v>
      </c>
      <c r="X4" s="2089" t="s">
        <v>739</v>
      </c>
      <c r="Y4" s="2089" t="s">
        <v>740</v>
      </c>
      <c r="Z4" s="2089" t="s">
        <v>741</v>
      </c>
      <c r="AA4" s="2089" t="s">
        <v>742</v>
      </c>
      <c r="AB4" s="2080" t="s">
        <v>743</v>
      </c>
      <c r="AC4" s="2081"/>
      <c r="AD4" s="2081"/>
      <c r="AE4" s="2082"/>
      <c r="AF4" s="1473"/>
      <c r="AG4" s="1510"/>
      <c r="AH4" s="1"/>
    </row>
    <row r="5" spans="1:36" s="23" customFormat="1" ht="15.75" customHeight="1" x14ac:dyDescent="0.2">
      <c r="A5" s="1521" t="s">
        <v>347</v>
      </c>
      <c r="B5" s="680" t="s">
        <v>1176</v>
      </c>
      <c r="C5" s="680"/>
      <c r="D5" s="680"/>
      <c r="E5" s="1146"/>
      <c r="F5" s="1146"/>
      <c r="G5" s="1528">
        <f>I5+I106</f>
        <v>251.1069713112197</v>
      </c>
      <c r="I5" s="1143">
        <f>I4*22%</f>
        <v>116.0751856</v>
      </c>
      <c r="J5" s="681" t="s">
        <v>809</v>
      </c>
      <c r="K5" s="148"/>
      <c r="L5" s="211"/>
      <c r="M5" s="1524">
        <f>M4*22%</f>
        <v>0</v>
      </c>
      <c r="N5" s="1384">
        <f t="shared" si="0"/>
        <v>81.023432094781867</v>
      </c>
      <c r="O5" s="1525">
        <f>[17]пов!N5</f>
        <v>8.2874654206695517</v>
      </c>
      <c r="P5" s="1526">
        <f>[17]пов!O5</f>
        <v>72.735966674112319</v>
      </c>
      <c r="Q5" s="1527">
        <f>I5-N5</f>
        <v>35.05175350521813</v>
      </c>
      <c r="R5" s="843">
        <f>M5+N5+Q5</f>
        <v>116.0751856</v>
      </c>
      <c r="S5" s="629"/>
      <c r="T5" s="657"/>
      <c r="V5" s="2090"/>
      <c r="W5" s="2090"/>
      <c r="X5" s="2090"/>
      <c r="Y5" s="2090"/>
      <c r="Z5" s="2090"/>
      <c r="AA5" s="2090"/>
      <c r="AB5" s="1394" t="s">
        <v>229</v>
      </c>
      <c r="AC5" s="1395" t="s">
        <v>970</v>
      </c>
      <c r="AD5" s="1395" t="s">
        <v>971</v>
      </c>
      <c r="AE5" s="1529" t="s">
        <v>1090</v>
      </c>
      <c r="AF5" s="1185"/>
      <c r="AG5" s="1510"/>
      <c r="AH5" s="1"/>
    </row>
    <row r="6" spans="1:36" s="23" customFormat="1" ht="8.25" hidden="1" customHeight="1" x14ac:dyDescent="0.2">
      <c r="A6" s="1521"/>
      <c r="B6" s="735"/>
      <c r="C6" s="1530"/>
      <c r="D6" s="735"/>
      <c r="E6" s="1146"/>
      <c r="F6" s="1146"/>
      <c r="G6" s="1146"/>
      <c r="I6" s="849"/>
      <c r="J6" s="735"/>
      <c r="K6" s="1"/>
      <c r="L6" s="211"/>
      <c r="M6" s="1531"/>
      <c r="N6" s="149"/>
      <c r="O6" s="1532"/>
      <c r="P6" s="1533"/>
      <c r="Q6" s="216"/>
      <c r="R6" s="843"/>
      <c r="S6" s="885"/>
      <c r="T6" s="886">
        <f>I7-S6</f>
        <v>0</v>
      </c>
      <c r="V6" s="920">
        <v>1</v>
      </c>
      <c r="W6" s="1397" t="s">
        <v>1091</v>
      </c>
      <c r="X6" s="1534" t="s">
        <v>617</v>
      </c>
      <c r="Y6" s="1399"/>
      <c r="Z6" s="1399"/>
      <c r="AA6" s="1399"/>
      <c r="AB6" s="1535">
        <f>(I4+I93)</f>
        <v>1141.3953241419076</v>
      </c>
      <c r="AC6" s="750">
        <f>AF6*AC$3</f>
        <v>0</v>
      </c>
      <c r="AD6" s="750">
        <f>(AF6)*AD$3</f>
        <v>0</v>
      </c>
      <c r="AE6" s="750">
        <f t="shared" ref="AE6:AE25" si="1">AB6-AC6-AD6</f>
        <v>1141.3953241419076</v>
      </c>
      <c r="AF6" s="750">
        <f>(S3+S46)/1000</f>
        <v>0</v>
      </c>
      <c r="AG6" s="1536">
        <f>AC6+AD6</f>
        <v>0</v>
      </c>
      <c r="AH6" s="139">
        <f>AF6+[11]Збут!K3</f>
        <v>3422.7583999999997</v>
      </c>
    </row>
    <row r="7" spans="1:36" s="23" customFormat="1" ht="15.75" customHeight="1" x14ac:dyDescent="0.2">
      <c r="A7" s="1521" t="s">
        <v>349</v>
      </c>
      <c r="B7" s="729" t="s">
        <v>513</v>
      </c>
      <c r="C7" s="729"/>
      <c r="D7" s="729"/>
      <c r="E7" s="1146"/>
      <c r="F7" s="1146"/>
      <c r="G7" s="1522">
        <f>G4-I104</f>
        <v>1116.9223425</v>
      </c>
      <c r="I7" s="1537">
        <f>[11]Аморт!H46/1000</f>
        <v>0</v>
      </c>
      <c r="J7" s="1146" t="s">
        <v>809</v>
      </c>
      <c r="L7" s="211"/>
      <c r="M7" s="1524"/>
      <c r="N7" s="1383">
        <f t="shared" si="0"/>
        <v>0</v>
      </c>
      <c r="O7" s="1538"/>
      <c r="P7" s="1533"/>
      <c r="Q7" s="216"/>
      <c r="R7" s="843">
        <f>M7+N7+Q7</f>
        <v>0</v>
      </c>
      <c r="S7" s="629"/>
      <c r="T7" s="657"/>
      <c r="V7" s="920">
        <v>2</v>
      </c>
      <c r="W7" s="1397" t="s">
        <v>818</v>
      </c>
      <c r="X7" s="1534" t="s">
        <v>617</v>
      </c>
      <c r="Y7" s="1399"/>
      <c r="Z7" s="1399"/>
      <c r="AA7" s="1399"/>
      <c r="AB7" s="1535">
        <f>AB6*22%</f>
        <v>251.10697131121967</v>
      </c>
      <c r="AC7" s="1539">
        <f>AC6*22%</f>
        <v>0</v>
      </c>
      <c r="AD7" s="1539">
        <f>AD6*22%</f>
        <v>0</v>
      </c>
      <c r="AE7" s="750">
        <f t="shared" si="1"/>
        <v>251.10697131121967</v>
      </c>
      <c r="AF7" s="1539">
        <f>AF6*22%</f>
        <v>0</v>
      </c>
      <c r="AG7" s="1536">
        <f>AC7+AD7</f>
        <v>0</v>
      </c>
      <c r="AH7" s="1536">
        <f>AF7+[11]Збут!K4</f>
        <v>753.00684799999999</v>
      </c>
    </row>
    <row r="8" spans="1:36" s="23" customFormat="1" ht="9" hidden="1" customHeight="1" x14ac:dyDescent="0.2">
      <c r="A8" s="1521"/>
      <c r="B8" s="735"/>
      <c r="C8" s="735"/>
      <c r="D8" s="735"/>
      <c r="E8" s="1146"/>
      <c r="F8" s="1146"/>
      <c r="G8" s="1146"/>
      <c r="I8" s="1540"/>
      <c r="J8" s="735"/>
      <c r="K8" s="1"/>
      <c r="L8" s="211"/>
      <c r="M8" s="1531"/>
      <c r="N8" s="149"/>
      <c r="O8" s="1538"/>
      <c r="P8" s="1533"/>
      <c r="Q8" s="216"/>
      <c r="R8" s="843"/>
      <c r="S8" s="885"/>
      <c r="T8" s="886">
        <f>T9+T10+T42</f>
        <v>0</v>
      </c>
      <c r="V8" s="920">
        <v>3</v>
      </c>
      <c r="W8" s="1397" t="s">
        <v>649</v>
      </c>
      <c r="X8" s="1534" t="s">
        <v>617</v>
      </c>
      <c r="Y8" s="1399"/>
      <c r="Z8" s="1399"/>
      <c r="AA8" s="1399"/>
      <c r="AB8" s="1535">
        <f>I7</f>
        <v>0</v>
      </c>
      <c r="AC8" s="750">
        <f t="shared" ref="AC8:AC25" si="2">AF8*AC$3</f>
        <v>0</v>
      </c>
      <c r="AD8" s="750">
        <f t="shared" ref="AD8:AD25" si="3">(AF8)*AD$3</f>
        <v>0</v>
      </c>
      <c r="AE8" s="750">
        <f t="shared" si="1"/>
        <v>0</v>
      </c>
      <c r="AF8" s="1401">
        <f>S6/1000</f>
        <v>0</v>
      </c>
      <c r="AG8" s="1536">
        <f>AC8+AD8</f>
        <v>0</v>
      </c>
      <c r="AH8" s="1541">
        <f>AF8+[11]Збут!K5</f>
        <v>44.471039999999988</v>
      </c>
      <c r="AJ8" s="1542" t="s">
        <v>1177</v>
      </c>
    </row>
    <row r="9" spans="1:36" x14ac:dyDescent="0.25">
      <c r="A9" s="1521" t="s">
        <v>351</v>
      </c>
      <c r="B9" s="680" t="s">
        <v>507</v>
      </c>
      <c r="C9" s="680"/>
      <c r="D9" s="680"/>
      <c r="I9" s="1543">
        <f>I10+I11+I12+I13+I16</f>
        <v>939.60758624999994</v>
      </c>
      <c r="J9" s="681" t="s">
        <v>625</v>
      </c>
      <c r="K9" s="148"/>
      <c r="L9" s="211"/>
      <c r="M9" s="1386">
        <f>SUM(M10:M16)</f>
        <v>0</v>
      </c>
      <c r="N9" s="1386">
        <f>SUM(N10:N16)</f>
        <v>939.60758624999994</v>
      </c>
      <c r="O9" s="1386">
        <f>SUM(O10:O16)</f>
        <v>880.87128624999991</v>
      </c>
      <c r="P9" s="1386">
        <f>SUM(P10:P16)</f>
        <v>58.736299999999993</v>
      </c>
      <c r="Q9" s="1386">
        <f>SUM(Q10:Q16)</f>
        <v>0</v>
      </c>
      <c r="R9" s="843">
        <f t="shared" ref="R9:R16" si="4">M9+N9+Q9</f>
        <v>939.60758624999994</v>
      </c>
      <c r="S9" s="629"/>
      <c r="T9" s="657"/>
      <c r="V9" s="920">
        <v>4</v>
      </c>
      <c r="W9" s="1397" t="s">
        <v>507</v>
      </c>
      <c r="X9" s="1534" t="s">
        <v>617</v>
      </c>
      <c r="Y9" s="1399"/>
      <c r="Z9" s="1399"/>
      <c r="AA9" s="1399"/>
      <c r="AB9" s="1535">
        <f>I9+I75+I77+I90</f>
        <v>1393.9287372213751</v>
      </c>
      <c r="AC9" s="750">
        <f t="shared" si="2"/>
        <v>0</v>
      </c>
      <c r="AD9" s="750">
        <f t="shared" si="3"/>
        <v>0</v>
      </c>
      <c r="AE9" s="750">
        <f t="shared" si="1"/>
        <v>1393.9287372213751</v>
      </c>
      <c r="AF9" s="750">
        <f>S42/1000</f>
        <v>0</v>
      </c>
      <c r="AG9" s="1536">
        <f>AC9+AD9</f>
        <v>0</v>
      </c>
      <c r="AH9" s="1510"/>
    </row>
    <row r="10" spans="1:36" ht="15" customHeight="1" x14ac:dyDescent="0.25">
      <c r="B10" s="1544" t="s">
        <v>1178</v>
      </c>
      <c r="D10" s="681"/>
      <c r="E10" s="681"/>
      <c r="F10" s="681"/>
      <c r="G10" s="681"/>
      <c r="I10" s="679">
        <f>N10</f>
        <v>637.05949999999996</v>
      </c>
      <c r="J10" s="681" t="s">
        <v>938</v>
      </c>
      <c r="K10" s="148"/>
      <c r="L10" s="148"/>
      <c r="M10" s="1531"/>
      <c r="N10" s="1383">
        <f t="shared" si="0"/>
        <v>637.05949999999996</v>
      </c>
      <c r="O10" s="1525">
        <f>[7]пов!N10</f>
        <v>637.05949999999996</v>
      </c>
      <c r="P10" s="1526">
        <f>[7]пов!O10</f>
        <v>0</v>
      </c>
      <c r="Q10" s="1328"/>
      <c r="R10" s="901">
        <f t="shared" si="4"/>
        <v>637.05949999999996</v>
      </c>
      <c r="S10" s="629"/>
      <c r="T10" s="657"/>
      <c r="V10" s="920">
        <v>5</v>
      </c>
      <c r="W10" s="1397" t="s">
        <v>1179</v>
      </c>
      <c r="X10" s="1534" t="s">
        <v>617</v>
      </c>
      <c r="Y10" s="1399"/>
      <c r="Z10" s="1399"/>
      <c r="AA10" s="1399"/>
      <c r="AB10" s="1399"/>
      <c r="AC10" s="750">
        <f t="shared" si="2"/>
        <v>0</v>
      </c>
      <c r="AD10" s="750">
        <f t="shared" si="3"/>
        <v>0</v>
      </c>
      <c r="AE10" s="750">
        <f t="shared" si="1"/>
        <v>0</v>
      </c>
      <c r="AF10" s="750"/>
      <c r="AG10" s="1536"/>
      <c r="AH10" s="1510"/>
    </row>
    <row r="11" spans="1:36" ht="16.5" customHeight="1" x14ac:dyDescent="0.25">
      <c r="B11" s="1544" t="s">
        <v>1180</v>
      </c>
      <c r="D11" s="1545"/>
      <c r="E11" s="1545"/>
      <c r="F11" s="1545"/>
      <c r="G11" s="1545"/>
      <c r="I11" s="679">
        <f>N11</f>
        <v>95.048400000000001</v>
      </c>
      <c r="J11" s="681" t="s">
        <v>938</v>
      </c>
      <c r="K11" s="148"/>
      <c r="L11" s="148"/>
      <c r="M11" s="1531"/>
      <c r="N11" s="1383">
        <f t="shared" si="0"/>
        <v>95.048400000000001</v>
      </c>
      <c r="O11" s="1525">
        <f>[7]пов!N11</f>
        <v>95.048400000000001</v>
      </c>
      <c r="P11" s="1526">
        <f>[7]пов!O11</f>
        <v>0</v>
      </c>
      <c r="Q11" s="1328"/>
      <c r="R11" s="901">
        <f t="shared" si="4"/>
        <v>95.048400000000001</v>
      </c>
      <c r="S11" s="1546"/>
      <c r="T11" s="1547"/>
      <c r="V11" s="920">
        <v>6</v>
      </c>
      <c r="W11" s="1397" t="s">
        <v>1181</v>
      </c>
      <c r="X11" s="1534" t="s">
        <v>617</v>
      </c>
      <c r="Y11" s="1399"/>
      <c r="Z11" s="1399"/>
      <c r="AA11" s="1399"/>
      <c r="AB11" s="1399">
        <f>H82</f>
        <v>0</v>
      </c>
      <c r="AC11" s="750">
        <f t="shared" si="2"/>
        <v>0</v>
      </c>
      <c r="AD11" s="750">
        <f t="shared" si="3"/>
        <v>0</v>
      </c>
      <c r="AE11" s="750">
        <f t="shared" si="1"/>
        <v>0</v>
      </c>
      <c r="AF11" s="750">
        <f>S48/1000</f>
        <v>0</v>
      </c>
      <c r="AG11" s="1536">
        <f>AC11+AD11</f>
        <v>0</v>
      </c>
      <c r="AH11" s="1510"/>
    </row>
    <row r="12" spans="1:36" ht="15.75" customHeight="1" x14ac:dyDescent="0.25">
      <c r="A12" s="1548"/>
      <c r="B12" s="1544" t="s">
        <v>1182</v>
      </c>
      <c r="C12" s="1549"/>
      <c r="D12" s="1549"/>
      <c r="E12" s="1549"/>
      <c r="F12" s="1549"/>
      <c r="G12" s="1549"/>
      <c r="I12" s="679">
        <f>N12</f>
        <v>148.76338625</v>
      </c>
      <c r="J12" s="681" t="s">
        <v>938</v>
      </c>
      <c r="K12" s="148"/>
      <c r="L12" s="148"/>
      <c r="M12" s="1550"/>
      <c r="N12" s="1383">
        <f>O12+P12</f>
        <v>148.76338625</v>
      </c>
      <c r="O12" s="1525">
        <f>[7]пов!N12</f>
        <v>148.76338625</v>
      </c>
      <c r="P12" s="1526">
        <f>[7]пов!O12</f>
        <v>0</v>
      </c>
      <c r="Q12" s="1328"/>
      <c r="R12" s="901">
        <f t="shared" si="4"/>
        <v>148.76338625</v>
      </c>
      <c r="S12" s="629"/>
      <c r="T12" s="1547"/>
      <c r="V12" s="920">
        <v>7</v>
      </c>
      <c r="W12" s="1397" t="s">
        <v>1183</v>
      </c>
      <c r="X12" s="1534" t="s">
        <v>617</v>
      </c>
      <c r="Y12" s="1399"/>
      <c r="Z12" s="1399"/>
      <c r="AA12" s="1399"/>
      <c r="AB12" s="1399">
        <f>H85</f>
        <v>0</v>
      </c>
      <c r="AC12" s="750">
        <f t="shared" si="2"/>
        <v>0</v>
      </c>
      <c r="AD12" s="750">
        <f t="shared" si="3"/>
        <v>0</v>
      </c>
      <c r="AE12" s="750">
        <f t="shared" si="1"/>
        <v>0</v>
      </c>
      <c r="AF12" s="750">
        <f>S49/1000</f>
        <v>0</v>
      </c>
      <c r="AG12" s="1536">
        <f>AC13+AD13</f>
        <v>0</v>
      </c>
      <c r="AH12" s="1510"/>
    </row>
    <row r="13" spans="1:36" ht="15" customHeight="1" x14ac:dyDescent="0.25">
      <c r="A13" s="1548"/>
      <c r="B13" s="681" t="s">
        <v>1184</v>
      </c>
      <c r="C13" s="1549"/>
      <c r="D13" s="1551"/>
      <c r="E13" s="1551"/>
      <c r="F13" s="1551"/>
      <c r="G13" s="1551"/>
      <c r="I13" s="679">
        <f>SUM(I14:I15)</f>
        <v>58.7363</v>
      </c>
      <c r="J13" s="681" t="s">
        <v>938</v>
      </c>
      <c r="K13" s="148"/>
      <c r="L13" s="148"/>
      <c r="M13" s="1550"/>
      <c r="N13" s="1383">
        <f t="shared" si="0"/>
        <v>58.736299999999993</v>
      </c>
      <c r="O13" s="1525">
        <f>[7]пов!N13</f>
        <v>0</v>
      </c>
      <c r="P13" s="1526">
        <f>[7]пов!O13</f>
        <v>58.736299999999993</v>
      </c>
      <c r="Q13" s="1328"/>
      <c r="R13" s="901">
        <f t="shared" si="4"/>
        <v>58.736299999999993</v>
      </c>
      <c r="S13" s="797"/>
      <c r="T13" s="1547"/>
      <c r="V13" s="920">
        <v>8</v>
      </c>
      <c r="W13" s="1397" t="s">
        <v>1185</v>
      </c>
      <c r="X13" s="1534" t="s">
        <v>617</v>
      </c>
      <c r="Y13" s="1399"/>
      <c r="Z13" s="1399"/>
      <c r="AA13" s="1399"/>
      <c r="AB13" s="1535">
        <f>I22</f>
        <v>40.121648921010184</v>
      </c>
      <c r="AC13" s="750">
        <f t="shared" si="2"/>
        <v>0</v>
      </c>
      <c r="AD13" s="750">
        <f t="shared" si="3"/>
        <v>0</v>
      </c>
      <c r="AE13" s="750">
        <f t="shared" si="1"/>
        <v>40.121648921010184</v>
      </c>
      <c r="AF13" s="750">
        <f>S50/1000</f>
        <v>0</v>
      </c>
      <c r="AG13" s="1536">
        <f>AC19+AD19</f>
        <v>0</v>
      </c>
      <c r="AH13" s="1510"/>
    </row>
    <row r="14" spans="1:36" ht="13.5" customHeight="1" x14ac:dyDescent="0.25">
      <c r="A14" s="1548"/>
      <c r="B14" s="1552" t="s">
        <v>1186</v>
      </c>
      <c r="C14" s="1551"/>
      <c r="D14" s="1551"/>
      <c r="E14" s="1551"/>
      <c r="F14" s="1551"/>
      <c r="G14" s="1551"/>
      <c r="I14" s="1219">
        <f>[7]пов!I14</f>
        <v>30.155750000000001</v>
      </c>
      <c r="J14" s="681" t="s">
        <v>938</v>
      </c>
      <c r="K14" s="148"/>
      <c r="L14" s="148"/>
      <c r="M14" s="1550"/>
      <c r="N14" s="1383"/>
      <c r="O14" s="1525"/>
      <c r="P14" s="1526"/>
      <c r="Q14" s="1328"/>
      <c r="R14" s="901"/>
      <c r="S14" s="797"/>
      <c r="T14" s="1547"/>
      <c r="V14" s="920"/>
      <c r="W14" s="1397"/>
      <c r="X14" s="1534"/>
      <c r="Y14" s="1399"/>
      <c r="Z14" s="1399"/>
      <c r="AA14" s="1399"/>
      <c r="AB14" s="1535"/>
      <c r="AC14" s="750"/>
      <c r="AD14" s="750"/>
      <c r="AE14" s="750"/>
      <c r="AF14" s="750"/>
      <c r="AG14" s="1536"/>
      <c r="AH14" s="1510"/>
    </row>
    <row r="15" spans="1:36" ht="13.5" customHeight="1" x14ac:dyDescent="0.25">
      <c r="A15" s="1548"/>
      <c r="B15" s="1552" t="s">
        <v>1187</v>
      </c>
      <c r="C15" s="1551"/>
      <c r="D15" s="1551"/>
      <c r="E15" s="1551"/>
      <c r="F15" s="1551"/>
      <c r="G15" s="1551"/>
      <c r="I15" s="1219">
        <f>[7]пов!I15</f>
        <v>28.580549999999999</v>
      </c>
      <c r="J15" s="681" t="s">
        <v>938</v>
      </c>
      <c r="K15" s="148"/>
      <c r="L15" s="148"/>
      <c r="M15" s="1550"/>
      <c r="N15" s="1383"/>
      <c r="O15" s="1525"/>
      <c r="P15" s="1526"/>
      <c r="Q15" s="1328"/>
      <c r="R15" s="901"/>
      <c r="S15" s="797"/>
      <c r="T15" s="1547"/>
      <c r="V15" s="920"/>
      <c r="W15" s="1397"/>
      <c r="X15" s="1534"/>
      <c r="Y15" s="1399"/>
      <c r="Z15" s="1399"/>
      <c r="AA15" s="1399"/>
      <c r="AB15" s="1535"/>
      <c r="AC15" s="750"/>
      <c r="AD15" s="750"/>
      <c r="AE15" s="750"/>
      <c r="AF15" s="750"/>
      <c r="AG15" s="1536"/>
      <c r="AH15" s="1510"/>
    </row>
    <row r="16" spans="1:36" hidden="1" x14ac:dyDescent="0.25">
      <c r="A16" s="674"/>
      <c r="B16" s="674" t="s">
        <v>1188</v>
      </c>
      <c r="C16" s="674"/>
      <c r="D16" s="1553">
        <v>0</v>
      </c>
      <c r="E16" s="674" t="s">
        <v>1189</v>
      </c>
      <c r="F16" s="674">
        <v>975</v>
      </c>
      <c r="G16" s="674" t="s">
        <v>620</v>
      </c>
      <c r="I16" s="855">
        <f>D16*F16/1000</f>
        <v>0</v>
      </c>
      <c r="J16" s="674" t="s">
        <v>938</v>
      </c>
      <c r="K16" s="205"/>
      <c r="L16" s="205"/>
      <c r="M16" s="1554">
        <f>D16*F16/1000</f>
        <v>0</v>
      </c>
      <c r="N16" s="1554">
        <f t="shared" si="0"/>
        <v>0</v>
      </c>
      <c r="O16" s="1554"/>
      <c r="P16" s="1555"/>
      <c r="Q16" s="1555"/>
      <c r="R16" s="917">
        <f t="shared" si="4"/>
        <v>0</v>
      </c>
      <c r="S16" s="797"/>
      <c r="T16" s="1547"/>
      <c r="V16" s="920">
        <v>10</v>
      </c>
      <c r="W16" s="1397" t="s">
        <v>1190</v>
      </c>
      <c r="X16" s="1534" t="s">
        <v>617</v>
      </c>
      <c r="Y16" s="1399"/>
      <c r="Z16" s="1399"/>
      <c r="AA16" s="1399"/>
      <c r="AB16" s="1535">
        <f>I86</f>
        <v>32.062628052000001</v>
      </c>
      <c r="AC16" s="750">
        <f t="shared" si="2"/>
        <v>0</v>
      </c>
      <c r="AD16" s="750">
        <f t="shared" si="3"/>
        <v>0</v>
      </c>
      <c r="AE16" s="750">
        <f t="shared" si="1"/>
        <v>32.062628052000001</v>
      </c>
      <c r="AF16" s="750">
        <f t="shared" ref="AF16:AF22" si="5">S57/1000</f>
        <v>0</v>
      </c>
      <c r="AG16" s="1536">
        <f>AC21+AD21</f>
        <v>0</v>
      </c>
      <c r="AH16" s="1510"/>
    </row>
    <row r="17" spans="1:34" hidden="1" x14ac:dyDescent="0.25">
      <c r="A17" s="674"/>
      <c r="B17" s="1556"/>
      <c r="C17" s="1545"/>
      <c r="D17" s="681"/>
      <c r="E17" s="681"/>
      <c r="F17" s="681"/>
      <c r="G17" s="681"/>
      <c r="I17" s="1143"/>
      <c r="J17" s="681"/>
      <c r="K17" s="148"/>
      <c r="L17" s="205"/>
      <c r="M17" s="1554"/>
      <c r="N17" s="1554"/>
      <c r="O17" s="1554"/>
      <c r="P17" s="1555"/>
      <c r="Q17" s="1555"/>
      <c r="R17" s="917"/>
      <c r="S17" s="797"/>
      <c r="T17" s="1547"/>
      <c r="V17" s="920">
        <v>10</v>
      </c>
      <c r="W17" s="1397"/>
      <c r="X17" s="1534" t="s">
        <v>617</v>
      </c>
      <c r="Y17" s="1399"/>
      <c r="Z17" s="1399"/>
      <c r="AA17" s="1399"/>
      <c r="AB17" s="1557"/>
      <c r="AC17" s="750">
        <f t="shared" si="2"/>
        <v>0</v>
      </c>
      <c r="AD17" s="750">
        <f t="shared" si="3"/>
        <v>0</v>
      </c>
      <c r="AE17" s="750">
        <f t="shared" si="1"/>
        <v>0</v>
      </c>
      <c r="AF17" s="750">
        <f t="shared" si="5"/>
        <v>0</v>
      </c>
      <c r="AG17" s="1536">
        <f>AC22+AD22</f>
        <v>0</v>
      </c>
      <c r="AH17" s="1510"/>
    </row>
    <row r="18" spans="1:34" ht="26.25" hidden="1" x14ac:dyDescent="0.25">
      <c r="A18" s="729"/>
      <c r="B18" s="1556"/>
      <c r="C18" s="1545"/>
      <c r="D18" s="681"/>
      <c r="E18" s="681"/>
      <c r="F18" s="681"/>
      <c r="G18" s="681"/>
      <c r="I18" s="1143"/>
      <c r="J18" s="681"/>
      <c r="K18" s="148"/>
      <c r="L18" s="1136"/>
      <c r="M18" s="1558"/>
      <c r="N18" s="1396"/>
      <c r="O18" s="1559"/>
      <c r="P18" s="1560"/>
      <c r="Q18" s="1404"/>
      <c r="R18" s="843"/>
      <c r="S18" s="797"/>
      <c r="T18" s="1547"/>
      <c r="V18" s="920">
        <v>10</v>
      </c>
      <c r="W18" s="1397" t="str">
        <f>B34</f>
        <v>Щоденний технічний огляд (згідно договору)</v>
      </c>
      <c r="X18" s="1534" t="s">
        <v>617</v>
      </c>
      <c r="Y18" s="1399"/>
      <c r="Z18" s="1399"/>
      <c r="AA18" s="1399"/>
      <c r="AB18" s="1561">
        <f>I34</f>
        <v>14.488333333333335</v>
      </c>
      <c r="AC18" s="750">
        <f t="shared" si="2"/>
        <v>0</v>
      </c>
      <c r="AD18" s="750">
        <f t="shared" si="3"/>
        <v>0</v>
      </c>
      <c r="AE18" s="750">
        <f t="shared" si="1"/>
        <v>14.488333333333335</v>
      </c>
      <c r="AF18" s="750">
        <f t="shared" si="5"/>
        <v>0</v>
      </c>
      <c r="AG18" s="1536">
        <f>AC23+AD23</f>
        <v>0</v>
      </c>
      <c r="AH18" s="1510"/>
    </row>
    <row r="19" spans="1:34" x14ac:dyDescent="0.25">
      <c r="A19" s="729">
        <v>2</v>
      </c>
      <c r="B19" s="680" t="s">
        <v>232</v>
      </c>
      <c r="C19" s="680"/>
      <c r="D19" s="681"/>
      <c r="E19" s="680"/>
      <c r="F19" s="680"/>
      <c r="G19" s="729"/>
      <c r="I19" s="1143">
        <f>I20+I21+I22+I28+I75+I77+I90+I91+I93+I106+I111+I114+I86+I88</f>
        <v>1423.0681351308463</v>
      </c>
      <c r="J19" s="1146" t="s">
        <v>938</v>
      </c>
      <c r="L19" s="211"/>
      <c r="M19" s="1519">
        <f>M90+M91+M20+M21+M22+M28+M75+M77+M93+M106+M111+M114</f>
        <v>0</v>
      </c>
      <c r="N19" s="1519">
        <f>N90+N91+N20+N21+N22+N28+N75+N77+N93+N106+N111+N114</f>
        <v>905.86663940898632</v>
      </c>
      <c r="O19" s="1519">
        <f>O90+O91+O20+O21+O22+O28+O75+O77+O93+O106+O111+O114</f>
        <v>31.717470461166155</v>
      </c>
      <c r="P19" s="1519">
        <f>P90+P91+P20+P21+P22+P28+P75+P77+P93+P106+P111+P114</f>
        <v>874.14916894782027</v>
      </c>
      <c r="Q19" s="1519">
        <f>Q90+Q91+Q20+Q21+Q22+Q28+Q75+Q77+Q93+Q106+Q111+Q114</f>
        <v>536.75695398574453</v>
      </c>
      <c r="R19" s="843">
        <f>M19+N19+Q19</f>
        <v>1442.623593394731</v>
      </c>
      <c r="S19" s="797"/>
      <c r="T19" s="1547"/>
      <c r="V19" s="920">
        <v>9</v>
      </c>
      <c r="W19" s="1397"/>
      <c r="X19" s="1534" t="s">
        <v>617</v>
      </c>
      <c r="Y19" s="1399"/>
      <c r="Z19" s="1399"/>
      <c r="AA19" s="1399"/>
      <c r="AB19" s="1557"/>
      <c r="AC19" s="750">
        <f t="shared" si="2"/>
        <v>0</v>
      </c>
      <c r="AD19" s="750">
        <f t="shared" si="3"/>
        <v>0</v>
      </c>
      <c r="AE19" s="750">
        <f t="shared" si="1"/>
        <v>0</v>
      </c>
      <c r="AF19" s="750">
        <f t="shared" si="5"/>
        <v>0</v>
      </c>
      <c r="AG19" s="1536">
        <f>AC16+AD16</f>
        <v>0</v>
      </c>
      <c r="AH19" s="1510"/>
    </row>
    <row r="20" spans="1:34" hidden="1" x14ac:dyDescent="0.25">
      <c r="A20" s="729"/>
      <c r="B20" s="680" t="s">
        <v>1191</v>
      </c>
      <c r="C20" s="680"/>
      <c r="D20" s="680"/>
      <c r="E20" s="680"/>
      <c r="F20" s="680"/>
      <c r="G20" s="680"/>
      <c r="I20" s="1143">
        <v>0</v>
      </c>
      <c r="J20" s="1146" t="s">
        <v>938</v>
      </c>
      <c r="L20" s="211"/>
      <c r="M20" s="1524"/>
      <c r="N20" s="1384">
        <f>O20+P20</f>
        <v>0</v>
      </c>
      <c r="O20" s="1562"/>
      <c r="P20" s="1563"/>
      <c r="Q20" s="1564"/>
      <c r="R20" s="843">
        <f t="shared" ref="R20:R30" si="6">M20+N20+Q20</f>
        <v>0</v>
      </c>
      <c r="S20" s="797"/>
      <c r="T20" s="1547"/>
      <c r="V20" s="920">
        <v>9</v>
      </c>
      <c r="W20" s="1397"/>
      <c r="X20" s="1534" t="s">
        <v>617</v>
      </c>
      <c r="Y20" s="1399"/>
      <c r="Z20" s="1399"/>
      <c r="AA20" s="1399"/>
      <c r="AB20" s="1399"/>
      <c r="AC20" s="750">
        <f t="shared" si="2"/>
        <v>0</v>
      </c>
      <c r="AD20" s="750">
        <f t="shared" si="3"/>
        <v>0</v>
      </c>
      <c r="AE20" s="750">
        <f t="shared" si="1"/>
        <v>0</v>
      </c>
      <c r="AF20" s="750">
        <f t="shared" si="5"/>
        <v>0</v>
      </c>
      <c r="AG20" s="1536">
        <f>AC17+AD17</f>
        <v>0</v>
      </c>
      <c r="AH20" s="1510"/>
    </row>
    <row r="21" spans="1:34" hidden="1" x14ac:dyDescent="0.25">
      <c r="A21" s="1565"/>
      <c r="B21" s="680" t="s">
        <v>1192</v>
      </c>
      <c r="C21" s="680"/>
      <c r="D21" s="680"/>
      <c r="E21" s="680"/>
      <c r="F21" s="680"/>
      <c r="G21" s="680"/>
      <c r="I21" s="1143"/>
      <c r="J21" s="1146" t="s">
        <v>938</v>
      </c>
      <c r="L21" s="211"/>
      <c r="M21" s="1524"/>
      <c r="N21" s="1384">
        <f t="shared" ref="N21:N33" si="7">O21+P21</f>
        <v>0</v>
      </c>
      <c r="O21" s="1562"/>
      <c r="P21" s="1563"/>
      <c r="Q21" s="1564"/>
      <c r="R21" s="843">
        <f t="shared" si="6"/>
        <v>0</v>
      </c>
      <c r="S21" s="797"/>
      <c r="T21" s="1547"/>
      <c r="V21" s="920">
        <v>11</v>
      </c>
      <c r="W21" s="1397" t="s">
        <v>1074</v>
      </c>
      <c r="X21" s="1534" t="s">
        <v>617</v>
      </c>
      <c r="Y21" s="1399"/>
      <c r="Z21" s="1399"/>
      <c r="AA21" s="1399"/>
      <c r="AB21" s="1535">
        <f>I88</f>
        <v>1.4117440000000001</v>
      </c>
      <c r="AC21" s="750">
        <f t="shared" si="2"/>
        <v>0</v>
      </c>
      <c r="AD21" s="750">
        <f t="shared" si="3"/>
        <v>0</v>
      </c>
      <c r="AE21" s="750">
        <f t="shared" si="1"/>
        <v>1.4117440000000001</v>
      </c>
      <c r="AF21" s="750">
        <f t="shared" si="5"/>
        <v>0</v>
      </c>
      <c r="AG21" s="1536">
        <f>AC22+AD22</f>
        <v>0</v>
      </c>
      <c r="AH21" s="1510"/>
    </row>
    <row r="22" spans="1:34" x14ac:dyDescent="0.25">
      <c r="A22" s="1521" t="s">
        <v>373</v>
      </c>
      <c r="B22" s="680" t="s">
        <v>1185</v>
      </c>
      <c r="C22" s="681"/>
      <c r="D22" s="681"/>
      <c r="E22" s="681"/>
      <c r="F22" s="681"/>
      <c r="G22" s="681"/>
      <c r="I22" s="1523">
        <f>SUM(I23:I27)</f>
        <v>40.121648921010184</v>
      </c>
      <c r="J22" s="1072" t="s">
        <v>938</v>
      </c>
      <c r="K22" s="641"/>
      <c r="L22" s="211"/>
      <c r="M22" s="1566">
        <f>SUM(M23:M27)</f>
        <v>0</v>
      </c>
      <c r="N22" s="1567">
        <f>O22+P22</f>
        <v>30.801302525402114</v>
      </c>
      <c r="O22" s="1568">
        <f>SUM(O23:O27)</f>
        <v>1.3561848003964834</v>
      </c>
      <c r="P22" s="1569">
        <f>SUM(P23:P27)</f>
        <v>29.44511772500563</v>
      </c>
      <c r="Q22" s="1570">
        <f>SUM(Q23:Q27)</f>
        <v>9.3203463956080732</v>
      </c>
      <c r="R22" s="843">
        <f t="shared" si="6"/>
        <v>40.121648921010191</v>
      </c>
      <c r="S22" s="797"/>
      <c r="T22" s="1547"/>
      <c r="V22" s="920">
        <v>12</v>
      </c>
      <c r="W22" s="1397" t="s">
        <v>1193</v>
      </c>
      <c r="X22" s="1534" t="s">
        <v>617</v>
      </c>
      <c r="Y22" s="1399"/>
      <c r="Z22" s="1399"/>
      <c r="AA22" s="1399"/>
      <c r="AB22" s="1535">
        <f>I29</f>
        <v>1.5</v>
      </c>
      <c r="AC22" s="750">
        <f t="shared" si="2"/>
        <v>0</v>
      </c>
      <c r="AD22" s="750">
        <f t="shared" si="3"/>
        <v>0</v>
      </c>
      <c r="AE22" s="750">
        <f t="shared" si="1"/>
        <v>1.5</v>
      </c>
      <c r="AF22" s="750">
        <f t="shared" si="5"/>
        <v>0</v>
      </c>
      <c r="AG22" s="1536"/>
      <c r="AH22" s="1510"/>
    </row>
    <row r="23" spans="1:34" ht="14.45" customHeight="1" x14ac:dyDescent="0.25">
      <c r="A23" s="1521"/>
      <c r="B23" s="1249" t="s">
        <v>994</v>
      </c>
      <c r="C23" s="1249"/>
      <c r="D23" s="1571"/>
      <c r="E23" s="1209"/>
      <c r="F23" s="1571"/>
      <c r="G23" s="1571"/>
      <c r="I23" s="1572">
        <f>[11]ОП!CM90/1000</f>
        <v>25.179054560130893</v>
      </c>
      <c r="J23" s="1072" t="s">
        <v>938</v>
      </c>
      <c r="K23" s="641"/>
      <c r="L23" s="211"/>
      <c r="M23" s="1573"/>
      <c r="N23" s="1574">
        <f>O23+P23</f>
        <v>19.329905366976888</v>
      </c>
      <c r="O23" s="1575">
        <f>[7]пов!N21</f>
        <v>0.85109789854428342</v>
      </c>
      <c r="P23" s="1576">
        <f>[7]пов!O21</f>
        <v>18.478807468432606</v>
      </c>
      <c r="Q23" s="1577">
        <f>I23-N23</f>
        <v>5.8491491931540054</v>
      </c>
      <c r="R23" s="1578">
        <f t="shared" si="6"/>
        <v>25.179054560130893</v>
      </c>
      <c r="S23" s="797"/>
      <c r="T23" s="1547"/>
      <c r="V23" s="920">
        <v>13</v>
      </c>
      <c r="W23" s="1397" t="s">
        <v>1001</v>
      </c>
      <c r="X23" s="1534" t="s">
        <v>617</v>
      </c>
      <c r="Y23" s="1399"/>
      <c r="Z23" s="1399"/>
      <c r="AA23" s="1399"/>
      <c r="AB23" s="1535">
        <f>I33</f>
        <v>0.6</v>
      </c>
      <c r="AC23" s="750">
        <f t="shared" si="2"/>
        <v>0</v>
      </c>
      <c r="AD23" s="750">
        <f t="shared" si="3"/>
        <v>0</v>
      </c>
      <c r="AE23" s="750">
        <f t="shared" si="1"/>
        <v>0.6</v>
      </c>
      <c r="AF23" s="750">
        <f>S77/1000</f>
        <v>0</v>
      </c>
      <c r="AG23" s="1536">
        <f t="shared" ref="AG23:AG26" si="8">AC24+AD24</f>
        <v>0</v>
      </c>
      <c r="AH23" s="1579"/>
    </row>
    <row r="24" spans="1:34" ht="14.45" customHeight="1" x14ac:dyDescent="0.25">
      <c r="A24" s="1565"/>
      <c r="B24" s="1249" t="s">
        <v>1162</v>
      </c>
      <c r="C24" s="1249"/>
      <c r="D24" s="1209"/>
      <c r="E24" s="1209"/>
      <c r="F24" s="1209"/>
      <c r="G24" s="1209"/>
      <c r="I24" s="1572">
        <f>[11]ОП!CM104/1000</f>
        <v>5.4042305593562681</v>
      </c>
      <c r="J24" s="1072" t="s">
        <v>938</v>
      </c>
      <c r="K24" s="641"/>
      <c r="L24" s="211"/>
      <c r="M24" s="1573"/>
      <c r="N24" s="1574">
        <f t="shared" si="7"/>
        <v>4.1488160345420919</v>
      </c>
      <c r="O24" s="1575">
        <f>[7]пов!N22</f>
        <v>0.18267283472985996</v>
      </c>
      <c r="P24" s="1576">
        <f>[7]пов!O22</f>
        <v>3.9661431998122323</v>
      </c>
      <c r="Q24" s="1577">
        <f>I24-N24</f>
        <v>1.2554145248141761</v>
      </c>
      <c r="R24" s="1578">
        <f t="shared" si="6"/>
        <v>5.4042305593562681</v>
      </c>
      <c r="S24" s="797"/>
      <c r="T24" s="1547"/>
      <c r="V24" s="920">
        <v>14</v>
      </c>
      <c r="W24" s="1397" t="s">
        <v>714</v>
      </c>
      <c r="X24" s="1534" t="s">
        <v>617</v>
      </c>
      <c r="Y24" s="1399"/>
      <c r="Z24" s="1399"/>
      <c r="AA24" s="1399"/>
      <c r="AB24" s="1535">
        <f>I30</f>
        <v>3.6</v>
      </c>
      <c r="AC24" s="750">
        <f t="shared" si="2"/>
        <v>0</v>
      </c>
      <c r="AD24" s="750">
        <f t="shared" si="3"/>
        <v>0</v>
      </c>
      <c r="AE24" s="750">
        <f t="shared" si="1"/>
        <v>3.6</v>
      </c>
      <c r="AF24" s="750">
        <f>S74/1000</f>
        <v>0</v>
      </c>
      <c r="AG24" s="1536">
        <f>AC26+AD26</f>
        <v>0</v>
      </c>
      <c r="AH24" s="1579"/>
    </row>
    <row r="25" spans="1:34" ht="14.45" customHeight="1" x14ac:dyDescent="0.25">
      <c r="A25" s="1565"/>
      <c r="B25" s="1249" t="s">
        <v>993</v>
      </c>
      <c r="C25" s="1249"/>
      <c r="D25" s="1209"/>
      <c r="E25" s="1209"/>
      <c r="F25" s="1209"/>
      <c r="G25" s="1209"/>
      <c r="I25" s="1572">
        <f>[11]ОП!CM112/1000</f>
        <v>4.281474782323996</v>
      </c>
      <c r="J25" s="1072" t="s">
        <v>938</v>
      </c>
      <c r="K25" s="641"/>
      <c r="L25" s="211"/>
      <c r="M25" s="1573"/>
      <c r="N25" s="1574">
        <f t="shared" si="7"/>
        <v>3.2868788689336155</v>
      </c>
      <c r="O25" s="1575">
        <f>[7]пов!N23</f>
        <v>0.1447216447783635</v>
      </c>
      <c r="P25" s="1576">
        <f>[7]пов!O23</f>
        <v>3.1421572241552518</v>
      </c>
      <c r="Q25" s="1577">
        <f>I25-N25</f>
        <v>0.99459591339038056</v>
      </c>
      <c r="R25" s="1578">
        <f t="shared" si="6"/>
        <v>4.281474782323996</v>
      </c>
      <c r="S25" s="797"/>
      <c r="T25" s="1547"/>
      <c r="V25" s="920">
        <v>14</v>
      </c>
      <c r="W25" s="1397" t="str">
        <f>B32</f>
        <v xml:space="preserve"> Поштові повідомлення про повірку</v>
      </c>
      <c r="X25" s="1534"/>
      <c r="Y25" s="1399"/>
      <c r="Z25" s="1399"/>
      <c r="AA25" s="1399"/>
      <c r="AB25" s="1399">
        <f>I32</f>
        <v>2.4300000000000002</v>
      </c>
      <c r="AC25" s="750">
        <f t="shared" si="2"/>
        <v>0</v>
      </c>
      <c r="AD25" s="750">
        <f t="shared" si="3"/>
        <v>0</v>
      </c>
      <c r="AE25" s="750">
        <f t="shared" si="1"/>
        <v>2.4300000000000002</v>
      </c>
      <c r="AF25" s="750">
        <f>S75/1000</f>
        <v>0</v>
      </c>
      <c r="AG25" s="1536">
        <f>AC27+AD27</f>
        <v>0</v>
      </c>
      <c r="AH25" s="1580"/>
    </row>
    <row r="26" spans="1:34" ht="14.45" customHeight="1" x14ac:dyDescent="0.25">
      <c r="A26" s="729"/>
      <c r="B26" s="1249" t="s">
        <v>1194</v>
      </c>
      <c r="C26" s="1249"/>
      <c r="D26" s="1209"/>
      <c r="E26" s="1209"/>
      <c r="F26" s="1209"/>
      <c r="G26" s="1209"/>
      <c r="I26" s="1572">
        <f>[11]ОП!CM123/1000</f>
        <v>5.2568890191990265</v>
      </c>
      <c r="J26" s="1072" t="s">
        <v>938</v>
      </c>
      <c r="K26" s="641"/>
      <c r="L26" s="211"/>
      <c r="M26" s="1573"/>
      <c r="N26" s="1574">
        <f t="shared" si="7"/>
        <v>4.0357022549495163</v>
      </c>
      <c r="O26" s="1575">
        <f>[7]пов!N24</f>
        <v>0.17769242234397667</v>
      </c>
      <c r="P26" s="1576">
        <f>[7]пов!O24</f>
        <v>3.8580098326055392</v>
      </c>
      <c r="Q26" s="1577">
        <f>I26-N26</f>
        <v>1.2211867642495102</v>
      </c>
      <c r="R26" s="1578">
        <f t="shared" si="6"/>
        <v>5.2568890191990265</v>
      </c>
      <c r="S26" s="797"/>
      <c r="T26" s="1547"/>
      <c r="V26" s="920">
        <v>15</v>
      </c>
      <c r="W26" s="1397" t="s">
        <v>1195</v>
      </c>
      <c r="X26" s="1534" t="s">
        <v>617</v>
      </c>
      <c r="Y26" s="1399">
        <f t="shared" ref="Y26:AF26" si="9">SUM(Y27:Y28)</f>
        <v>0</v>
      </c>
      <c r="Z26" s="1399">
        <f t="shared" si="9"/>
        <v>0</v>
      </c>
      <c r="AA26" s="1399">
        <f t="shared" si="9"/>
        <v>0</v>
      </c>
      <c r="AB26" s="1399">
        <f t="shared" si="9"/>
        <v>123.72</v>
      </c>
      <c r="AC26" s="1399">
        <f t="shared" si="9"/>
        <v>0</v>
      </c>
      <c r="AD26" s="1399">
        <f t="shared" si="9"/>
        <v>0</v>
      </c>
      <c r="AE26" s="1399">
        <f t="shared" si="9"/>
        <v>123.72</v>
      </c>
      <c r="AF26" s="1399">
        <f t="shared" si="9"/>
        <v>0</v>
      </c>
      <c r="AG26" s="1536">
        <f t="shared" si="8"/>
        <v>0</v>
      </c>
      <c r="AH26" s="1580"/>
    </row>
    <row r="27" spans="1:34" ht="14.45" customHeight="1" x14ac:dyDescent="0.25">
      <c r="B27" s="2087" t="s">
        <v>1196</v>
      </c>
      <c r="C27" s="2087"/>
      <c r="D27" s="2087"/>
      <c r="E27" s="1209"/>
      <c r="F27" s="1209"/>
      <c r="G27" s="1209"/>
      <c r="I27" s="1572">
        <f>[11]ОП!CM125/1000</f>
        <v>0</v>
      </c>
      <c r="J27" s="1072" t="s">
        <v>938</v>
      </c>
      <c r="K27" s="641"/>
      <c r="L27" s="211"/>
      <c r="M27" s="1573"/>
      <c r="N27" s="1574">
        <f t="shared" si="7"/>
        <v>0</v>
      </c>
      <c r="O27" s="1575">
        <f>[7]пов!N25</f>
        <v>0</v>
      </c>
      <c r="P27" s="1576">
        <f>[7]пов!O25</f>
        <v>0</v>
      </c>
      <c r="Q27" s="1577">
        <f>I27-N27</f>
        <v>0</v>
      </c>
      <c r="R27" s="1578">
        <f t="shared" si="6"/>
        <v>0</v>
      </c>
      <c r="S27" s="797"/>
      <c r="T27" s="1547"/>
      <c r="V27" s="1581"/>
      <c r="W27" s="1400" t="s">
        <v>1197</v>
      </c>
      <c r="X27" s="1534" t="s">
        <v>617</v>
      </c>
      <c r="Y27" s="1582"/>
      <c r="Z27" s="1582"/>
      <c r="AA27" s="1582"/>
      <c r="AB27" s="1582">
        <f>I111+I114</f>
        <v>123.72</v>
      </c>
      <c r="AC27" s="1582">
        <f>AF27*AC$3</f>
        <v>0</v>
      </c>
      <c r="AD27" s="1582">
        <f>(AF27)*AD$3</f>
        <v>0</v>
      </c>
      <c r="AE27" s="1582">
        <f>AB27-AC27-AD27</f>
        <v>123.72</v>
      </c>
      <c r="AF27" s="1582">
        <f>S90/1000</f>
        <v>0</v>
      </c>
      <c r="AG27" s="1536">
        <f>AC28+AD28</f>
        <v>0</v>
      </c>
      <c r="AH27" s="1579"/>
    </row>
    <row r="28" spans="1:34" ht="14.45" customHeight="1" x14ac:dyDescent="0.25">
      <c r="A28" s="1521" t="s">
        <v>374</v>
      </c>
      <c r="B28" s="1583" t="s">
        <v>1198</v>
      </c>
      <c r="C28" s="1583"/>
      <c r="D28" s="1584"/>
      <c r="E28" s="1585"/>
      <c r="F28" s="1585"/>
      <c r="G28" s="1585"/>
      <c r="I28" s="1586">
        <f>SUM(I29:I34)</f>
        <v>22.618333333333332</v>
      </c>
      <c r="J28" s="1072" t="s">
        <v>938</v>
      </c>
      <c r="K28" s="641"/>
      <c r="L28" s="211"/>
      <c r="M28" s="1566">
        <f>SUM(M29:M33)</f>
        <v>0</v>
      </c>
      <c r="N28" s="1567">
        <f>SUM(N29:N33)</f>
        <v>6.2413832996875307</v>
      </c>
      <c r="O28" s="1568">
        <f>SUM(O29:O33)</f>
        <v>0.2748088058128047</v>
      </c>
      <c r="P28" s="1569">
        <f>SUM(P29:P33)</f>
        <v>5.9665744938747256</v>
      </c>
      <c r="Q28" s="1570">
        <f>SUM(Q29:Q33)</f>
        <v>1.8886167003124696</v>
      </c>
      <c r="R28" s="843">
        <f>M28+N28+Q28</f>
        <v>8.1300000000000008</v>
      </c>
      <c r="S28" s="797"/>
      <c r="T28" s="1547"/>
      <c r="V28" s="1581"/>
      <c r="W28" s="1400" t="s">
        <v>1199</v>
      </c>
      <c r="X28" s="1534" t="s">
        <v>617</v>
      </c>
      <c r="Y28" s="1582"/>
      <c r="Z28" s="1582"/>
      <c r="AA28" s="1582"/>
      <c r="AB28" s="1582">
        <f>H104</f>
        <v>0</v>
      </c>
      <c r="AC28" s="1582">
        <f>AF28*AC$3</f>
        <v>0</v>
      </c>
      <c r="AD28" s="1582">
        <f>(AF28)*AD$3</f>
        <v>0</v>
      </c>
      <c r="AE28" s="1582">
        <f>AB28-AC28-AD28</f>
        <v>0</v>
      </c>
      <c r="AF28" s="1582">
        <f>S91/1000</f>
        <v>0</v>
      </c>
      <c r="AG28" s="1536">
        <f>AC86+AD86</f>
        <v>0</v>
      </c>
      <c r="AH28" s="1587"/>
    </row>
    <row r="29" spans="1:34" ht="17.25" customHeight="1" x14ac:dyDescent="0.3">
      <c r="B29" s="1281" t="s">
        <v>1200</v>
      </c>
      <c r="C29" s="682">
        <f>[11]Збут!G16</f>
        <v>125</v>
      </c>
      <c r="D29" s="681" t="s">
        <v>1023</v>
      </c>
      <c r="E29" s="681">
        <v>12</v>
      </c>
      <c r="F29" s="681" t="s">
        <v>1201</v>
      </c>
      <c r="G29" s="681"/>
      <c r="I29" s="1588">
        <f>C29*E29/1000</f>
        <v>1.5</v>
      </c>
      <c r="J29" s="1072" t="s">
        <v>938</v>
      </c>
      <c r="K29" s="641"/>
      <c r="L29" s="211"/>
      <c r="M29" s="1531"/>
      <c r="N29" s="1383">
        <f t="shared" si="7"/>
        <v>1.1515467342596919</v>
      </c>
      <c r="O29" s="1575">
        <f>[7]пов!N27</f>
        <v>5.0702731699779457E-2</v>
      </c>
      <c r="P29" s="1576">
        <f>[7]пов!O27</f>
        <v>1.1008440025599124</v>
      </c>
      <c r="Q29" s="1577">
        <f>I29-N29</f>
        <v>0.3484532657403081</v>
      </c>
      <c r="R29" s="843">
        <f t="shared" si="6"/>
        <v>1.5</v>
      </c>
      <c r="S29" s="797"/>
      <c r="T29" s="1547"/>
      <c r="V29" s="1"/>
      <c r="W29" s="1"/>
      <c r="X29" s="1"/>
      <c r="Y29" s="1589"/>
      <c r="Z29" s="1580"/>
      <c r="AA29" s="1590">
        <f>I122-AB87</f>
        <v>0</v>
      </c>
      <c r="AB29" s="1591">
        <f>AC87+AD87+AE87</f>
        <v>3006.3653869808454</v>
      </c>
      <c r="AC29" s="1591">
        <f>AC87-AC6-AC7</f>
        <v>0</v>
      </c>
      <c r="AD29" s="1591">
        <f>AD87-AD6-AD7</f>
        <v>0</v>
      </c>
      <c r="AE29" s="1592">
        <f>[11]дох!C26+[11]дох!C30</f>
        <v>0</v>
      </c>
      <c r="AF29" s="1580"/>
      <c r="AG29" s="1580"/>
      <c r="AH29" s="1587"/>
    </row>
    <row r="30" spans="1:34" x14ac:dyDescent="0.25">
      <c r="B30" s="1281" t="s">
        <v>1202</v>
      </c>
      <c r="D30" s="681"/>
      <c r="E30" s="681"/>
      <c r="F30" s="681" t="s">
        <v>1203</v>
      </c>
      <c r="G30" s="681"/>
      <c r="I30" s="1593">
        <f>(2*50*12+100*2*12)/1000</f>
        <v>3.6</v>
      </c>
      <c r="J30" s="1072" t="s">
        <v>938</v>
      </c>
      <c r="K30" s="641"/>
      <c r="L30" s="211"/>
      <c r="M30" s="1531"/>
      <c r="N30" s="1383">
        <f t="shared" si="7"/>
        <v>2.763712162223261</v>
      </c>
      <c r="O30" s="1575">
        <f>[7]пов!N28</f>
        <v>0.1216865560794707</v>
      </c>
      <c r="P30" s="1576">
        <f>[7]пов!O28</f>
        <v>2.6420256061437901</v>
      </c>
      <c r="Q30" s="1577">
        <f>I30-N30</f>
        <v>0.8362878377767391</v>
      </c>
      <c r="R30" s="843">
        <f t="shared" si="6"/>
        <v>3.6</v>
      </c>
      <c r="S30" s="797"/>
      <c r="T30" s="1547"/>
      <c r="V30" s="1"/>
      <c r="W30" s="1"/>
      <c r="X30" s="1"/>
      <c r="Y30" s="1580"/>
      <c r="Z30" s="1580"/>
      <c r="AA30" s="1580"/>
      <c r="AB30" s="1594">
        <f>AB29-AB6-AB7-AE87+AE6+AE7-'[11]Адм.,збут'!B66-'[11]Адм.,збут'!T42</f>
        <v>-2.8421709430404007E-14</v>
      </c>
      <c r="AD30" s="1580"/>
      <c r="AE30" s="1580"/>
      <c r="AF30" s="1580"/>
      <c r="AG30" s="1579"/>
      <c r="AH30" s="1579"/>
    </row>
    <row r="31" spans="1:34" hidden="1" x14ac:dyDescent="0.25">
      <c r="B31" s="681"/>
      <c r="C31" s="681"/>
      <c r="D31" s="681"/>
      <c r="E31" s="681"/>
      <c r="F31" s="681"/>
      <c r="G31" s="681"/>
      <c r="I31" s="595"/>
      <c r="J31" s="1072"/>
      <c r="K31" s="641"/>
      <c r="L31" s="211"/>
      <c r="M31" s="1531"/>
      <c r="N31" s="1383"/>
      <c r="O31" s="1575">
        <f>[7]пов!N29</f>
        <v>0</v>
      </c>
      <c r="P31" s="1576">
        <f>[7]пов!O29</f>
        <v>0</v>
      </c>
      <c r="Q31" s="1404"/>
      <c r="R31" s="843"/>
      <c r="S31" s="797"/>
      <c r="T31" s="1547"/>
      <c r="V31" s="1"/>
      <c r="W31" s="1"/>
      <c r="X31" s="1"/>
      <c r="Y31" s="1579"/>
      <c r="Z31" s="1579"/>
      <c r="AA31" s="1579"/>
      <c r="AB31" s="1579"/>
      <c r="AC31" s="1595">
        <f>AC29+AD29-('[11]Адм.,збут'!T66+'[11]Адм.,збут'!T42)</f>
        <v>0</v>
      </c>
      <c r="AD31" s="1579"/>
      <c r="AE31" s="1579"/>
      <c r="AF31" s="1579"/>
      <c r="AG31" s="1579"/>
      <c r="AH31" s="1579"/>
    </row>
    <row r="32" spans="1:34" x14ac:dyDescent="0.25">
      <c r="B32" s="1149" t="s">
        <v>1204</v>
      </c>
      <c r="C32" s="1149"/>
      <c r="D32" s="96">
        <f>I117/10</f>
        <v>54</v>
      </c>
      <c r="E32" s="1146" t="s">
        <v>1205</v>
      </c>
      <c r="F32" s="681">
        <v>45</v>
      </c>
      <c r="G32" s="681" t="s">
        <v>625</v>
      </c>
      <c r="I32" s="1596">
        <f>D32*F32/1000</f>
        <v>2.4300000000000002</v>
      </c>
      <c r="J32" s="1072" t="s">
        <v>938</v>
      </c>
      <c r="K32" s="641"/>
      <c r="L32" s="211"/>
      <c r="M32" s="1531"/>
      <c r="N32" s="1383">
        <f t="shared" si="7"/>
        <v>1.865505709500701</v>
      </c>
      <c r="O32" s="1575">
        <f>[7]пов!N30</f>
        <v>8.2138425353642727E-2</v>
      </c>
      <c r="P32" s="1576">
        <f>[7]пов!O30</f>
        <v>1.7833672841470583</v>
      </c>
      <c r="Q32" s="1577">
        <f>I32-N32</f>
        <v>0.56449429049929911</v>
      </c>
      <c r="R32" s="843">
        <f>M32+N32+Q32</f>
        <v>2.4300000000000002</v>
      </c>
      <c r="S32" s="797"/>
      <c r="T32" s="1547"/>
      <c r="V32" s="1"/>
      <c r="W32" s="1"/>
      <c r="X32" s="1"/>
      <c r="Y32" s="1597"/>
      <c r="Z32" s="1597"/>
      <c r="AA32" s="1597"/>
      <c r="AB32" s="1597"/>
      <c r="AC32" s="1598">
        <f>AC87-AC6-AC7-AC8</f>
        <v>0</v>
      </c>
      <c r="AD32" s="1598">
        <f>AD87+AE87-AD6-AD7-AD8-AE6-AE7-AE8</f>
        <v>1613.8630915277181</v>
      </c>
      <c r="AE32" s="1599"/>
      <c r="AF32" s="1579"/>
      <c r="AG32" s="1579"/>
      <c r="AH32" s="1579"/>
    </row>
    <row r="33" spans="1:36" ht="15.75" x14ac:dyDescent="0.25">
      <c r="B33" s="2088" t="s">
        <v>1206</v>
      </c>
      <c r="C33" s="2088"/>
      <c r="D33" s="2088"/>
      <c r="F33" s="678">
        <f>50*12</f>
        <v>600</v>
      </c>
      <c r="G33" s="678"/>
      <c r="I33" s="1596">
        <f xml:space="preserve"> (50*12)/1000</f>
        <v>0.6</v>
      </c>
      <c r="J33" s="1072" t="s">
        <v>938</v>
      </c>
      <c r="K33" s="641"/>
      <c r="L33" s="211"/>
      <c r="M33" s="1531"/>
      <c r="N33" s="1383">
        <f t="shared" si="7"/>
        <v>0.46061869370387676</v>
      </c>
      <c r="O33" s="1575">
        <f>[7]пов!N31</f>
        <v>2.0281092679911784E-2</v>
      </c>
      <c r="P33" s="1576">
        <f>[7]пов!O31</f>
        <v>0.44033760102396496</v>
      </c>
      <c r="Q33" s="1577">
        <f>I33-N33</f>
        <v>0.13938130629612322</v>
      </c>
      <c r="R33" s="843">
        <f>M33+N33+Q33</f>
        <v>0.6</v>
      </c>
      <c r="S33" s="797"/>
      <c r="T33" s="1547"/>
      <c r="V33" s="12"/>
      <c r="W33" s="1600">
        <f>AB87+[11]Збут!M52-AE87</f>
        <v>1832.2608207804983</v>
      </c>
      <c r="X33" s="12"/>
      <c r="Y33" s="1597"/>
      <c r="Z33" s="1597"/>
      <c r="AA33" s="1597"/>
      <c r="AB33" s="1597"/>
      <c r="AC33" s="1597" t="s">
        <v>1207</v>
      </c>
      <c r="AD33" s="1579" t="s">
        <v>1208</v>
      </c>
      <c r="AE33" s="1579" t="s">
        <v>1209</v>
      </c>
      <c r="AF33" s="1579"/>
      <c r="AG33" s="1579">
        <f>AF34*1.2</f>
        <v>3607.6384643770143</v>
      </c>
      <c r="AH33" s="1579"/>
    </row>
    <row r="34" spans="1:36" x14ac:dyDescent="0.25">
      <c r="B34" s="681" t="s">
        <v>1210</v>
      </c>
      <c r="C34" s="681"/>
      <c r="D34" s="681"/>
      <c r="E34" s="681"/>
      <c r="F34" s="681"/>
      <c r="G34" s="681"/>
      <c r="H34" s="148">
        <v>1980</v>
      </c>
      <c r="I34" s="583">
        <f>[11]АВР!G189*12+[11]АВР!I193/2+H34/1000</f>
        <v>14.488333333333335</v>
      </c>
      <c r="J34" s="681" t="s">
        <v>938</v>
      </c>
      <c r="K34" s="148"/>
      <c r="L34" s="211"/>
      <c r="M34" s="1558"/>
      <c r="N34" s="1396"/>
      <c r="O34" s="1559"/>
      <c r="P34" s="1560"/>
      <c r="Q34" s="1577">
        <f>I34-N34</f>
        <v>14.488333333333335</v>
      </c>
      <c r="R34" s="843"/>
      <c r="S34" s="797"/>
      <c r="T34" s="1547"/>
      <c r="V34" s="1"/>
      <c r="W34" s="139">
        <f>AB87+[11]Збут!K52</f>
        <v>8225.877865545137</v>
      </c>
      <c r="X34" s="1"/>
      <c r="Y34" s="1599"/>
      <c r="Z34" s="1579"/>
      <c r="AA34" s="1579"/>
      <c r="AB34" s="1579"/>
      <c r="AC34" s="1599">
        <f>AE87</f>
        <v>3006.3653869808454</v>
      </c>
      <c r="AD34" s="1599"/>
      <c r="AE34" s="1599">
        <f>AF87</f>
        <v>0</v>
      </c>
      <c r="AF34" s="1599">
        <f>SUM(AC34:AE34)</f>
        <v>3006.3653869808454</v>
      </c>
      <c r="AG34" s="1579"/>
      <c r="AH34" s="1579"/>
    </row>
    <row r="35" spans="1:36" hidden="1" x14ac:dyDescent="0.25">
      <c r="B35" s="1556"/>
      <c r="C35" s="1545"/>
      <c r="D35" s="681"/>
      <c r="E35" s="681"/>
      <c r="F35" s="681"/>
      <c r="G35" s="681"/>
      <c r="H35" s="1143"/>
      <c r="I35" s="681"/>
      <c r="J35" s="681"/>
      <c r="K35" s="148"/>
      <c r="L35" s="211"/>
      <c r="M35" s="1558"/>
      <c r="N35" s="1396"/>
      <c r="O35" s="1559"/>
      <c r="P35" s="1560"/>
      <c r="Q35" s="1404"/>
      <c r="R35" s="843"/>
      <c r="S35" s="797"/>
      <c r="T35" s="1547"/>
      <c r="V35" s="1"/>
      <c r="W35" s="139"/>
      <c r="X35" s="1"/>
      <c r="Y35" s="1599"/>
      <c r="Z35" s="1579"/>
      <c r="AA35" s="1579"/>
      <c r="AB35" s="1579"/>
      <c r="AC35" s="1599"/>
      <c r="AD35" s="1599"/>
      <c r="AE35" s="1599"/>
      <c r="AF35" s="1599"/>
      <c r="AG35" s="1579"/>
      <c r="AH35" s="1579"/>
    </row>
    <row r="36" spans="1:36" hidden="1" x14ac:dyDescent="0.25">
      <c r="B36" s="1556"/>
      <c r="C36" s="1545"/>
      <c r="D36" s="681"/>
      <c r="E36" s="681"/>
      <c r="F36" s="681"/>
      <c r="G36" s="681"/>
      <c r="H36" s="1143"/>
      <c r="I36" s="681"/>
      <c r="J36" s="681"/>
      <c r="K36" s="148"/>
      <c r="L36" s="211"/>
      <c r="M36" s="1558"/>
      <c r="N36" s="1396"/>
      <c r="O36" s="1559"/>
      <c r="P36" s="1560"/>
      <c r="Q36" s="1404"/>
      <c r="R36" s="843"/>
      <c r="S36" s="797"/>
      <c r="T36" s="1547"/>
      <c r="V36" s="1"/>
      <c r="W36" s="139"/>
      <c r="X36" s="1"/>
      <c r="Y36" s="1599"/>
      <c r="Z36" s="1579"/>
      <c r="AA36" s="1579"/>
      <c r="AB36" s="1579"/>
      <c r="AC36" s="1599"/>
      <c r="AD36" s="1599"/>
      <c r="AE36" s="1599"/>
      <c r="AF36" s="1599"/>
      <c r="AG36" s="1579"/>
      <c r="AH36" s="1579"/>
    </row>
    <row r="37" spans="1:36" ht="15.75" x14ac:dyDescent="0.25">
      <c r="A37" s="1521" t="s">
        <v>375</v>
      </c>
      <c r="B37" s="1583" t="s">
        <v>507</v>
      </c>
      <c r="C37" s="680"/>
      <c r="D37" s="680"/>
      <c r="E37" s="1601"/>
      <c r="F37" s="681"/>
      <c r="G37" s="681"/>
      <c r="H37" s="680"/>
      <c r="I37" s="680"/>
      <c r="J37" s="680"/>
      <c r="K37" s="1136"/>
      <c r="L37" s="211"/>
      <c r="M37" s="1558"/>
      <c r="N37" s="1396"/>
      <c r="O37" s="1559"/>
      <c r="P37" s="1560"/>
      <c r="Q37" s="1404"/>
      <c r="R37" s="843"/>
      <c r="S37" s="797"/>
      <c r="T37" s="1547"/>
      <c r="V37" s="1602"/>
      <c r="W37" s="1602"/>
      <c r="X37" s="1602"/>
      <c r="Y37" s="1579"/>
      <c r="Z37" s="1602"/>
      <c r="AA37" s="1579"/>
      <c r="AB37" s="1579"/>
      <c r="AC37" s="1579"/>
      <c r="AD37" s="946"/>
      <c r="AE37" s="1302"/>
      <c r="AF37" s="947"/>
      <c r="AG37" s="1579"/>
      <c r="AH37" s="1579"/>
    </row>
    <row r="38" spans="1:36" x14ac:dyDescent="0.25">
      <c r="A38" s="729"/>
      <c r="B38" s="1148" t="s">
        <v>672</v>
      </c>
      <c r="C38" s="1148"/>
      <c r="D38" s="1148" t="s">
        <v>1211</v>
      </c>
      <c r="E38" s="1148" t="s">
        <v>1212</v>
      </c>
      <c r="F38" s="1148" t="s">
        <v>1213</v>
      </c>
      <c r="G38" s="920" t="s">
        <v>1214</v>
      </c>
      <c r="H38" s="674"/>
      <c r="I38" s="674"/>
      <c r="J38" s="674"/>
      <c r="K38" s="824"/>
      <c r="L38" s="205"/>
      <c r="M38" s="1558"/>
      <c r="N38" s="1396"/>
      <c r="O38" s="1559"/>
      <c r="P38" s="1560"/>
      <c r="Q38" s="1404"/>
      <c r="R38" s="843"/>
      <c r="S38" s="797"/>
      <c r="T38" s="1547"/>
      <c r="V38" s="1"/>
      <c r="W38" s="1"/>
      <c r="X38" s="1"/>
      <c r="Y38" s="1603"/>
      <c r="Z38" s="1510"/>
      <c r="AA38" s="1579"/>
      <c r="AB38" s="1579"/>
      <c r="AC38" s="1604"/>
      <c r="AD38" s="946"/>
      <c r="AE38" s="946"/>
      <c r="AF38" s="941"/>
      <c r="AG38" s="1579">
        <f>AF39*1.2</f>
        <v>0</v>
      </c>
      <c r="AH38" s="1579"/>
    </row>
    <row r="39" spans="1:36" ht="11.25" hidden="1" customHeight="1" x14ac:dyDescent="0.25">
      <c r="A39" s="729"/>
      <c r="B39" s="920" t="s">
        <v>1215</v>
      </c>
      <c r="C39" s="920"/>
      <c r="D39" s="920" t="s">
        <v>1079</v>
      </c>
      <c r="E39" s="1605"/>
      <c r="F39" s="1195">
        <f>ROUND(3.06/1.2,2)</f>
        <v>2.5499999999999998</v>
      </c>
      <c r="G39" s="1195">
        <f t="shared" ref="G39:G73" si="10">E39*F39</f>
        <v>0</v>
      </c>
      <c r="I39" s="1606">
        <v>2.5</v>
      </c>
      <c r="J39" s="1606"/>
      <c r="K39" s="629"/>
      <c r="L39" s="609"/>
      <c r="M39" s="1558"/>
      <c r="N39" s="1396"/>
      <c r="O39" s="1559"/>
      <c r="P39" s="1560"/>
      <c r="Q39" s="1404"/>
      <c r="R39" s="843"/>
      <c r="S39" s="797"/>
      <c r="T39" s="1547"/>
      <c r="V39" s="1602"/>
      <c r="W39" s="1602"/>
      <c r="X39" s="1602"/>
      <c r="Y39" s="1579"/>
      <c r="Z39" s="1579"/>
      <c r="AA39" s="1579"/>
      <c r="AB39" s="1579"/>
      <c r="AC39" s="1579"/>
      <c r="AD39" s="946"/>
      <c r="AE39" s="946"/>
      <c r="AF39" s="941"/>
      <c r="AG39" s="1579"/>
      <c r="AH39" s="1579"/>
    </row>
    <row r="40" spans="1:36" s="1607" customFormat="1" ht="11.25" hidden="1" customHeight="1" x14ac:dyDescent="0.25">
      <c r="A40" s="729"/>
      <c r="B40" s="920" t="s">
        <v>1216</v>
      </c>
      <c r="C40" s="920"/>
      <c r="D40" s="920" t="s">
        <v>1217</v>
      </c>
      <c r="E40" s="135"/>
      <c r="F40" s="1195">
        <f>ROUND(1.5/1.2,2)</f>
        <v>1.25</v>
      </c>
      <c r="G40" s="1195">
        <f t="shared" si="10"/>
        <v>0</v>
      </c>
      <c r="H40" s="1146"/>
      <c r="I40" s="1606">
        <v>1.4</v>
      </c>
      <c r="J40" s="1606"/>
      <c r="K40" s="629"/>
      <c r="L40" s="609"/>
      <c r="M40" s="1558"/>
      <c r="N40" s="1396"/>
      <c r="O40" s="1559"/>
      <c r="P40" s="1560"/>
      <c r="Q40" s="1404"/>
      <c r="R40" s="843"/>
      <c r="S40" s="797"/>
      <c r="T40" s="1547"/>
      <c r="V40" s="1602"/>
      <c r="W40" s="1608">
        <f>H79+I4</f>
        <v>527.61447999999996</v>
      </c>
      <c r="X40" s="1602"/>
      <c r="Y40" s="1609" t="s">
        <v>1218</v>
      </c>
      <c r="Z40" s="1610">
        <f>AB6+[11]АВР!K246</f>
        <v>1141.3953241419076</v>
      </c>
      <c r="AA40" s="1609"/>
      <c r="AB40" s="1609"/>
      <c r="AC40" s="1599">
        <f>AF87+[11]Збут!M52</f>
        <v>1832.2608207804985</v>
      </c>
      <c r="AD40" s="946"/>
      <c r="AE40" s="946"/>
      <c r="AF40" s="941"/>
      <c r="AG40" s="1579"/>
      <c r="AH40" s="1579"/>
    </row>
    <row r="41" spans="1:36" s="1607" customFormat="1" ht="11.25" hidden="1" customHeight="1" x14ac:dyDescent="0.25">
      <c r="A41" s="729"/>
      <c r="B41" s="920" t="s">
        <v>1129</v>
      </c>
      <c r="C41" s="920"/>
      <c r="D41" s="920" t="s">
        <v>1079</v>
      </c>
      <c r="E41" s="135"/>
      <c r="F41" s="1195">
        <f t="shared" ref="F41" si="11">ROUND(I41*1.053,2)</f>
        <v>1.05</v>
      </c>
      <c r="G41" s="1195">
        <f>E41*F41</f>
        <v>0</v>
      </c>
      <c r="H41" s="1146"/>
      <c r="I41" s="1606">
        <v>1</v>
      </c>
      <c r="J41" s="1606"/>
      <c r="K41" s="629"/>
      <c r="L41" s="609"/>
      <c r="M41" s="1558"/>
      <c r="N41" s="1396"/>
      <c r="O41" s="1559"/>
      <c r="P41" s="1560"/>
      <c r="Q41" s="1404"/>
      <c r="R41" s="843"/>
      <c r="S41" s="797"/>
      <c r="T41" s="1547"/>
      <c r="V41" s="1"/>
      <c r="W41" s="1608">
        <f>H80+I5</f>
        <v>116.0751856</v>
      </c>
      <c r="X41" s="1"/>
      <c r="Y41" s="1611" t="s">
        <v>1219</v>
      </c>
      <c r="Z41" s="1612">
        <f>AB7+[11]АВР!K252</f>
        <v>251.10697131121967</v>
      </c>
      <c r="AA41" s="1609"/>
      <c r="AB41" s="1609"/>
      <c r="AC41" s="1579"/>
      <c r="AD41" s="946"/>
      <c r="AE41" s="946"/>
      <c r="AF41" s="941"/>
      <c r="AG41" s="1579"/>
      <c r="AH41" s="1579"/>
    </row>
    <row r="42" spans="1:36" s="1607" customFormat="1" ht="11.25" customHeight="1" x14ac:dyDescent="0.25">
      <c r="A42" s="729"/>
      <c r="B42" s="920" t="str">
        <f>[7]пов!B42</f>
        <v>Льон сантехнічний (пакля)</v>
      </c>
      <c r="C42" s="920" t="str">
        <f>[7]пов!C42</f>
        <v>19430000-9</v>
      </c>
      <c r="D42" s="920" t="str">
        <f>[7]пов!D42</f>
        <v>шт</v>
      </c>
      <c r="E42" s="920">
        <f>[7]пов!E42</f>
        <v>4</v>
      </c>
      <c r="F42" s="1030">
        <f>[7]пов!F42</f>
        <v>130.80000000000001</v>
      </c>
      <c r="G42" s="1195">
        <f>E42*F42</f>
        <v>523.20000000000005</v>
      </c>
      <c r="H42" s="674"/>
      <c r="I42" s="576">
        <v>157.5</v>
      </c>
      <c r="J42" s="1606"/>
      <c r="K42" s="629"/>
      <c r="L42" s="609"/>
      <c r="M42" s="1558"/>
      <c r="N42" s="1396"/>
      <c r="O42" s="1559"/>
      <c r="P42" s="1560"/>
      <c r="Q42" s="1404"/>
      <c r="R42" s="843"/>
      <c r="S42" s="629"/>
      <c r="T42" s="657"/>
      <c r="V42" s="1"/>
      <c r="W42" s="1613">
        <f>S80-S46-S47+S85</f>
        <v>0</v>
      </c>
      <c r="X42" s="1"/>
      <c r="Y42" s="1609" t="s">
        <v>1220</v>
      </c>
      <c r="Z42" s="1610">
        <f>[11]АВР!K258+AB8</f>
        <v>0</v>
      </c>
      <c r="AA42" s="1609"/>
      <c r="AB42" s="1609"/>
      <c r="AC42" s="1579"/>
      <c r="AD42" s="946"/>
      <c r="AE42" s="1579"/>
      <c r="AF42" s="1579"/>
      <c r="AG42" s="1579"/>
      <c r="AH42" s="1579"/>
    </row>
    <row r="43" spans="1:36" s="1607" customFormat="1" ht="11.25" customHeight="1" x14ac:dyDescent="0.25">
      <c r="A43" s="729"/>
      <c r="B43" s="920" t="str">
        <f>[7]пов!B43</f>
        <v>Ліхтар</v>
      </c>
      <c r="C43" s="920" t="str">
        <f>[7]пов!C43</f>
        <v>31500000-1</v>
      </c>
      <c r="D43" s="920" t="str">
        <f>[7]пов!D43</f>
        <v>шт</v>
      </c>
      <c r="E43" s="920">
        <f>[7]пов!E43</f>
        <v>1</v>
      </c>
      <c r="F43" s="1030">
        <f>[7]пов!F43</f>
        <v>541.66666666666674</v>
      </c>
      <c r="G43" s="1195">
        <f t="shared" si="10"/>
        <v>541.66666666666674</v>
      </c>
      <c r="H43" s="674"/>
      <c r="I43" s="576">
        <v>23.67</v>
      </c>
      <c r="J43" s="1606"/>
      <c r="K43" s="629"/>
      <c r="L43" s="609"/>
      <c r="M43" s="1558"/>
      <c r="N43" s="1396"/>
      <c r="O43" s="1559"/>
      <c r="P43" s="1560"/>
      <c r="Q43" s="1404"/>
      <c r="R43" s="843"/>
      <c r="S43" s="1546"/>
      <c r="T43" s="1547"/>
      <c r="V43" s="1136"/>
      <c r="W43" s="1136"/>
      <c r="X43" s="1136"/>
      <c r="Y43" s="1609" t="s">
        <v>1221</v>
      </c>
      <c r="Z43" s="1614">
        <f>AB87-AB6-AB7-AB8+[11]АВР!K259</f>
        <v>1641.7936498610513</v>
      </c>
      <c r="AA43" s="1609"/>
      <c r="AB43" s="1609"/>
      <c r="AC43" s="1579"/>
      <c r="AD43" s="1579"/>
      <c r="AE43" s="1599">
        <f>AE87+[11]АВР!K287</f>
        <v>3034.2959453141789</v>
      </c>
      <c r="AF43" s="1579"/>
      <c r="AG43" s="1579"/>
      <c r="AH43" s="1579"/>
    </row>
    <row r="44" spans="1:36" ht="11.25" customHeight="1" x14ac:dyDescent="0.25">
      <c r="A44" s="729"/>
      <c r="B44" s="920" t="str">
        <f>[7]пов!B44</f>
        <v>Паяльник 40Вт</v>
      </c>
      <c r="C44" s="920" t="str">
        <f>[7]пов!C44</f>
        <v>44510000-8</v>
      </c>
      <c r="D44" s="920" t="str">
        <f>[7]пов!D44</f>
        <v>шт</v>
      </c>
      <c r="E44" s="920">
        <f>[7]пов!E44</f>
        <v>1</v>
      </c>
      <c r="F44" s="1030">
        <f>[7]пов!F44</f>
        <v>106.3</v>
      </c>
      <c r="G44" s="1195">
        <f t="shared" si="10"/>
        <v>106.3</v>
      </c>
      <c r="H44" s="674"/>
      <c r="I44" s="576">
        <v>141.66999999999999</v>
      </c>
      <c r="J44" s="1606"/>
      <c r="K44" s="629"/>
      <c r="L44" s="609"/>
      <c r="M44" s="1558"/>
      <c r="N44" s="1396"/>
      <c r="O44" s="1559"/>
      <c r="P44" s="1560"/>
      <c r="Q44" s="1404"/>
      <c r="R44" s="843"/>
      <c r="S44" s="1546"/>
      <c r="T44" s="1547"/>
      <c r="V44" s="641"/>
      <c r="W44" s="1613">
        <f>SUM(T51:T55)</f>
        <v>0</v>
      </c>
      <c r="X44" s="641"/>
      <c r="Y44" s="1609"/>
      <c r="Z44" s="1612">
        <f>SUM(Z40:Z43)</f>
        <v>3034.2959453141784</v>
      </c>
      <c r="AA44" s="1609"/>
      <c r="AB44" s="1609"/>
      <c r="AC44" s="1579"/>
      <c r="AD44" s="1579"/>
      <c r="AE44" s="1579"/>
      <c r="AF44" s="1579"/>
      <c r="AG44" s="1579"/>
      <c r="AH44" s="513"/>
    </row>
    <row r="45" spans="1:36" ht="11.25" customHeight="1" x14ac:dyDescent="0.25">
      <c r="A45" s="729"/>
      <c r="B45" s="920" t="str">
        <f>[7]пов!B45</f>
        <v>Стрічка тефлонова</v>
      </c>
      <c r="C45" s="920" t="str">
        <f>[7]пов!C45</f>
        <v>44173000-3</v>
      </c>
      <c r="D45" s="920" t="str">
        <f>[7]пов!D45</f>
        <v>шт</v>
      </c>
      <c r="E45" s="920">
        <f>[7]пов!E45</f>
        <v>72</v>
      </c>
      <c r="F45" s="1030">
        <f>[7]пов!F45</f>
        <v>80</v>
      </c>
      <c r="G45" s="1195">
        <f t="shared" si="10"/>
        <v>5760</v>
      </c>
      <c r="H45" s="674"/>
      <c r="I45" s="576">
        <v>208.33</v>
      </c>
      <c r="J45" s="1606"/>
      <c r="K45" s="629"/>
      <c r="L45" s="609"/>
      <c r="M45" s="1558"/>
      <c r="N45" s="1396"/>
      <c r="O45" s="1559"/>
      <c r="P45" s="1560"/>
      <c r="Q45" s="1404"/>
      <c r="R45" s="843"/>
      <c r="S45" s="1546"/>
      <c r="T45" s="1547"/>
      <c r="V45" s="641"/>
      <c r="W45" s="1613"/>
      <c r="X45" s="641"/>
      <c r="Y45" s="1609"/>
      <c r="Z45" s="1612"/>
      <c r="AA45" s="1609"/>
      <c r="AB45" s="1609"/>
      <c r="AC45" s="1579"/>
      <c r="AD45" s="1579"/>
      <c r="AE45" s="1579"/>
      <c r="AF45" s="1579"/>
      <c r="AG45" s="1579"/>
      <c r="AH45" s="513"/>
    </row>
    <row r="46" spans="1:36" ht="11.25" customHeight="1" x14ac:dyDescent="0.25">
      <c r="A46" s="729"/>
      <c r="B46" s="920" t="str">
        <f>[7]пов!B46</f>
        <v>Круглогубці</v>
      </c>
      <c r="C46" s="920" t="str">
        <f>[7]пов!C46</f>
        <v>44510000-8</v>
      </c>
      <c r="D46" s="920" t="str">
        <f>[7]пов!D46</f>
        <v>шт</v>
      </c>
      <c r="E46" s="920">
        <f>[7]пов!E46</f>
        <v>1</v>
      </c>
      <c r="F46" s="1030">
        <f>[7]пов!F46</f>
        <v>219.4</v>
      </c>
      <c r="G46" s="1195">
        <f t="shared" si="10"/>
        <v>219.4</v>
      </c>
      <c r="H46" s="674"/>
      <c r="I46" s="576">
        <v>350</v>
      </c>
      <c r="J46" s="1606"/>
      <c r="K46" s="629"/>
      <c r="L46" s="609"/>
      <c r="M46" s="1558"/>
      <c r="N46" s="1396"/>
      <c r="O46" s="1559"/>
      <c r="P46" s="1560"/>
      <c r="Q46" s="1404"/>
      <c r="R46" s="843"/>
      <c r="S46" s="629"/>
      <c r="T46" s="657"/>
      <c r="V46" s="148"/>
      <c r="W46" s="148"/>
      <c r="X46" s="148"/>
      <c r="Y46" s="1609"/>
      <c r="Z46" s="1609"/>
      <c r="AA46" s="1609"/>
      <c r="AB46" s="1609"/>
      <c r="AC46" s="1579"/>
      <c r="AD46" s="1579"/>
      <c r="AE46" s="1579"/>
      <c r="AF46" s="1579"/>
      <c r="AG46" s="1579"/>
      <c r="AH46" s="148"/>
    </row>
    <row r="47" spans="1:36" ht="11.25" customHeight="1" x14ac:dyDescent="0.25">
      <c r="A47" s="729"/>
      <c r="B47" s="920" t="str">
        <f>[7]пов!B47</f>
        <v xml:space="preserve">Плоскогубці </v>
      </c>
      <c r="C47" s="920" t="str">
        <f>[7]пов!C47</f>
        <v>44510000-8</v>
      </c>
      <c r="D47" s="920" t="str">
        <f>[7]пов!D47</f>
        <v>шт</v>
      </c>
      <c r="E47" s="920">
        <f>[7]пов!E47</f>
        <v>2</v>
      </c>
      <c r="F47" s="1030">
        <f>[7]пов!F47</f>
        <v>149.19999999999999</v>
      </c>
      <c r="G47" s="1195">
        <f t="shared" si="10"/>
        <v>298.39999999999998</v>
      </c>
      <c r="H47" s="674"/>
      <c r="I47" s="576">
        <v>40.42</v>
      </c>
      <c r="J47" s="1606"/>
      <c r="K47" s="629"/>
      <c r="L47" s="609"/>
      <c r="M47" s="1558"/>
      <c r="N47" s="1396"/>
      <c r="O47" s="1559"/>
      <c r="P47" s="1560"/>
      <c r="Q47" s="1404"/>
      <c r="R47" s="843"/>
      <c r="S47" s="629"/>
      <c r="T47" s="657"/>
      <c r="V47" s="148"/>
      <c r="W47" s="148"/>
      <c r="X47" s="148"/>
      <c r="Y47" s="1579"/>
      <c r="Z47" s="1579"/>
      <c r="AA47" s="1579"/>
      <c r="AB47" s="1579"/>
      <c r="AC47" s="1579"/>
      <c r="AD47" s="1579"/>
      <c r="AE47" s="1579"/>
      <c r="AF47" s="1579"/>
      <c r="AG47" s="1579"/>
      <c r="AH47" s="148"/>
    </row>
    <row r="48" spans="1:36" ht="11.25" customHeight="1" x14ac:dyDescent="0.25">
      <c r="A48" s="729"/>
      <c r="B48" s="920" t="str">
        <f>[7]пов!B48</f>
        <v>Припій</v>
      </c>
      <c r="C48" s="920" t="str">
        <f>[7]пов!C48</f>
        <v>44510000-8</v>
      </c>
      <c r="D48" s="920" t="str">
        <f>[7]пов!D48</f>
        <v>шт</v>
      </c>
      <c r="E48" s="920">
        <f>[7]пов!E48</f>
        <v>2</v>
      </c>
      <c r="F48" s="1030">
        <f>[7]пов!F48</f>
        <v>24.92</v>
      </c>
      <c r="G48" s="1195">
        <f t="shared" si="10"/>
        <v>49.84</v>
      </c>
      <c r="H48" s="674"/>
      <c r="I48" s="576">
        <v>54.42</v>
      </c>
      <c r="J48" s="1606"/>
      <c r="K48" s="629"/>
      <c r="L48" s="609"/>
      <c r="M48" s="1558"/>
      <c r="N48" s="1396"/>
      <c r="O48" s="1559"/>
      <c r="P48" s="1560"/>
      <c r="Q48" s="1404"/>
      <c r="R48" s="843"/>
      <c r="S48" s="629"/>
      <c r="T48" s="657"/>
      <c r="V48" s="148"/>
      <c r="W48" s="148"/>
      <c r="X48" s="148"/>
      <c r="Y48" s="1579"/>
      <c r="Z48" s="1615"/>
      <c r="AA48" s="1579"/>
      <c r="AB48" s="1579"/>
      <c r="AC48" s="1579"/>
      <c r="AD48" s="1579"/>
      <c r="AE48" s="1579"/>
      <c r="AF48" s="1579"/>
      <c r="AG48" s="1579"/>
      <c r="AH48" s="148"/>
      <c r="AJ48" s="1616" t="s">
        <v>1222</v>
      </c>
    </row>
    <row r="49" spans="1:36" ht="11.25" customHeight="1" x14ac:dyDescent="0.25">
      <c r="A49" s="729"/>
      <c r="B49" s="920" t="str">
        <f>[7]пов!B49</f>
        <v xml:space="preserve">Кувалда 2 кг. </v>
      </c>
      <c r="C49" s="920" t="str">
        <f>[7]пов!C49</f>
        <v>44510000-8</v>
      </c>
      <c r="D49" s="920" t="str">
        <f>[7]пов!D49</f>
        <v>шт</v>
      </c>
      <c r="E49" s="920">
        <f>[7]пов!E49</f>
        <v>1</v>
      </c>
      <c r="F49" s="1030">
        <f>[7]пов!F49</f>
        <v>375</v>
      </c>
      <c r="G49" s="1195">
        <f t="shared" si="10"/>
        <v>375</v>
      </c>
      <c r="H49" s="674"/>
      <c r="I49" s="576">
        <v>171.08</v>
      </c>
      <c r="J49" s="1606"/>
      <c r="K49" s="629"/>
      <c r="L49" s="609"/>
      <c r="M49" s="1558"/>
      <c r="N49" s="1396"/>
      <c r="O49" s="1559"/>
      <c r="P49" s="1560"/>
      <c r="Q49" s="1404"/>
      <c r="R49" s="843"/>
      <c r="S49" s="629"/>
      <c r="T49" s="657"/>
      <c r="V49" s="1"/>
      <c r="W49" s="1"/>
      <c r="X49" s="1"/>
      <c r="Y49" s="1579"/>
      <c r="Z49" s="1579"/>
      <c r="AA49" s="1615"/>
      <c r="AB49" s="1579"/>
      <c r="AC49" s="1579"/>
      <c r="AD49" s="1579"/>
      <c r="AE49" s="1579"/>
      <c r="AF49" s="1579"/>
      <c r="AG49" s="1579"/>
      <c r="AH49" s="148"/>
    </row>
    <row r="50" spans="1:36" ht="11.25" customHeight="1" x14ac:dyDescent="0.25">
      <c r="A50" s="729"/>
      <c r="B50" s="920" t="str">
        <f>[7]пов!B50</f>
        <v>Молоток каменяра</v>
      </c>
      <c r="C50" s="920" t="str">
        <f>[7]пов!C50</f>
        <v>44510000-8</v>
      </c>
      <c r="D50" s="920" t="str">
        <f>[7]пов!D50</f>
        <v>шт</v>
      </c>
      <c r="E50" s="920">
        <f>[7]пов!E50</f>
        <v>1</v>
      </c>
      <c r="F50" s="1030">
        <f>[7]пов!F50</f>
        <v>483.33333333333337</v>
      </c>
      <c r="G50" s="1195">
        <f t="shared" si="10"/>
        <v>483.33333333333337</v>
      </c>
      <c r="H50" s="674"/>
      <c r="I50" s="576">
        <v>165.38</v>
      </c>
      <c r="J50" s="1606"/>
      <c r="K50" s="629"/>
      <c r="L50" s="609"/>
      <c r="M50" s="1558"/>
      <c r="N50" s="1396"/>
      <c r="O50" s="1559"/>
      <c r="P50" s="1560"/>
      <c r="Q50" s="1404"/>
      <c r="R50" s="843"/>
      <c r="S50" s="629"/>
      <c r="T50" s="657"/>
      <c r="V50" s="132"/>
      <c r="W50" s="1608"/>
      <c r="X50" s="132"/>
      <c r="Y50" s="1617"/>
      <c r="Z50" s="1617"/>
      <c r="AA50" s="1618"/>
      <c r="AB50" s="1619"/>
      <c r="AC50" s="1618"/>
      <c r="AD50" s="1579"/>
      <c r="AE50" s="1579"/>
      <c r="AF50" s="1579"/>
      <c r="AG50" s="513"/>
      <c r="AH50" s="148"/>
    </row>
    <row r="51" spans="1:36" ht="11.25" customHeight="1" x14ac:dyDescent="0.25">
      <c r="A51" s="729"/>
      <c r="B51" s="920" t="str">
        <f>[7]пов!B51</f>
        <v>Лом малий 0,5 м</v>
      </c>
      <c r="C51" s="920" t="str">
        <f>[7]пов!C51</f>
        <v>44510000-8</v>
      </c>
      <c r="D51" s="920" t="str">
        <f>[7]пов!D51</f>
        <v>шт</v>
      </c>
      <c r="E51" s="920">
        <f>[7]пов!E51</f>
        <v>1</v>
      </c>
      <c r="F51" s="1030">
        <f>[7]пов!F51</f>
        <v>208.33333333333334</v>
      </c>
      <c r="G51" s="1195">
        <f t="shared" si="10"/>
        <v>208.33333333333334</v>
      </c>
      <c r="H51" s="674"/>
      <c r="I51" s="576">
        <v>124</v>
      </c>
      <c r="J51" s="1606"/>
      <c r="K51" s="629"/>
      <c r="L51" s="609"/>
      <c r="M51" s="1558"/>
      <c r="N51" s="1396"/>
      <c r="O51" s="1559"/>
      <c r="P51" s="1560"/>
      <c r="Q51" s="1404"/>
      <c r="R51" s="843"/>
      <c r="S51" s="1620"/>
      <c r="T51" s="1621"/>
      <c r="V51" s="1"/>
      <c r="W51" s="1"/>
      <c r="X51" s="1"/>
      <c r="Y51" s="1622"/>
      <c r="Z51" s="1622"/>
      <c r="AA51" s="1622"/>
      <c r="AB51" s="1622"/>
      <c r="AC51" s="1622"/>
      <c r="AD51" s="1579"/>
      <c r="AE51" s="1579"/>
      <c r="AF51" s="1579"/>
      <c r="AG51" s="148"/>
      <c r="AH51" s="148"/>
    </row>
    <row r="52" spans="1:36" ht="11.25" customHeight="1" x14ac:dyDescent="0.25">
      <c r="A52" s="729"/>
      <c r="B52" s="920" t="str">
        <f>[7]пов!B52</f>
        <v>Кисть малярська середня</v>
      </c>
      <c r="C52" s="920" t="str">
        <f>[7]пов!C52</f>
        <v>44510000-8</v>
      </c>
      <c r="D52" s="920" t="str">
        <f>[7]пов!D52</f>
        <v>шт</v>
      </c>
      <c r="E52" s="920">
        <f>[7]пов!E52</f>
        <v>1</v>
      </c>
      <c r="F52" s="1030">
        <f>[7]пов!F52</f>
        <v>56.666666666666671</v>
      </c>
      <c r="G52" s="1195">
        <f t="shared" si="10"/>
        <v>56.666666666666671</v>
      </c>
      <c r="H52" s="674"/>
      <c r="I52" s="576">
        <v>51.92</v>
      </c>
      <c r="J52" s="1606"/>
      <c r="K52" s="629"/>
      <c r="L52" s="609"/>
      <c r="M52" s="1558"/>
      <c r="N52" s="1396"/>
      <c r="O52" s="1559"/>
      <c r="P52" s="1560"/>
      <c r="Q52" s="1404"/>
      <c r="R52" s="843"/>
      <c r="S52" s="1620"/>
      <c r="T52" s="1621"/>
      <c r="V52" s="1"/>
      <c r="W52" s="941"/>
      <c r="X52" s="1366" t="s">
        <v>885</v>
      </c>
      <c r="Y52" s="1366" t="s">
        <v>886</v>
      </c>
      <c r="Z52" s="964" t="s">
        <v>887</v>
      </c>
      <c r="AA52" s="1618"/>
      <c r="AB52" s="1623"/>
      <c r="AC52" s="1618"/>
      <c r="AD52" s="1579"/>
      <c r="AE52" s="1579"/>
      <c r="AF52" s="1579"/>
      <c r="AG52" s="148"/>
      <c r="AH52" s="148"/>
    </row>
    <row r="53" spans="1:36" ht="11.25" customHeight="1" x14ac:dyDescent="0.25">
      <c r="A53" s="729"/>
      <c r="B53" s="920" t="str">
        <f>[7]пов!B53</f>
        <v>Кельма</v>
      </c>
      <c r="C53" s="920" t="str">
        <f>[7]пов!C53</f>
        <v>44510000-8</v>
      </c>
      <c r="D53" s="920" t="str">
        <f>[7]пов!D53</f>
        <v>шт</v>
      </c>
      <c r="E53" s="920">
        <f>[7]пов!E53</f>
        <v>1</v>
      </c>
      <c r="F53" s="1030">
        <f>[7]пов!F53</f>
        <v>100</v>
      </c>
      <c r="G53" s="1195">
        <f t="shared" si="10"/>
        <v>100</v>
      </c>
      <c r="H53" s="674"/>
      <c r="I53" s="576">
        <v>32.08</v>
      </c>
      <c r="J53" s="1606"/>
      <c r="K53" s="629"/>
      <c r="L53" s="609"/>
      <c r="M53" s="1558"/>
      <c r="N53" s="1396"/>
      <c r="O53" s="1559"/>
      <c r="P53" s="1560"/>
      <c r="Q53" s="1404"/>
      <c r="R53" s="843"/>
      <c r="S53" s="1620"/>
      <c r="T53" s="1621"/>
      <c r="V53" s="1"/>
      <c r="W53" s="1367" t="s">
        <v>500</v>
      </c>
      <c r="X53" s="1368">
        <f>[11]площі!C4</f>
        <v>226.2</v>
      </c>
      <c r="Y53" s="1368">
        <f>[11]площі!D4</f>
        <v>1.5543982461445416E-2</v>
      </c>
      <c r="Z53" s="1368">
        <f>[11]площі!E4</f>
        <v>24.653200786211062</v>
      </c>
      <c r="AA53" s="1618"/>
      <c r="AB53" s="1623"/>
      <c r="AC53" s="1618"/>
      <c r="AD53" s="1579"/>
      <c r="AE53" s="1579"/>
      <c r="AF53" s="1579"/>
      <c r="AG53" s="148"/>
    </row>
    <row r="54" spans="1:36" ht="11.25" customHeight="1" x14ac:dyDescent="0.25">
      <c r="A54" s="729"/>
      <c r="B54" s="920" t="str">
        <f>[7]пов!B54</f>
        <v>Черпак штукатурний малий</v>
      </c>
      <c r="C54" s="920" t="str">
        <f>[7]пов!C54</f>
        <v>44510000-8</v>
      </c>
      <c r="D54" s="920" t="str">
        <f>[7]пов!D54</f>
        <v>шт</v>
      </c>
      <c r="E54" s="920">
        <f>[7]пов!E54</f>
        <v>1</v>
      </c>
      <c r="F54" s="1030">
        <f>[7]пов!F54</f>
        <v>100</v>
      </c>
      <c r="G54" s="1195">
        <f t="shared" si="10"/>
        <v>100</v>
      </c>
      <c r="H54" s="674"/>
      <c r="I54" s="576">
        <v>107.1</v>
      </c>
      <c r="J54" s="1606"/>
      <c r="K54" s="629"/>
      <c r="L54" s="609"/>
      <c r="M54" s="1558"/>
      <c r="N54" s="1396"/>
      <c r="O54" s="1559"/>
      <c r="P54" s="1560"/>
      <c r="Q54" s="1404"/>
      <c r="R54" s="843"/>
      <c r="S54" s="1620"/>
      <c r="T54" s="1621"/>
      <c r="V54" s="1"/>
      <c r="W54" s="1370" t="s">
        <v>913</v>
      </c>
      <c r="X54" s="1368">
        <f>[11]площі!C5</f>
        <v>136</v>
      </c>
      <c r="Y54" s="1368">
        <f>[11]площі!D5</f>
        <v>9.3456304807983063E-3</v>
      </c>
      <c r="Z54" s="1368">
        <f>[11]площі!E5</f>
        <v>14.82243725430904</v>
      </c>
      <c r="AA54" s="1618"/>
      <c r="AB54" s="1623"/>
      <c r="AC54" s="1618"/>
      <c r="AD54" s="1579"/>
      <c r="AE54" s="1579"/>
      <c r="AF54" s="1579"/>
      <c r="AG54" s="148"/>
    </row>
    <row r="55" spans="1:36" ht="11.25" customHeight="1" x14ac:dyDescent="0.25">
      <c r="A55" s="729"/>
      <c r="B55" s="920" t="str">
        <f>[7]пов!B55</f>
        <v>Шпатель штукатурний</v>
      </c>
      <c r="C55" s="920" t="str">
        <f>[7]пов!C55</f>
        <v>44510000-8</v>
      </c>
      <c r="D55" s="920" t="str">
        <f>[7]пов!D55</f>
        <v>шт</v>
      </c>
      <c r="E55" s="920">
        <f>[7]пов!E55</f>
        <v>1</v>
      </c>
      <c r="F55" s="1030">
        <f>[7]пов!F55</f>
        <v>100</v>
      </c>
      <c r="G55" s="1195">
        <f t="shared" si="10"/>
        <v>100</v>
      </c>
      <c r="H55" s="674"/>
      <c r="I55" s="576">
        <v>71.08</v>
      </c>
      <c r="J55" s="1606"/>
      <c r="K55" s="629"/>
      <c r="L55" s="609"/>
      <c r="M55" s="1558"/>
      <c r="N55" s="1396"/>
      <c r="O55" s="1559"/>
      <c r="P55" s="1560"/>
      <c r="Q55" s="1404"/>
      <c r="R55" s="843"/>
      <c r="S55" s="1620"/>
      <c r="T55" s="1621"/>
      <c r="V55" s="1"/>
      <c r="W55" s="1370" t="s">
        <v>914</v>
      </c>
      <c r="X55" s="1368">
        <f>[11]площі!C6</f>
        <v>299.2</v>
      </c>
      <c r="Y55" s="1368">
        <f>[11]площі!D6</f>
        <v>2.0560387057756275E-2</v>
      </c>
      <c r="Z55" s="1368">
        <f>[11]площі!E6</f>
        <v>32.609361959479891</v>
      </c>
      <c r="AA55" s="1618"/>
      <c r="AB55" s="1623"/>
      <c r="AC55" s="1618"/>
      <c r="AD55" s="1579"/>
      <c r="AE55" s="1579"/>
      <c r="AF55" s="1579"/>
      <c r="AG55" s="148"/>
    </row>
    <row r="56" spans="1:36" ht="11.25" customHeight="1" x14ac:dyDescent="0.25">
      <c r="A56" s="729"/>
      <c r="B56" s="920" t="str">
        <f>[7]пов!B56</f>
        <v>Лопати мала саперна складна під кутом 900</v>
      </c>
      <c r="C56" s="920" t="str">
        <f>[7]пов!C56</f>
        <v>44510000-8</v>
      </c>
      <c r="D56" s="920" t="str">
        <f>[7]пов!D56</f>
        <v>шт</v>
      </c>
      <c r="E56" s="920">
        <f>[7]пов!E56</f>
        <v>1</v>
      </c>
      <c r="F56" s="1030">
        <f>[7]пов!F56</f>
        <v>433.33333333333337</v>
      </c>
      <c r="G56" s="1195">
        <f t="shared" si="10"/>
        <v>433.33333333333337</v>
      </c>
      <c r="H56" s="674"/>
      <c r="I56" s="576">
        <v>140.41999999999999</v>
      </c>
      <c r="J56" s="1606"/>
      <c r="K56" s="629"/>
      <c r="L56" s="609"/>
      <c r="M56" s="1558"/>
      <c r="N56" s="1396"/>
      <c r="O56" s="1559"/>
      <c r="P56" s="1560"/>
      <c r="Q56" s="1404"/>
      <c r="R56" s="843"/>
      <c r="S56" s="1546"/>
      <c r="T56" s="1547"/>
      <c r="V56" s="1"/>
      <c r="W56" s="1370"/>
      <c r="X56" s="1368"/>
      <c r="Y56" s="1368"/>
      <c r="Z56" s="1368"/>
      <c r="AA56" s="1618"/>
      <c r="AB56" s="1624"/>
      <c r="AC56" s="1618"/>
      <c r="AD56" s="1579"/>
      <c r="AE56" s="1579"/>
      <c r="AF56" s="1579"/>
    </row>
    <row r="57" spans="1:36" s="1607" customFormat="1" ht="11.25" customHeight="1" x14ac:dyDescent="0.25">
      <c r="A57" s="729"/>
      <c r="B57" s="920" t="str">
        <f>[7]пов!B57</f>
        <v>Лопата совкова</v>
      </c>
      <c r="C57" s="920" t="str">
        <f>[7]пов!C57</f>
        <v>44510000-8</v>
      </c>
      <c r="D57" s="920" t="str">
        <f>[7]пов!D57</f>
        <v>шт</v>
      </c>
      <c r="E57" s="920">
        <f>[7]пов!E57</f>
        <v>1</v>
      </c>
      <c r="F57" s="1030">
        <f>[7]пов!F57</f>
        <v>258.33333333333337</v>
      </c>
      <c r="G57" s="1195">
        <f>E57*F57</f>
        <v>258.33333333333337</v>
      </c>
      <c r="H57" s="674"/>
      <c r="I57" s="576">
        <v>70.83</v>
      </c>
      <c r="J57" s="1606"/>
      <c r="K57" s="629"/>
      <c r="L57" s="609"/>
      <c r="M57" s="1558"/>
      <c r="N57" s="1396"/>
      <c r="O57" s="1559"/>
      <c r="P57" s="1560"/>
      <c r="Q57" s="1404"/>
      <c r="R57" s="843"/>
      <c r="S57" s="1625"/>
      <c r="T57" s="1626"/>
      <c r="V57" s="1"/>
      <c r="W57" s="1373" t="s">
        <v>916</v>
      </c>
      <c r="X57" s="1368">
        <f>SUM(X53:X56)</f>
        <v>661.4</v>
      </c>
      <c r="Y57" s="1368">
        <v>6.279846359618943E-2</v>
      </c>
      <c r="Z57" s="1368">
        <v>72.084999999999994</v>
      </c>
      <c r="AA57" s="1618"/>
      <c r="AB57" s="1624"/>
      <c r="AC57" s="1618"/>
      <c r="AD57" s="1579"/>
      <c r="AE57" s="1579"/>
      <c r="AF57" s="1579"/>
      <c r="AG57" s="821"/>
    </row>
    <row r="58" spans="1:36" s="1607" customFormat="1" ht="11.25" customHeight="1" x14ac:dyDescent="0.25">
      <c r="A58" s="729"/>
      <c r="B58" s="920" t="str">
        <f>[7]пов!B58</f>
        <v>Лопата штикова</v>
      </c>
      <c r="C58" s="920" t="str">
        <f>[7]пов!C58</f>
        <v>44510000-8</v>
      </c>
      <c r="D58" s="920" t="str">
        <f>[7]пов!D58</f>
        <v>шт</v>
      </c>
      <c r="E58" s="920">
        <f>[7]пов!E58</f>
        <v>5</v>
      </c>
      <c r="F58" s="1030">
        <f>[7]пов!F58</f>
        <v>291.66666666666669</v>
      </c>
      <c r="G58" s="1195">
        <f t="shared" si="10"/>
        <v>1458.3333333333335</v>
      </c>
      <c r="H58" s="674"/>
      <c r="I58" s="576">
        <v>73.75</v>
      </c>
      <c r="J58" s="1606"/>
      <c r="K58" s="629"/>
      <c r="L58" s="609"/>
      <c r="M58" s="1558"/>
      <c r="N58" s="1396"/>
      <c r="O58" s="1559"/>
      <c r="P58" s="1560"/>
      <c r="Q58" s="1404"/>
      <c r="R58" s="843"/>
      <c r="S58" s="1625"/>
      <c r="T58" s="1626"/>
      <c r="V58" s="821"/>
      <c r="AA58" s="821"/>
      <c r="AB58" s="821"/>
      <c r="AC58" s="821"/>
      <c r="AD58" s="821"/>
      <c r="AE58" s="821"/>
      <c r="AF58" s="821"/>
      <c r="AG58" s="821"/>
      <c r="AJ58" s="1627"/>
    </row>
    <row r="59" spans="1:36" s="1607" customFormat="1" ht="11.25" customHeight="1" x14ac:dyDescent="0.25">
      <c r="A59" s="729"/>
      <c r="B59" s="920" t="str">
        <f>[7]пов!B59</f>
        <v>Держак для лопат</v>
      </c>
      <c r="C59" s="920" t="str">
        <f>[7]пов!C59</f>
        <v>44510000-8</v>
      </c>
      <c r="D59" s="920" t="str">
        <f>[7]пов!D59</f>
        <v>шт</v>
      </c>
      <c r="E59" s="920">
        <f>[7]пов!E59</f>
        <v>5</v>
      </c>
      <c r="F59" s="1030">
        <f>[7]пов!F59</f>
        <v>54.166666666666671</v>
      </c>
      <c r="G59" s="1195">
        <f t="shared" si="10"/>
        <v>270.83333333333337</v>
      </c>
      <c r="H59" s="674"/>
      <c r="I59" s="576">
        <v>155</v>
      </c>
      <c r="J59" s="1606"/>
      <c r="K59" s="629"/>
      <c r="L59" s="609"/>
      <c r="M59" s="1558"/>
      <c r="N59" s="1396"/>
      <c r="O59" s="1559"/>
      <c r="P59" s="1560"/>
      <c r="Q59" s="1404"/>
      <c r="R59" s="843"/>
      <c r="S59" s="1625"/>
      <c r="T59" s="1626"/>
      <c r="V59" s="821"/>
      <c r="AA59" s="821"/>
      <c r="AB59" s="821"/>
      <c r="AC59" s="821"/>
      <c r="AD59" s="821"/>
      <c r="AE59" s="821"/>
      <c r="AF59" s="821"/>
      <c r="AG59" s="821"/>
      <c r="AJ59" s="1627"/>
    </row>
    <row r="60" spans="1:36" s="1607" customFormat="1" ht="11.25" customHeight="1" x14ac:dyDescent="0.25">
      <c r="A60" s="729"/>
      <c r="B60" s="920" t="str">
        <f>[7]пов!B60</f>
        <v>Мітла</v>
      </c>
      <c r="C60" s="920" t="str">
        <f>[7]пов!C60</f>
        <v>44510000-8</v>
      </c>
      <c r="D60" s="920" t="str">
        <f>[7]пов!D60</f>
        <v>шт</v>
      </c>
      <c r="E60" s="920">
        <f>[7]пов!E60</f>
        <v>5</v>
      </c>
      <c r="F60" s="1030">
        <f>[7]пов!F60</f>
        <v>208</v>
      </c>
      <c r="G60" s="1195">
        <f t="shared" si="10"/>
        <v>1040</v>
      </c>
      <c r="H60" s="674"/>
      <c r="I60" s="576">
        <v>208.58</v>
      </c>
      <c r="J60" s="1606"/>
      <c r="K60" s="629"/>
      <c r="L60" s="609"/>
      <c r="M60" s="1558"/>
      <c r="N60" s="1396"/>
      <c r="O60" s="1559"/>
      <c r="P60" s="1560"/>
      <c r="Q60" s="1404"/>
      <c r="R60" s="843"/>
      <c r="S60" s="1625"/>
      <c r="T60" s="1626"/>
      <c r="AJ60" s="1627" t="s">
        <v>1223</v>
      </c>
    </row>
    <row r="61" spans="1:36" s="1607" customFormat="1" ht="11.25" customHeight="1" x14ac:dyDescent="0.25">
      <c r="A61" s="729"/>
      <c r="B61" s="920" t="str">
        <f>[7]пов!B61</f>
        <v>Кусачки</v>
      </c>
      <c r="C61" s="920" t="str">
        <f>[7]пов!C61</f>
        <v>44510000-8</v>
      </c>
      <c r="D61" s="920" t="str">
        <f>[7]пов!D61</f>
        <v>шт</v>
      </c>
      <c r="E61" s="920">
        <f>[7]пов!E61</f>
        <v>2</v>
      </c>
      <c r="F61" s="1030">
        <f>[7]пов!F61</f>
        <v>368.55</v>
      </c>
      <c r="G61" s="1195">
        <f t="shared" si="10"/>
        <v>737.1</v>
      </c>
      <c r="H61" s="674"/>
      <c r="I61" s="576">
        <v>1041.67</v>
      </c>
      <c r="J61" s="1606"/>
      <c r="K61" s="629"/>
      <c r="L61" s="609"/>
      <c r="M61" s="1558"/>
      <c r="N61" s="1396"/>
      <c r="O61" s="1559"/>
      <c r="P61" s="1560"/>
      <c r="Q61" s="1404"/>
      <c r="R61" s="843"/>
      <c r="S61" s="1625"/>
      <c r="T61" s="1626"/>
      <c r="AJ61" s="1627" t="s">
        <v>1223</v>
      </c>
    </row>
    <row r="62" spans="1:36" ht="11.25" customHeight="1" x14ac:dyDescent="0.25">
      <c r="A62" s="729"/>
      <c r="B62" s="920" t="str">
        <f>[7]пов!B62</f>
        <v>Викрутка пласка</v>
      </c>
      <c r="C62" s="920" t="str">
        <f>[7]пов!C62</f>
        <v>44510000-8</v>
      </c>
      <c r="D62" s="920" t="str">
        <f>[7]пов!D62</f>
        <v>шт</v>
      </c>
      <c r="E62" s="920">
        <f>[7]пов!E62</f>
        <v>2</v>
      </c>
      <c r="F62" s="1030">
        <f>[7]пов!F62</f>
        <v>42.56</v>
      </c>
      <c r="G62" s="1195">
        <f t="shared" si="10"/>
        <v>85.12</v>
      </c>
      <c r="H62" s="674"/>
      <c r="I62" s="576">
        <v>713.33</v>
      </c>
      <c r="J62" s="1606"/>
      <c r="K62" s="629"/>
      <c r="L62" s="609"/>
      <c r="M62" s="1558"/>
      <c r="N62" s="1396"/>
      <c r="O62" s="1559"/>
      <c r="P62" s="1560"/>
      <c r="Q62" s="1404"/>
      <c r="R62" s="843"/>
      <c r="S62" s="629"/>
      <c r="T62" s="657"/>
      <c r="V62" s="1607"/>
      <c r="W62" s="1628"/>
      <c r="X62" s="1607"/>
      <c r="Y62" s="1607"/>
      <c r="Z62" s="1607"/>
      <c r="AA62" s="1607"/>
      <c r="AB62" s="1607"/>
      <c r="AC62" s="1607"/>
      <c r="AD62" s="1607"/>
      <c r="AE62" s="1607"/>
      <c r="AF62" s="1607"/>
      <c r="AG62" s="1607"/>
    </row>
    <row r="63" spans="1:36" ht="11.25" customHeight="1" x14ac:dyDescent="0.25">
      <c r="A63" s="729"/>
      <c r="B63" s="920" t="str">
        <f>[7]пов!B63</f>
        <v>Викрутка  фігурна</v>
      </c>
      <c r="C63" s="920" t="str">
        <f>[7]пов!C63</f>
        <v>44510000-8</v>
      </c>
      <c r="D63" s="920" t="str">
        <f>[7]пов!D63</f>
        <v>шт</v>
      </c>
      <c r="E63" s="920">
        <f>[7]пов!E63</f>
        <v>2</v>
      </c>
      <c r="F63" s="1030">
        <f>[7]пов!F63</f>
        <v>57.3</v>
      </c>
      <c r="G63" s="1195">
        <f t="shared" si="10"/>
        <v>114.6</v>
      </c>
      <c r="H63" s="674"/>
      <c r="I63" s="576">
        <v>1208.33</v>
      </c>
      <c r="J63" s="575"/>
      <c r="K63" s="937"/>
      <c r="L63" s="609"/>
      <c r="M63" s="1558"/>
      <c r="N63" s="1396"/>
      <c r="O63" s="1559"/>
      <c r="P63" s="1560"/>
      <c r="Q63" s="1404"/>
      <c r="R63" s="843"/>
      <c r="S63" s="629"/>
      <c r="T63" s="657"/>
      <c r="V63" s="1607"/>
      <c r="W63" s="1628"/>
      <c r="X63" s="1607"/>
      <c r="Y63" s="1607"/>
      <c r="Z63" s="1607"/>
      <c r="AA63" s="1607"/>
      <c r="AB63" s="1607"/>
      <c r="AC63" s="1607"/>
      <c r="AD63" s="1607"/>
      <c r="AE63" s="1607"/>
      <c r="AF63" s="1607"/>
      <c r="AG63" s="1607"/>
      <c r="AJ63" s="1616" t="s">
        <v>1224</v>
      </c>
    </row>
    <row r="64" spans="1:36" ht="11.25" customHeight="1" x14ac:dyDescent="0.25">
      <c r="A64" s="729"/>
      <c r="B64" s="920" t="str">
        <f>[7]пов!B64</f>
        <v>Ключ развідний</v>
      </c>
      <c r="C64" s="920" t="str">
        <f>[7]пов!C64</f>
        <v>44510000-8</v>
      </c>
      <c r="D64" s="920" t="str">
        <f>[7]пов!D64</f>
        <v>шт</v>
      </c>
      <c r="E64" s="920">
        <f>[7]пов!E64</f>
        <v>1</v>
      </c>
      <c r="F64" s="1030">
        <f>[7]пов!F64</f>
        <v>180.15</v>
      </c>
      <c r="G64" s="1195">
        <f t="shared" si="10"/>
        <v>180.15</v>
      </c>
      <c r="H64" s="674"/>
      <c r="I64" s="576">
        <v>1208.33</v>
      </c>
      <c r="J64" s="575"/>
      <c r="K64" s="937"/>
      <c r="L64" s="609"/>
      <c r="M64" s="1558"/>
      <c r="N64" s="1396"/>
      <c r="O64" s="1559"/>
      <c r="P64" s="1560"/>
      <c r="Q64" s="1404"/>
      <c r="R64" s="843"/>
      <c r="S64" s="629"/>
      <c r="T64" s="657"/>
      <c r="V64" s="1607"/>
      <c r="W64" s="1628"/>
      <c r="X64" s="1607"/>
      <c r="Y64" s="1607"/>
      <c r="Z64" s="1607"/>
      <c r="AA64" s="1607"/>
      <c r="AB64" s="1607"/>
      <c r="AC64" s="1607"/>
      <c r="AD64" s="1607"/>
      <c r="AE64" s="1607"/>
      <c r="AF64" s="1607"/>
      <c r="AG64" s="1607"/>
      <c r="AJ64" s="1616" t="s">
        <v>1224</v>
      </c>
    </row>
    <row r="65" spans="1:36" ht="11.25" customHeight="1" x14ac:dyDescent="0.25">
      <c r="A65" s="729"/>
      <c r="B65" s="920" t="str">
        <f>[7]пов!B65</f>
        <v>Ключ трубний</v>
      </c>
      <c r="C65" s="920" t="str">
        <f>[7]пов!C65</f>
        <v>44510000-8</v>
      </c>
      <c r="D65" s="920" t="str">
        <f>[7]пов!D65</f>
        <v>шт</v>
      </c>
      <c r="E65" s="920">
        <f>[7]пов!E65</f>
        <v>1</v>
      </c>
      <c r="F65" s="1030">
        <f>[7]пов!F65</f>
        <v>174.15</v>
      </c>
      <c r="G65" s="1195">
        <f t="shared" si="10"/>
        <v>174.15</v>
      </c>
      <c r="H65" s="674"/>
      <c r="I65" s="576">
        <v>1208.33</v>
      </c>
      <c r="J65" s="575"/>
      <c r="K65" s="937"/>
      <c r="L65" s="609"/>
      <c r="M65" s="1558"/>
      <c r="N65" s="1396"/>
      <c r="O65" s="1559"/>
      <c r="P65" s="1560"/>
      <c r="Q65" s="1404"/>
      <c r="R65" s="843"/>
      <c r="S65" s="629"/>
      <c r="T65" s="657"/>
      <c r="V65" s="1607"/>
      <c r="W65" s="1628"/>
      <c r="X65" s="1607"/>
      <c r="Y65" s="1607"/>
      <c r="Z65" s="1607"/>
      <c r="AA65" s="1607"/>
      <c r="AB65" s="1607"/>
      <c r="AC65" s="1607"/>
      <c r="AD65" s="1607"/>
      <c r="AE65" s="1607"/>
      <c r="AF65" s="1607"/>
      <c r="AG65" s="1607"/>
      <c r="AJ65" s="1616" t="s">
        <v>1224</v>
      </c>
    </row>
    <row r="66" spans="1:36" ht="11.25" customHeight="1" x14ac:dyDescent="0.25">
      <c r="A66" s="729"/>
      <c r="B66" s="920" t="str">
        <f>[7]пов!B66</f>
        <v>Ключ ріжковий-30</v>
      </c>
      <c r="C66" s="920" t="str">
        <f>[7]пов!C66</f>
        <v>44510000-8</v>
      </c>
      <c r="D66" s="920" t="str">
        <f>[7]пов!D66</f>
        <v>шт</v>
      </c>
      <c r="E66" s="920">
        <f>[7]пов!E66</f>
        <v>1</v>
      </c>
      <c r="F66" s="1030">
        <f>[7]пов!F66</f>
        <v>130.57</v>
      </c>
      <c r="G66" s="1195">
        <f t="shared" si="10"/>
        <v>130.57</v>
      </c>
      <c r="H66" s="674"/>
      <c r="I66" s="576">
        <v>1208.33</v>
      </c>
      <c r="J66" s="575"/>
      <c r="K66" s="937"/>
      <c r="L66" s="609"/>
      <c r="M66" s="1558"/>
      <c r="N66" s="1396"/>
      <c r="O66" s="1559"/>
      <c r="P66" s="1560"/>
      <c r="Q66" s="1404"/>
      <c r="R66" s="843"/>
      <c r="S66" s="629"/>
      <c r="T66" s="657"/>
      <c r="V66" s="1607"/>
      <c r="W66" s="1628"/>
      <c r="X66" s="1607"/>
      <c r="Y66" s="1607"/>
      <c r="Z66" s="1607"/>
      <c r="AA66" s="1607"/>
      <c r="AB66" s="1607"/>
      <c r="AC66" s="1607"/>
      <c r="AD66" s="1607"/>
      <c r="AE66" s="1607"/>
      <c r="AF66" s="1607"/>
      <c r="AG66" s="1607"/>
      <c r="AJ66" s="1616" t="s">
        <v>1224</v>
      </c>
    </row>
    <row r="67" spans="1:36" ht="11.25" customHeight="1" x14ac:dyDescent="0.25">
      <c r="A67" s="729"/>
      <c r="B67" s="920" t="str">
        <f>[7]пов!B67</f>
        <v>Ключ ріжковий-19</v>
      </c>
      <c r="C67" s="920" t="str">
        <f>[7]пов!C67</f>
        <v>44510000-8</v>
      </c>
      <c r="D67" s="920" t="str">
        <f>[7]пов!D67</f>
        <v>шт</v>
      </c>
      <c r="E67" s="920">
        <f>[7]пов!E67</f>
        <v>1</v>
      </c>
      <c r="F67" s="1030">
        <f>[7]пов!F67</f>
        <v>54.67</v>
      </c>
      <c r="G67" s="1195">
        <f t="shared" si="10"/>
        <v>54.67</v>
      </c>
      <c r="H67" s="674"/>
      <c r="I67" s="576">
        <v>1208.33</v>
      </c>
      <c r="J67" s="575"/>
      <c r="K67" s="937"/>
      <c r="L67" s="609"/>
      <c r="M67" s="1558"/>
      <c r="N67" s="1396"/>
      <c r="O67" s="1559"/>
      <c r="P67" s="1560"/>
      <c r="Q67" s="1404"/>
      <c r="R67" s="843"/>
      <c r="S67" s="629"/>
      <c r="T67" s="657"/>
      <c r="V67" s="1607"/>
      <c r="W67" s="1628"/>
      <c r="X67" s="1607"/>
      <c r="Y67" s="1607"/>
      <c r="Z67" s="1607"/>
      <c r="AA67" s="1607"/>
      <c r="AB67" s="1607"/>
      <c r="AC67" s="1607"/>
      <c r="AD67" s="1607"/>
      <c r="AE67" s="1607"/>
      <c r="AF67" s="1607"/>
      <c r="AG67" s="1607"/>
      <c r="AJ67" s="1616" t="s">
        <v>1224</v>
      </c>
    </row>
    <row r="68" spans="1:36" ht="11.25" customHeight="1" x14ac:dyDescent="0.25">
      <c r="A68" s="729"/>
      <c r="B68" s="920" t="str">
        <f>[7]пов!B68</f>
        <v>Ключ ріжковий-14</v>
      </c>
      <c r="C68" s="920" t="str">
        <f>[7]пов!C68</f>
        <v>44510000-8</v>
      </c>
      <c r="D68" s="920" t="str">
        <f>[7]пов!D68</f>
        <v>шт</v>
      </c>
      <c r="E68" s="920">
        <f>[7]пов!E68</f>
        <v>1</v>
      </c>
      <c r="F68" s="1030">
        <f>[7]пов!F68</f>
        <v>33.78</v>
      </c>
      <c r="G68" s="1195">
        <f t="shared" si="10"/>
        <v>33.78</v>
      </c>
      <c r="H68" s="674"/>
      <c r="I68" s="576">
        <v>1208.33</v>
      </c>
      <c r="J68" s="575"/>
      <c r="K68" s="937"/>
      <c r="L68" s="609"/>
      <c r="M68" s="1558"/>
      <c r="N68" s="1396"/>
      <c r="O68" s="1559"/>
      <c r="P68" s="1560"/>
      <c r="Q68" s="1404"/>
      <c r="R68" s="843"/>
      <c r="S68" s="629"/>
      <c r="T68" s="657"/>
      <c r="V68" s="1607"/>
      <c r="W68" s="1628"/>
      <c r="X68" s="1607"/>
      <c r="Y68" s="1607"/>
      <c r="Z68" s="1607"/>
      <c r="AA68" s="1607"/>
      <c r="AB68" s="1607"/>
      <c r="AC68" s="1607"/>
      <c r="AD68" s="1607"/>
      <c r="AE68" s="1607"/>
      <c r="AF68" s="1607"/>
      <c r="AG68" s="1607"/>
      <c r="AJ68" s="1616" t="s">
        <v>1224</v>
      </c>
    </row>
    <row r="69" spans="1:36" ht="11.25" customHeight="1" x14ac:dyDescent="0.25">
      <c r="A69" s="729"/>
      <c r="B69" s="920" t="str">
        <f>[7]пов!B69</f>
        <v>Ніж складний</v>
      </c>
      <c r="C69" s="920" t="str">
        <f>[7]пов!C69</f>
        <v>44510000-8</v>
      </c>
      <c r="D69" s="920" t="str">
        <f>[7]пов!D69</f>
        <v>шт</v>
      </c>
      <c r="E69" s="920">
        <f>[7]пов!E69</f>
        <v>2</v>
      </c>
      <c r="F69" s="1030">
        <f>[7]пов!F69</f>
        <v>112.78</v>
      </c>
      <c r="G69" s="1195">
        <f t="shared" si="10"/>
        <v>225.56</v>
      </c>
      <c r="H69" s="674"/>
      <c r="I69" s="576">
        <v>1208.33</v>
      </c>
      <c r="J69" s="575"/>
      <c r="K69" s="937"/>
      <c r="L69" s="609"/>
      <c r="M69" s="1558"/>
      <c r="N69" s="1396"/>
      <c r="O69" s="1559"/>
      <c r="P69" s="1560"/>
      <c r="Q69" s="1404"/>
      <c r="R69" s="843"/>
      <c r="S69" s="629"/>
      <c r="T69" s="657"/>
      <c r="V69" s="1607"/>
      <c r="W69" s="1628"/>
      <c r="X69" s="1607"/>
      <c r="Y69" s="1607"/>
      <c r="Z69" s="1607"/>
      <c r="AA69" s="1607"/>
      <c r="AB69" s="1607"/>
      <c r="AC69" s="1607"/>
      <c r="AD69" s="1607"/>
      <c r="AE69" s="1607"/>
      <c r="AF69" s="1607"/>
      <c r="AG69" s="1607"/>
      <c r="AJ69" s="1616" t="s">
        <v>1224</v>
      </c>
    </row>
    <row r="70" spans="1:36" ht="11.25" customHeight="1" x14ac:dyDescent="0.25">
      <c r="A70" s="729"/>
      <c r="B70" s="920" t="str">
        <f>[7]пов!B70</f>
        <v>Щітка по металу</v>
      </c>
      <c r="C70" s="920" t="str">
        <f>[7]пов!C70</f>
        <v>44510000-8</v>
      </c>
      <c r="D70" s="920" t="str">
        <f>[7]пов!D70</f>
        <v>шт</v>
      </c>
      <c r="E70" s="920">
        <f>[7]пов!E70</f>
        <v>2</v>
      </c>
      <c r="F70" s="1030">
        <f>[7]пов!F70</f>
        <v>74.849999999999994</v>
      </c>
      <c r="G70" s="1195">
        <f t="shared" si="10"/>
        <v>149.69999999999999</v>
      </c>
      <c r="H70" s="674"/>
      <c r="I70" s="576">
        <v>1208.33</v>
      </c>
      <c r="J70" s="575"/>
      <c r="K70" s="937"/>
      <c r="L70" s="609"/>
      <c r="M70" s="1558"/>
      <c r="N70" s="1396"/>
      <c r="O70" s="1559"/>
      <c r="P70" s="1560"/>
      <c r="Q70" s="1404"/>
      <c r="R70" s="843"/>
      <c r="S70" s="629"/>
      <c r="T70" s="657"/>
      <c r="V70" s="1607"/>
      <c r="W70" s="1628"/>
      <c r="X70" s="1607"/>
      <c r="Y70" s="1607"/>
      <c r="Z70" s="1607"/>
      <c r="AA70" s="1607"/>
      <c r="AB70" s="1607"/>
      <c r="AC70" s="1607"/>
      <c r="AD70" s="1607"/>
      <c r="AE70" s="1607"/>
      <c r="AF70" s="1607"/>
      <c r="AG70" s="1607"/>
      <c r="AJ70" s="1616" t="s">
        <v>1224</v>
      </c>
    </row>
    <row r="71" spans="1:36" ht="11.25" customHeight="1" x14ac:dyDescent="0.25">
      <c r="A71" s="729"/>
      <c r="B71" s="920" t="str">
        <f>[7]пов!B71</f>
        <v>Тиски</v>
      </c>
      <c r="C71" s="920" t="str">
        <f>[7]пов!C71</f>
        <v>44510000-8</v>
      </c>
      <c r="D71" s="920" t="str">
        <f>[7]пов!D71</f>
        <v>шт</v>
      </c>
      <c r="E71" s="920">
        <f>[7]пов!E71</f>
        <v>1</v>
      </c>
      <c r="F71" s="1030">
        <f>[7]пов!F71</f>
        <v>1096.8800000000001</v>
      </c>
      <c r="G71" s="1195">
        <f t="shared" si="10"/>
        <v>1096.8800000000001</v>
      </c>
      <c r="H71" s="674"/>
      <c r="I71" s="576">
        <v>1208.33</v>
      </c>
      <c r="J71" s="575"/>
      <c r="K71" s="937"/>
      <c r="L71" s="609"/>
      <c r="M71" s="1558"/>
      <c r="N71" s="1396"/>
      <c r="O71" s="1559"/>
      <c r="P71" s="1560"/>
      <c r="Q71" s="1404"/>
      <c r="R71" s="843"/>
      <c r="S71" s="629"/>
      <c r="T71" s="657"/>
      <c r="V71" s="1607"/>
      <c r="W71" s="1628"/>
      <c r="X71" s="1607"/>
      <c r="Y71" s="1607"/>
      <c r="Z71" s="1607"/>
      <c r="AA71" s="1607"/>
      <c r="AB71" s="1607"/>
      <c r="AC71" s="1607"/>
      <c r="AD71" s="1607"/>
      <c r="AE71" s="1607"/>
      <c r="AF71" s="1607"/>
      <c r="AG71" s="1607"/>
      <c r="AJ71" s="1616" t="s">
        <v>1224</v>
      </c>
    </row>
    <row r="72" spans="1:36" ht="11.25" customHeight="1" x14ac:dyDescent="0.25">
      <c r="A72" s="729"/>
      <c r="B72" s="920" t="str">
        <f>[7]пов!B72</f>
        <v>Наждак</v>
      </c>
      <c r="C72" s="920" t="str">
        <f>[7]пов!C72</f>
        <v>44510000-8</v>
      </c>
      <c r="D72" s="920" t="str">
        <f>[7]пов!D72</f>
        <v>шт</v>
      </c>
      <c r="E72" s="920">
        <f>[7]пов!E72</f>
        <v>1</v>
      </c>
      <c r="F72" s="1030">
        <f>[7]пов!F72</f>
        <v>1272.3699999999999</v>
      </c>
      <c r="G72" s="1195">
        <f t="shared" si="10"/>
        <v>1272.3699999999999</v>
      </c>
      <c r="H72" s="674"/>
      <c r="I72" s="576">
        <v>1208.33</v>
      </c>
      <c r="J72" s="575"/>
      <c r="K72" s="937"/>
      <c r="L72" s="609"/>
      <c r="M72" s="1558"/>
      <c r="N72" s="1396"/>
      <c r="O72" s="1559"/>
      <c r="P72" s="1560"/>
      <c r="Q72" s="1404"/>
      <c r="R72" s="843"/>
      <c r="S72" s="629"/>
      <c r="T72" s="657"/>
      <c r="V72" s="1607"/>
      <c r="W72" s="1628"/>
      <c r="X72" s="1607"/>
      <c r="Y72" s="1607"/>
      <c r="Z72" s="1607"/>
      <c r="AA72" s="1607"/>
      <c r="AB72" s="1607"/>
      <c r="AC72" s="1607"/>
      <c r="AD72" s="1607"/>
      <c r="AE72" s="1607"/>
      <c r="AF72" s="1607"/>
      <c r="AG72" s="1607"/>
      <c r="AJ72" s="1616" t="s">
        <v>1224</v>
      </c>
    </row>
    <row r="73" spans="1:36" ht="11.25" customHeight="1" x14ac:dyDescent="0.25">
      <c r="A73" s="729"/>
      <c r="B73" s="920" t="str">
        <f>[7]пов!B73</f>
        <v xml:space="preserve">Ящик для інструменту </v>
      </c>
      <c r="C73" s="920" t="str">
        <f>[7]пов!C73</f>
        <v>44619300-5</v>
      </c>
      <c r="D73" s="920" t="str">
        <f>[7]пов!D73</f>
        <v>шт</v>
      </c>
      <c r="E73" s="920">
        <f>[7]пов!E73</f>
        <v>1</v>
      </c>
      <c r="F73" s="1030">
        <f>[7]пов!F73</f>
        <v>3000</v>
      </c>
      <c r="G73" s="1195">
        <f t="shared" si="10"/>
        <v>3000</v>
      </c>
      <c r="H73" s="674"/>
      <c r="I73" s="576">
        <v>1208.33</v>
      </c>
      <c r="J73" s="575"/>
      <c r="K73" s="937"/>
      <c r="L73" s="609"/>
      <c r="M73" s="1558"/>
      <c r="N73" s="1396"/>
      <c r="O73" s="1559"/>
      <c r="P73" s="1560"/>
      <c r="Q73" s="1404"/>
      <c r="R73" s="843"/>
      <c r="S73" s="629"/>
      <c r="T73" s="657"/>
      <c r="V73" s="1607"/>
      <c r="W73" s="1628"/>
      <c r="X73" s="1607"/>
      <c r="Y73" s="1607"/>
      <c r="Z73" s="1607"/>
      <c r="AA73" s="1607"/>
      <c r="AB73" s="1607"/>
      <c r="AC73" s="1607"/>
      <c r="AD73" s="1607"/>
      <c r="AE73" s="1607"/>
      <c r="AF73" s="1607"/>
      <c r="AG73" s="1607"/>
      <c r="AJ73" s="1616" t="s">
        <v>1224</v>
      </c>
    </row>
    <row r="74" spans="1:36" ht="11.25" customHeight="1" x14ac:dyDescent="0.25">
      <c r="A74" s="729"/>
      <c r="B74" s="1629"/>
      <c r="C74" s="1629"/>
      <c r="D74" s="920"/>
      <c r="E74" s="920"/>
      <c r="F74" s="1195"/>
      <c r="G74" s="1195"/>
      <c r="H74" s="901"/>
      <c r="I74" s="735"/>
      <c r="J74" s="735"/>
      <c r="K74" s="1509"/>
      <c r="L74" s="4"/>
      <c r="M74" s="1558"/>
      <c r="N74" s="1396"/>
      <c r="O74" s="1559"/>
      <c r="P74" s="1560"/>
      <c r="Q74" s="1404"/>
      <c r="R74" s="843"/>
      <c r="S74" s="629"/>
      <c r="T74" s="657"/>
      <c r="V74" s="1607"/>
      <c r="W74" s="1628"/>
      <c r="X74" s="1607"/>
      <c r="Y74" s="1607"/>
      <c r="Z74" s="1607"/>
      <c r="AA74" s="1607"/>
      <c r="AB74" s="1607"/>
      <c r="AC74" s="1607"/>
      <c r="AD74" s="1607"/>
      <c r="AE74" s="1607"/>
      <c r="AF74" s="1607"/>
      <c r="AG74" s="1607"/>
    </row>
    <row r="75" spans="1:36" ht="11.25" customHeight="1" x14ac:dyDescent="0.25">
      <c r="A75" s="1630" t="s">
        <v>1225</v>
      </c>
      <c r="B75" s="1631" t="s">
        <v>888</v>
      </c>
      <c r="C75" s="1631"/>
      <c r="D75" s="878" t="s">
        <v>809</v>
      </c>
      <c r="E75" s="920"/>
      <c r="F75" s="920"/>
      <c r="G75" s="750">
        <f>SUM(G39:G74)/1000</f>
        <v>19.637623333333337</v>
      </c>
      <c r="H75" s="1143"/>
      <c r="I75" s="1143">
        <f>G75</f>
        <v>19.637623333333337</v>
      </c>
      <c r="J75" s="681" t="s">
        <v>617</v>
      </c>
      <c r="K75" s="148"/>
      <c r="L75" s="148"/>
      <c r="M75" s="1566"/>
      <c r="N75" s="1567">
        <f>O75+P75</f>
        <v>19.637623333333337</v>
      </c>
      <c r="O75" s="1568"/>
      <c r="P75" s="1569">
        <f>I75</f>
        <v>19.637623333333337</v>
      </c>
      <c r="Q75" s="1570"/>
      <c r="R75" s="843">
        <f>M75+N75+Q75</f>
        <v>19.637623333333337</v>
      </c>
      <c r="S75" s="1546"/>
      <c r="T75" s="1547"/>
      <c r="V75" s="1632"/>
      <c r="W75" s="1633"/>
      <c r="X75" s="1632"/>
      <c r="Y75" s="1632"/>
      <c r="Z75" s="1632"/>
      <c r="AA75" s="1632"/>
      <c r="AB75" s="1632"/>
      <c r="AC75" s="1632"/>
      <c r="AD75" s="1632"/>
      <c r="AE75" s="1632"/>
      <c r="AF75" s="1632"/>
    </row>
    <row r="76" spans="1:36" x14ac:dyDescent="0.25">
      <c r="B76" s="681"/>
      <c r="C76" s="680"/>
      <c r="D76" s="681"/>
      <c r="E76" s="681"/>
      <c r="F76" s="1143"/>
      <c r="G76" s="1143"/>
      <c r="H76" s="735"/>
      <c r="I76" s="1634"/>
      <c r="J76" s="735"/>
      <c r="K76" s="1"/>
      <c r="L76" s="148"/>
      <c r="M76" s="1531"/>
      <c r="N76" s="1383"/>
      <c r="O76" s="1559"/>
      <c r="P76" s="1560"/>
      <c r="Q76" s="1404"/>
      <c r="R76" s="843"/>
      <c r="S76" s="1635"/>
      <c r="T76" s="1636"/>
      <c r="U76" s="1635"/>
      <c r="V76" s="1635"/>
      <c r="Z76" s="1637"/>
      <c r="AE76" s="1638" t="s">
        <v>1226</v>
      </c>
    </row>
    <row r="77" spans="1:36" x14ac:dyDescent="0.25">
      <c r="A77" s="680" t="s">
        <v>1227</v>
      </c>
      <c r="B77" s="680" t="s">
        <v>1228</v>
      </c>
      <c r="C77" s="681"/>
      <c r="D77" s="681"/>
      <c r="E77" s="681"/>
      <c r="F77" s="682"/>
      <c r="G77" s="681"/>
      <c r="H77" s="681"/>
      <c r="I77" s="1143">
        <f>SUM(I78:I84)</f>
        <v>434.68352763804177</v>
      </c>
      <c r="J77" s="681" t="s">
        <v>617</v>
      </c>
      <c r="K77" s="148"/>
      <c r="L77" s="211"/>
      <c r="M77" s="1566">
        <f>SUM(M78:M82)</f>
        <v>0</v>
      </c>
      <c r="N77" s="1567">
        <f>SUM(N78:N82)</f>
        <v>123.25778614166671</v>
      </c>
      <c r="O77" s="1568">
        <f>SUM(O78:O82)</f>
        <v>7.2520831250000013</v>
      </c>
      <c r="P77" s="1569">
        <f>SUM(P78:P82)</f>
        <v>116.00570301666673</v>
      </c>
      <c r="Q77" s="1569">
        <f>SUM(Q78:Q84)</f>
        <v>311.42574149637505</v>
      </c>
      <c r="R77" s="161">
        <f>M77+N77+Q77</f>
        <v>434.68352763804177</v>
      </c>
      <c r="S77" s="629"/>
      <c r="T77" s="657"/>
      <c r="W77" s="1639"/>
      <c r="X77" s="1639"/>
    </row>
    <row r="78" spans="1:36" s="824" customFormat="1" x14ac:dyDescent="0.25">
      <c r="A78" s="680"/>
      <c r="B78" s="1072" t="s">
        <v>1229</v>
      </c>
      <c r="C78" s="681"/>
      <c r="D78" s="681"/>
      <c r="E78" s="681"/>
      <c r="F78" s="682"/>
      <c r="G78" s="682"/>
      <c r="H78" s="681"/>
      <c r="I78" s="1593">
        <f>M78+N78+Q78</f>
        <v>7.2520831250000013</v>
      </c>
      <c r="J78" s="681" t="s">
        <v>617</v>
      </c>
      <c r="K78" s="681"/>
      <c r="L78" s="211"/>
      <c r="M78" s="1531"/>
      <c r="N78" s="1383">
        <f>O78+P78</f>
        <v>7.2520831250000013</v>
      </c>
      <c r="O78" s="1575">
        <f>[7]пов!N80</f>
        <v>7.2520831250000013</v>
      </c>
      <c r="P78" s="1576">
        <f>[7]пов!O80</f>
        <v>0</v>
      </c>
      <c r="Q78" s="1328">
        <f>[6]пов!$P68</f>
        <v>0</v>
      </c>
      <c r="R78" s="843">
        <f>M78+N78+Q78</f>
        <v>7.2520831250000013</v>
      </c>
    </row>
    <row r="79" spans="1:36" s="824" customFormat="1" x14ac:dyDescent="0.25">
      <c r="A79" s="680"/>
      <c r="B79" s="1072" t="s">
        <v>1230</v>
      </c>
      <c r="C79" s="681"/>
      <c r="D79" s="681"/>
      <c r="E79" s="681"/>
      <c r="F79" s="682"/>
      <c r="G79" s="681"/>
      <c r="H79" s="681"/>
      <c r="I79" s="1593">
        <f>M79+N79+Q79</f>
        <v>66.27713301666671</v>
      </c>
      <c r="J79" s="681" t="s">
        <v>617</v>
      </c>
      <c r="K79" s="681"/>
      <c r="L79" s="211"/>
      <c r="M79" s="1531"/>
      <c r="N79" s="1383">
        <f>O79+P79</f>
        <v>66.27713301666671</v>
      </c>
      <c r="O79" s="1575">
        <f>[7]пов!N81</f>
        <v>0</v>
      </c>
      <c r="P79" s="1576">
        <f>[7]пов!O81</f>
        <v>66.27713301666671</v>
      </c>
      <c r="Q79" s="1328">
        <f>[6]пов!$P69</f>
        <v>0</v>
      </c>
      <c r="R79" s="843">
        <f>M79+N79+Q79</f>
        <v>66.27713301666671</v>
      </c>
      <c r="S79" s="1547"/>
      <c r="T79" s="1547"/>
    </row>
    <row r="80" spans="1:36" x14ac:dyDescent="0.25">
      <c r="A80" s="729"/>
      <c r="B80" s="1552" t="s">
        <v>1231</v>
      </c>
      <c r="C80" s="679">
        <f>G81</f>
        <v>3600</v>
      </c>
      <c r="D80" s="1052" t="s">
        <v>1232</v>
      </c>
      <c r="E80" s="1072">
        <f>[18]пов!$E$67</f>
        <v>0.28100000000000003</v>
      </c>
      <c r="F80" s="1146" t="s">
        <v>637</v>
      </c>
      <c r="G80" s="1055">
        <f>[7]пов!$G$82</f>
        <v>49.158333333333339</v>
      </c>
      <c r="H80" s="1640"/>
      <c r="I80" s="1593">
        <f>C80*E80*G80/1000</f>
        <v>49.728570000000012</v>
      </c>
      <c r="J80" s="681" t="s">
        <v>617</v>
      </c>
      <c r="K80" s="681"/>
      <c r="L80" s="211"/>
      <c r="M80" s="1641"/>
      <c r="N80" s="1383">
        <f>O80+P80</f>
        <v>49.728570000000012</v>
      </c>
      <c r="O80" s="1575">
        <f>[7]пов!N82</f>
        <v>0</v>
      </c>
      <c r="P80" s="1576">
        <f>[7]пов!O82</f>
        <v>49.728570000000012</v>
      </c>
      <c r="Q80" s="1328">
        <f>[6]пов!$P70</f>
        <v>0</v>
      </c>
      <c r="R80" s="843">
        <f>M80+N80+Q80</f>
        <v>49.728570000000012</v>
      </c>
      <c r="S80" s="885"/>
      <c r="T80" s="886"/>
      <c r="W80" s="1608">
        <f>S93/1000+[11]Збут!M52+[11]Адм!K40</f>
        <v>1832.2608207804985</v>
      </c>
      <c r="AB80" s="1642">
        <f>H106-AB29</f>
        <v>-3006.3653869808454</v>
      </c>
    </row>
    <row r="81" spans="1:36" x14ac:dyDescent="0.25">
      <c r="A81" s="729"/>
      <c r="C81" s="1643">
        <v>3</v>
      </c>
      <c r="D81" s="1643" t="s">
        <v>1233</v>
      </c>
      <c r="E81" s="1072">
        <v>100</v>
      </c>
      <c r="F81" s="1146" t="s">
        <v>1234</v>
      </c>
      <c r="G81" s="1219">
        <f>C81*12*E81</f>
        <v>3600</v>
      </c>
      <c r="H81" s="1146" t="s">
        <v>1235</v>
      </c>
      <c r="I81" s="679"/>
      <c r="J81" s="681"/>
      <c r="K81" s="681"/>
      <c r="L81" s="211"/>
      <c r="M81" s="1641"/>
      <c r="N81" s="1383"/>
      <c r="O81" s="1575">
        <f>[7]пов!N83</f>
        <v>0</v>
      </c>
      <c r="P81" s="1576">
        <f>[7]пов!O83</f>
        <v>0</v>
      </c>
      <c r="Q81" s="1328"/>
      <c r="R81" s="843"/>
      <c r="S81" s="885"/>
      <c r="T81" s="886"/>
      <c r="W81" s="1608"/>
      <c r="AB81" s="1642"/>
    </row>
    <row r="82" spans="1:36" x14ac:dyDescent="0.25">
      <c r="A82" s="729"/>
      <c r="B82" s="1072" t="s">
        <v>1236</v>
      </c>
      <c r="C82" s="1644"/>
      <c r="D82" s="1644"/>
      <c r="E82" s="1644"/>
      <c r="F82" s="1644"/>
      <c r="G82" s="1644"/>
      <c r="H82" s="1640"/>
      <c r="I82" s="679">
        <f>M82+N82+Q82</f>
        <v>0</v>
      </c>
      <c r="J82" s="681" t="s">
        <v>617</v>
      </c>
      <c r="K82" s="630">
        <f t="shared" ref="K82" si="12">M82+N82</f>
        <v>0</v>
      </c>
      <c r="L82" s="630"/>
      <c r="M82" s="1531"/>
      <c r="N82" s="1383">
        <f>O82+P82</f>
        <v>0</v>
      </c>
      <c r="O82" s="1575">
        <f>[7]пов!N84</f>
        <v>0</v>
      </c>
      <c r="P82" s="1576">
        <f>[7]пов!O84</f>
        <v>0</v>
      </c>
      <c r="Q82" s="1328">
        <f>[6]пов!$P72</f>
        <v>0</v>
      </c>
      <c r="R82" s="843">
        <f>M82+N82+Q82</f>
        <v>0</v>
      </c>
      <c r="S82" s="843"/>
      <c r="T82" s="821"/>
    </row>
    <row r="83" spans="1:36" x14ac:dyDescent="0.25">
      <c r="A83" s="729"/>
      <c r="B83" s="1072" t="s">
        <v>1237</v>
      </c>
      <c r="C83" s="1644"/>
      <c r="D83" s="1644"/>
      <c r="E83" s="1644"/>
      <c r="F83" s="1644"/>
      <c r="G83" s="1644"/>
      <c r="H83" s="1640"/>
      <c r="I83" s="1273">
        <f>[7]пов!I85</f>
        <v>27.930558333333337</v>
      </c>
      <c r="J83" s="681" t="s">
        <v>617</v>
      </c>
      <c r="K83" s="630"/>
      <c r="L83" s="630"/>
      <c r="M83" s="1531"/>
      <c r="N83" s="1383"/>
      <c r="O83" s="1645"/>
      <c r="P83" s="1646"/>
      <c r="Q83" s="1328">
        <f>[7]пов!P85</f>
        <v>27.930558333333337</v>
      </c>
      <c r="R83" s="843"/>
      <c r="S83" s="843"/>
      <c r="T83" s="821"/>
    </row>
    <row r="84" spans="1:36" x14ac:dyDescent="0.25">
      <c r="A84" s="729"/>
      <c r="B84" s="1072" t="s">
        <v>1238</v>
      </c>
      <c r="C84" s="1644"/>
      <c r="D84" s="1644"/>
      <c r="E84" s="1644"/>
      <c r="F84" s="1644"/>
      <c r="G84" s="1644"/>
      <c r="H84" s="1640"/>
      <c r="I84" s="679">
        <f>[11]ПММ!K20+[11]ПММ!Z20-[11]ПММ!AB17-[11]ПММ!AH17-N77</f>
        <v>283.4951831630417</v>
      </c>
      <c r="J84" s="681" t="s">
        <v>617</v>
      </c>
      <c r="K84" s="630"/>
      <c r="L84" s="630"/>
      <c r="M84" s="1531"/>
      <c r="N84" s="1383"/>
      <c r="O84" s="1645"/>
      <c r="P84" s="1646"/>
      <c r="Q84" s="1328">
        <f>[7]пов!P86</f>
        <v>283.4951831630417</v>
      </c>
      <c r="R84" s="843"/>
      <c r="S84" s="843"/>
      <c r="T84" s="821"/>
    </row>
    <row r="85" spans="1:36" hidden="1" x14ac:dyDescent="0.25">
      <c r="A85" s="729"/>
      <c r="B85" s="1072"/>
      <c r="C85" s="1644"/>
      <c r="D85" s="1644"/>
      <c r="E85" s="1644"/>
      <c r="F85" s="1644"/>
      <c r="G85" s="1644"/>
      <c r="H85" s="1640"/>
      <c r="I85" s="679"/>
      <c r="J85" s="681"/>
      <c r="K85" s="1"/>
      <c r="L85" s="211"/>
      <c r="M85" s="1558"/>
      <c r="N85" s="1396"/>
      <c r="O85" s="1575"/>
      <c r="P85" s="1576"/>
      <c r="Q85" s="1328">
        <f>[7]пов!P87</f>
        <v>0</v>
      </c>
      <c r="R85" s="843"/>
      <c r="S85" s="885"/>
      <c r="T85" s="886"/>
    </row>
    <row r="86" spans="1:36" x14ac:dyDescent="0.25">
      <c r="A86" s="729" t="s">
        <v>1239</v>
      </c>
      <c r="B86" s="1279" t="s">
        <v>509</v>
      </c>
      <c r="C86" s="1281">
        <v>3600</v>
      </c>
      <c r="D86" s="674" t="s">
        <v>1240</v>
      </c>
      <c r="E86" s="678"/>
      <c r="F86" s="682">
        <f>[11]ВНС!F16</f>
        <v>8.9062855699999997</v>
      </c>
      <c r="G86" s="681" t="s">
        <v>620</v>
      </c>
      <c r="H86" s="681"/>
      <c r="I86" s="1588">
        <f>F86*C86/1000</f>
        <v>32.062628052000001</v>
      </c>
      <c r="J86" s="681" t="s">
        <v>938</v>
      </c>
      <c r="K86" s="641"/>
      <c r="L86" s="1647"/>
      <c r="M86" s="1573"/>
      <c r="N86" s="1574">
        <f>O86+P86</f>
        <v>24.614409750042526</v>
      </c>
      <c r="O86" s="1575">
        <f>[7]пов!N88</f>
        <v>1.0837752184735856</v>
      </c>
      <c r="P86" s="1576">
        <f>[7]пов!O88</f>
        <v>23.530634531568939</v>
      </c>
      <c r="Q86" s="1577">
        <f>I86-N86</f>
        <v>7.4482183019574748</v>
      </c>
      <c r="R86" s="1578">
        <f>M86+N86+Q86</f>
        <v>32.062628052000001</v>
      </c>
      <c r="S86" s="797"/>
      <c r="T86" s="1547"/>
      <c r="V86" s="1396"/>
      <c r="W86" s="1397"/>
      <c r="X86" s="1534"/>
      <c r="Y86" s="1399"/>
      <c r="Z86" s="1399"/>
      <c r="AA86" s="1399"/>
      <c r="AB86" s="1399"/>
      <c r="AC86" s="750"/>
      <c r="AD86" s="750"/>
      <c r="AE86" s="750"/>
      <c r="AF86" s="750"/>
      <c r="AG86" s="1536">
        <f>AC87+AD87</f>
        <v>0</v>
      </c>
      <c r="AH86" s="1587"/>
    </row>
    <row r="87" spans="1:36" hidden="1" x14ac:dyDescent="0.25">
      <c r="A87" s="729"/>
      <c r="B87" s="1279"/>
      <c r="C87" s="1281"/>
      <c r="D87" s="678"/>
      <c r="E87" s="678"/>
      <c r="F87" s="681"/>
      <c r="G87" s="681"/>
      <c r="H87" s="681"/>
      <c r="I87" s="1113"/>
      <c r="J87" s="681"/>
      <c r="K87" s="641"/>
      <c r="L87" s="211"/>
      <c r="M87" s="1531"/>
      <c r="N87" s="1574">
        <f t="shared" ref="N87" si="13">O87+P87</f>
        <v>0</v>
      </c>
      <c r="O87" s="1575"/>
      <c r="P87" s="1576"/>
      <c r="Q87" s="1577">
        <f t="shared" ref="Q87:Q88" si="14">I87-N87</f>
        <v>0</v>
      </c>
      <c r="R87" s="843">
        <f>M87+N87+Q87</f>
        <v>0</v>
      </c>
      <c r="S87" s="797"/>
      <c r="T87" s="1547"/>
      <c r="V87" s="1396"/>
      <c r="W87" s="1397" t="s">
        <v>229</v>
      </c>
      <c r="X87" s="1534" t="s">
        <v>617</v>
      </c>
      <c r="Y87" s="1399">
        <f t="shared" ref="Y87:AF87" si="15">SUM(Y6:Y26)</f>
        <v>0</v>
      </c>
      <c r="Z87" s="1399">
        <f t="shared" si="15"/>
        <v>0</v>
      </c>
      <c r="AA87" s="1399">
        <f t="shared" si="15"/>
        <v>0</v>
      </c>
      <c r="AB87" s="1399">
        <f t="shared" si="15"/>
        <v>3006.3653869808454</v>
      </c>
      <c r="AC87" s="1557">
        <f t="shared" si="15"/>
        <v>0</v>
      </c>
      <c r="AD87" s="1557">
        <f t="shared" si="15"/>
        <v>0</v>
      </c>
      <c r="AE87" s="1648">
        <f t="shared" si="15"/>
        <v>3006.3653869808454</v>
      </c>
      <c r="AF87" s="1399">
        <f t="shared" si="15"/>
        <v>0</v>
      </c>
      <c r="AG87" s="1580"/>
      <c r="AH87" s="1587"/>
    </row>
    <row r="88" spans="1:36" x14ac:dyDescent="0.25">
      <c r="A88" s="729" t="s">
        <v>1241</v>
      </c>
      <c r="B88" s="1279" t="s">
        <v>1074</v>
      </c>
      <c r="C88" s="1281"/>
      <c r="D88" s="678"/>
      <c r="E88" s="678"/>
      <c r="F88" s="681"/>
      <c r="G88" s="681"/>
      <c r="H88" s="681"/>
      <c r="I88" s="1588">
        <f>[7]пов!$I$90</f>
        <v>1.4117440000000001</v>
      </c>
      <c r="J88" s="681" t="s">
        <v>938</v>
      </c>
      <c r="K88" s="681"/>
      <c r="L88" s="211"/>
      <c r="M88" s="1649"/>
      <c r="N88" s="1574">
        <f>O88+P88</f>
        <v>1.0837927952071431</v>
      </c>
      <c r="O88" s="1575">
        <f>[7]пов!N90</f>
        <v>4.7719518173848972E-2</v>
      </c>
      <c r="P88" s="1576">
        <f>[7]пов!O90</f>
        <v>1.0360732770332941</v>
      </c>
      <c r="Q88" s="1577">
        <f t="shared" si="14"/>
        <v>0.327951204792857</v>
      </c>
      <c r="R88" s="843">
        <f>M88+N88+Q88</f>
        <v>1.4117440000000001</v>
      </c>
      <c r="S88" s="1546"/>
      <c r="T88" s="1547"/>
    </row>
    <row r="89" spans="1:36" hidden="1" x14ac:dyDescent="0.25">
      <c r="A89" s="729"/>
      <c r="B89" s="1279"/>
      <c r="C89" s="1281"/>
      <c r="D89" s="678"/>
      <c r="E89" s="678"/>
      <c r="F89" s="681"/>
      <c r="G89" s="681"/>
      <c r="H89" s="681"/>
      <c r="I89" s="1113"/>
      <c r="J89" s="681"/>
      <c r="K89" s="681"/>
      <c r="L89" s="211"/>
      <c r="M89" s="1649"/>
      <c r="N89" s="750"/>
      <c r="O89" s="1575"/>
      <c r="P89" s="1576"/>
      <c r="Q89" s="1403"/>
      <c r="R89" s="843"/>
      <c r="S89" s="1546"/>
      <c r="T89" s="1547"/>
    </row>
    <row r="90" spans="1:36" hidden="1" x14ac:dyDescent="0.25">
      <c r="A90" s="729"/>
      <c r="B90" s="1072" t="s">
        <v>1242</v>
      </c>
      <c r="C90" s="1644"/>
      <c r="D90" s="1644">
        <f>D91</f>
        <v>0</v>
      </c>
      <c r="E90" s="1644" t="s">
        <v>1243</v>
      </c>
      <c r="F90" s="1644">
        <f>'[19]мат кол'!F35</f>
        <v>0</v>
      </c>
      <c r="G90" s="1644" t="s">
        <v>1244</v>
      </c>
      <c r="H90" s="1640"/>
      <c r="I90" s="679">
        <f>M90+N90+Q90</f>
        <v>0</v>
      </c>
      <c r="J90" s="681" t="s">
        <v>617</v>
      </c>
      <c r="K90" s="681"/>
      <c r="L90" s="211"/>
      <c r="M90" s="1566"/>
      <c r="N90" s="1567">
        <f>O90+P90</f>
        <v>0</v>
      </c>
      <c r="O90" s="1568"/>
      <c r="P90" s="1569"/>
      <c r="Q90" s="1570"/>
      <c r="R90" s="843">
        <f>M90+N90+Q90</f>
        <v>0</v>
      </c>
      <c r="S90" s="937"/>
      <c r="T90" s="657"/>
      <c r="AJ90" s="1616" t="s">
        <v>1245</v>
      </c>
    </row>
    <row r="91" spans="1:36" s="824" customFormat="1" hidden="1" x14ac:dyDescent="0.25">
      <c r="A91" s="729"/>
      <c r="B91" s="1072" t="s">
        <v>1246</v>
      </c>
      <c r="C91" s="1644"/>
      <c r="D91" s="1644">
        <f>'[19]Зам розр'!I120</f>
        <v>0</v>
      </c>
      <c r="E91" s="1644" t="s">
        <v>1243</v>
      </c>
      <c r="F91" s="1644">
        <f>'[19]Зам розр'!L120</f>
        <v>562.5</v>
      </c>
      <c r="G91" s="1644" t="s">
        <v>1247</v>
      </c>
      <c r="H91" s="1640"/>
      <c r="I91" s="679">
        <f>M91+N91+Q91</f>
        <v>0</v>
      </c>
      <c r="J91" s="681" t="s">
        <v>617</v>
      </c>
      <c r="K91" s="681"/>
      <c r="L91" s="211"/>
      <c r="M91" s="1566"/>
      <c r="N91" s="1567">
        <f>O91+P91</f>
        <v>0</v>
      </c>
      <c r="O91" s="1568"/>
      <c r="P91" s="1569"/>
      <c r="Q91" s="1570"/>
      <c r="R91" s="843"/>
      <c r="S91" s="102"/>
      <c r="T91" s="657"/>
    </row>
    <row r="92" spans="1:36" s="824" customFormat="1" hidden="1" x14ac:dyDescent="0.25">
      <c r="A92" s="729"/>
      <c r="B92" s="1072"/>
      <c r="C92" s="1644"/>
      <c r="D92" s="1644"/>
      <c r="E92" s="1644"/>
      <c r="F92" s="1644"/>
      <c r="G92" s="1644"/>
      <c r="H92" s="1640"/>
      <c r="I92" s="679"/>
      <c r="J92" s="681"/>
      <c r="K92" s="681"/>
      <c r="L92" s="211"/>
      <c r="M92" s="1650"/>
      <c r="N92" s="1351"/>
      <c r="O92" s="1651"/>
      <c r="P92" s="1652"/>
      <c r="Q92" s="161"/>
      <c r="R92" s="843"/>
      <c r="S92" s="102"/>
      <c r="T92" s="657"/>
    </row>
    <row r="93" spans="1:36" x14ac:dyDescent="0.25">
      <c r="A93" s="680">
        <v>4</v>
      </c>
      <c r="B93" s="680" t="s">
        <v>1248</v>
      </c>
      <c r="C93" s="680"/>
      <c r="D93" s="681"/>
      <c r="E93" s="681"/>
      <c r="F93" s="735"/>
      <c r="G93" s="735"/>
      <c r="H93" s="735"/>
      <c r="I93" s="1143">
        <f>I96+I103+I104+I94</f>
        <v>613.78084414190766</v>
      </c>
      <c r="J93" s="681" t="s">
        <v>617</v>
      </c>
      <c r="K93" s="681"/>
      <c r="L93" s="211"/>
      <c r="M93" s="1566">
        <f>M96+M103+M104+M94</f>
        <v>0</v>
      </c>
      <c r="N93" s="1567">
        <f>N96+N103+N104+N94</f>
        <v>493.61356074499724</v>
      </c>
      <c r="O93" s="1568">
        <f>O96+O103+O104+O94</f>
        <v>18.71671617209579</v>
      </c>
      <c r="P93" s="1569">
        <f>P96+P103+P104+P94</f>
        <v>474.8968445729015</v>
      </c>
      <c r="Q93" s="1570">
        <f>Q96+Q103+Q104+Q94</f>
        <v>175.51004048643355</v>
      </c>
      <c r="R93" s="843">
        <f t="shared" ref="R93:R108" si="16">M93+N93+Q93</f>
        <v>669.12360123143083</v>
      </c>
      <c r="S93" s="882"/>
      <c r="T93" s="128"/>
    </row>
    <row r="94" spans="1:36" x14ac:dyDescent="0.25">
      <c r="A94" s="729"/>
      <c r="B94" s="681" t="s">
        <v>1249</v>
      </c>
      <c r="C94" s="681"/>
      <c r="D94" s="1653"/>
      <c r="E94" s="681"/>
      <c r="I94" s="1593">
        <f>[3]ФОТ!$BC$752/1000</f>
        <v>356.32799999999997</v>
      </c>
      <c r="J94" s="681" t="s">
        <v>938</v>
      </c>
      <c r="K94" s="148"/>
      <c r="L94" s="211"/>
      <c r="M94" s="1531"/>
      <c r="N94" s="1383">
        <f>O94+P94</f>
        <v>311.76887436575936</v>
      </c>
      <c r="O94" s="1645">
        <f>[7]пов!N96</f>
        <v>15.764808792577718</v>
      </c>
      <c r="P94" s="1654">
        <f>[7]пов!O96</f>
        <v>296.00406557318166</v>
      </c>
      <c r="Q94" s="1408">
        <f>[7]пов!P96</f>
        <v>76.683525634240652</v>
      </c>
      <c r="R94" s="843">
        <f>M94+N94+Q94</f>
        <v>388.45240000000001</v>
      </c>
      <c r="S94" s="1517"/>
      <c r="T94" s="1464"/>
      <c r="X94" s="1632"/>
      <c r="Z94" s="1632"/>
      <c r="AA94" s="1632"/>
    </row>
    <row r="95" spans="1:36" x14ac:dyDescent="0.25">
      <c r="A95" s="729"/>
      <c r="B95" s="681" t="s">
        <v>876</v>
      </c>
      <c r="C95" s="681"/>
      <c r="D95" s="681"/>
      <c r="E95" s="681"/>
      <c r="I95" s="679">
        <f>I96+I103+I104</f>
        <v>257.45284414190775</v>
      </c>
      <c r="J95" s="681" t="s">
        <v>938</v>
      </c>
      <c r="K95" s="148"/>
      <c r="L95" s="211"/>
      <c r="M95" s="1383"/>
      <c r="N95" s="1383">
        <f>N96+N103+N104</f>
        <v>181.84468637923788</v>
      </c>
      <c r="O95" s="1645">
        <f>[7]пов!N97</f>
        <v>2.9519073795180719</v>
      </c>
      <c r="P95" s="1654">
        <f>[7]пов!O97</f>
        <v>178.89277899971981</v>
      </c>
      <c r="Q95" s="1408">
        <f>[7]пов!P97</f>
        <v>98.826514852192901</v>
      </c>
      <c r="R95" s="843">
        <f t="shared" si="16"/>
        <v>280.67120123143081</v>
      </c>
      <c r="S95" s="1517"/>
      <c r="AA95" s="1608"/>
    </row>
    <row r="96" spans="1:36" x14ac:dyDescent="0.25">
      <c r="A96" s="680"/>
      <c r="B96" s="681" t="s">
        <v>1250</v>
      </c>
      <c r="C96" s="680"/>
      <c r="D96" s="681"/>
      <c r="E96" s="681"/>
      <c r="F96" s="735"/>
      <c r="G96" s="735"/>
      <c r="H96" s="735"/>
      <c r="I96" s="1593">
        <f>SUM(I97:I99)+I102</f>
        <v>175.51126250000002</v>
      </c>
      <c r="J96" s="681" t="s">
        <v>938</v>
      </c>
      <c r="K96" s="148"/>
      <c r="L96" s="211"/>
      <c r="M96" s="1641"/>
      <c r="N96" s="1383">
        <f>SUM(N97:N102)</f>
        <v>181.84468637923788</v>
      </c>
      <c r="O96" s="1645">
        <f>[7]пов!N98</f>
        <v>2.9519073795180719</v>
      </c>
      <c r="P96" s="1654">
        <f>[7]пов!O98</f>
        <v>178.89277899971981</v>
      </c>
      <c r="Q96" s="1408">
        <f>[7]пов!P98</f>
        <v>9.4951386207621056</v>
      </c>
      <c r="R96" s="843">
        <f>M96+N96+Q96</f>
        <v>191.33982499999999</v>
      </c>
      <c r="S96" s="1655"/>
      <c r="T96" s="1656">
        <f>I96-[3]ФОТ!$BC$759/1000</f>
        <v>175.51126250000002</v>
      </c>
    </row>
    <row r="97" spans="1:20" x14ac:dyDescent="0.25">
      <c r="A97" s="680"/>
      <c r="B97" s="681" t="s">
        <v>1251</v>
      </c>
      <c r="C97" s="681"/>
      <c r="E97" s="681"/>
      <c r="F97" s="681"/>
      <c r="G97" s="682"/>
      <c r="I97" s="1593">
        <f>O97</f>
        <v>2.9519073795180719</v>
      </c>
      <c r="J97" s="681" t="s">
        <v>617</v>
      </c>
      <c r="K97" s="681"/>
      <c r="L97" s="211"/>
      <c r="M97" s="1531"/>
      <c r="N97" s="1383">
        <f t="shared" ref="N97:N102" si="17">O97+P97</f>
        <v>2.9519073795180719</v>
      </c>
      <c r="O97" s="1645">
        <f>[7]пов!N99</f>
        <v>2.9519073795180719</v>
      </c>
      <c r="P97" s="1654">
        <f>[7]пов!O99</f>
        <v>0</v>
      </c>
      <c r="Q97" s="1408">
        <f>[7]пов!P99</f>
        <v>0</v>
      </c>
      <c r="R97" s="843">
        <f t="shared" si="16"/>
        <v>2.9519073795180719</v>
      </c>
      <c r="T97" s="824">
        <v>5.7999999999935881E-3</v>
      </c>
    </row>
    <row r="98" spans="1:20" x14ac:dyDescent="0.25">
      <c r="A98" s="680"/>
      <c r="B98" s="681" t="s">
        <v>1252</v>
      </c>
      <c r="C98" s="680"/>
      <c r="D98" s="681"/>
      <c r="E98" s="681"/>
      <c r="F98" s="735"/>
      <c r="G98" s="735"/>
      <c r="H98" s="735"/>
      <c r="I98" s="1593">
        <f>P98-30</f>
        <v>116.50613803586438</v>
      </c>
      <c r="J98" s="681" t="s">
        <v>617</v>
      </c>
      <c r="K98" s="681"/>
      <c r="L98" s="211"/>
      <c r="M98" s="1524"/>
      <c r="N98" s="1383">
        <f t="shared" si="17"/>
        <v>146.50613803586438</v>
      </c>
      <c r="O98" s="1645">
        <f>[7]пов!N100</f>
        <v>0</v>
      </c>
      <c r="P98" s="1654">
        <f>[7]пов!O100</f>
        <v>146.50613803586438</v>
      </c>
      <c r="Q98" s="1408">
        <f>[7]пов!P100</f>
        <v>0</v>
      </c>
      <c r="R98" s="843">
        <f t="shared" si="16"/>
        <v>146.50613803586438</v>
      </c>
    </row>
    <row r="99" spans="1:20" x14ac:dyDescent="0.25">
      <c r="A99" s="680"/>
      <c r="B99" s="681" t="s">
        <v>1253</v>
      </c>
      <c r="C99" s="681"/>
      <c r="E99" s="681"/>
      <c r="F99" s="681"/>
      <c r="G99" s="682"/>
      <c r="I99" s="1593">
        <f>I100*G101/1000</f>
        <v>29.707460240963854</v>
      </c>
      <c r="J99" s="681" t="s">
        <v>617</v>
      </c>
      <c r="K99" s="681"/>
      <c r="L99" s="211"/>
      <c r="M99" s="1641"/>
      <c r="N99" s="1383">
        <f t="shared" si="17"/>
        <v>32.38664096385542</v>
      </c>
      <c r="O99" s="1645">
        <f>[7]пов!N101</f>
        <v>0</v>
      </c>
      <c r="P99" s="1654">
        <f>[7]пов!O101</f>
        <v>32.38664096385542</v>
      </c>
      <c r="Q99" s="1408">
        <f>[7]пов!P101</f>
        <v>0</v>
      </c>
      <c r="R99" s="843">
        <f t="shared" si="16"/>
        <v>32.38664096385542</v>
      </c>
      <c r="T99" s="1657"/>
    </row>
    <row r="100" spans="1:20" x14ac:dyDescent="0.25">
      <c r="A100" s="1658"/>
      <c r="B100" s="1659" t="s">
        <v>1254</v>
      </c>
      <c r="C100" s="1660">
        <f>[11]ВОП!BH90/1000</f>
        <v>175.51126250000002</v>
      </c>
      <c r="D100" s="1661" t="s">
        <v>1255</v>
      </c>
      <c r="E100" s="1659">
        <f>[7]пов!$F$102</f>
        <v>0.85416666666666663</v>
      </c>
      <c r="F100" s="1126" t="s">
        <v>1256</v>
      </c>
      <c r="G100" s="96">
        <f>[7]пов!$G$102</f>
        <v>1992</v>
      </c>
      <c r="H100" s="1659" t="str">
        <f>[7]пов!$H$102</f>
        <v>*1000=</v>
      </c>
      <c r="I100" s="1662">
        <f>C100/E100/G100*1000</f>
        <v>103.15090361445783</v>
      </c>
      <c r="J100" s="748" t="s">
        <v>1257</v>
      </c>
      <c r="K100" s="748"/>
      <c r="L100" s="211"/>
      <c r="M100" s="1663"/>
      <c r="N100" s="1383">
        <f t="shared" si="17"/>
        <v>0</v>
      </c>
      <c r="O100" s="1645">
        <f>[7]пов!N102</f>
        <v>0</v>
      </c>
      <c r="P100" s="1654">
        <f>[7]пов!O102</f>
        <v>0</v>
      </c>
      <c r="Q100" s="1408">
        <f>[7]пов!P102</f>
        <v>0</v>
      </c>
      <c r="R100" s="843">
        <f t="shared" si="16"/>
        <v>0</v>
      </c>
    </row>
    <row r="101" spans="1:20" x14ac:dyDescent="0.25">
      <c r="A101" s="1658"/>
      <c r="B101" s="1659" t="s">
        <v>1258</v>
      </c>
      <c r="C101" s="1643">
        <v>3</v>
      </c>
      <c r="D101" s="1643" t="s">
        <v>1233</v>
      </c>
      <c r="E101" s="1643">
        <v>8</v>
      </c>
      <c r="F101" s="1643" t="s">
        <v>1259</v>
      </c>
      <c r="G101" s="1664">
        <f>C101*12*E101</f>
        <v>288</v>
      </c>
      <c r="H101" s="1664" t="s">
        <v>1260</v>
      </c>
      <c r="I101" s="1528"/>
      <c r="J101" s="748"/>
      <c r="K101" s="748"/>
      <c r="L101" s="211"/>
      <c r="M101" s="1663"/>
      <c r="N101" s="1383">
        <f t="shared" si="17"/>
        <v>0</v>
      </c>
      <c r="O101" s="1645">
        <f>[7]пов!N103</f>
        <v>0</v>
      </c>
      <c r="P101" s="1654">
        <f>[7]пов!O103</f>
        <v>0</v>
      </c>
      <c r="Q101" s="1408">
        <f>[7]пов!P103</f>
        <v>0</v>
      </c>
      <c r="R101" s="843">
        <f t="shared" si="16"/>
        <v>0</v>
      </c>
    </row>
    <row r="102" spans="1:20" x14ac:dyDescent="0.25">
      <c r="A102" s="680"/>
      <c r="B102" s="681" t="s">
        <v>1261</v>
      </c>
      <c r="C102" s="681"/>
      <c r="E102" s="681"/>
      <c r="F102" s="681"/>
      <c r="G102" s="682"/>
      <c r="I102" s="1593">
        <f>[11]ВОП!BH90/1000-I99-I98-I97</f>
        <v>26.345756843653707</v>
      </c>
      <c r="J102" s="681" t="s">
        <v>617</v>
      </c>
      <c r="K102" s="681"/>
      <c r="L102" s="211"/>
      <c r="M102" s="1531"/>
      <c r="N102" s="1383">
        <f t="shared" si="17"/>
        <v>0</v>
      </c>
      <c r="O102" s="1645">
        <f>[7]пов!N104</f>
        <v>0</v>
      </c>
      <c r="P102" s="1654">
        <f>[7]пов!O104</f>
        <v>0</v>
      </c>
      <c r="Q102" s="1408">
        <f>[7]пов!P104</f>
        <v>9.4951386207621056</v>
      </c>
      <c r="R102" s="843">
        <f t="shared" si="16"/>
        <v>9.4951386207621056</v>
      </c>
      <c r="S102" s="1608"/>
    </row>
    <row r="103" spans="1:20" x14ac:dyDescent="0.25">
      <c r="A103" s="680"/>
      <c r="B103" s="681" t="s">
        <v>1262</v>
      </c>
      <c r="C103" s="681"/>
      <c r="E103" s="681"/>
      <c r="F103" s="681"/>
      <c r="G103" s="682"/>
      <c r="I103" s="1593">
        <f>[11]ВОП!BH89/1000</f>
        <v>57.468599999999995</v>
      </c>
      <c r="J103" s="681" t="s">
        <v>617</v>
      </c>
      <c r="K103" s="681"/>
      <c r="L103" s="211"/>
      <c r="M103" s="1531"/>
      <c r="N103" s="1383">
        <f>O103+P103</f>
        <v>0</v>
      </c>
      <c r="O103" s="1645">
        <f>[7]пов!N105</f>
        <v>0</v>
      </c>
      <c r="P103" s="1654">
        <f>[7]пов!O105</f>
        <v>0</v>
      </c>
      <c r="Q103" s="1408">
        <f>[7]пов!P105</f>
        <v>62.651399999999995</v>
      </c>
      <c r="R103" s="843">
        <f t="shared" si="16"/>
        <v>62.651399999999995</v>
      </c>
    </row>
    <row r="104" spans="1:20" x14ac:dyDescent="0.25">
      <c r="A104" s="680"/>
      <c r="B104" s="681" t="s">
        <v>1263</v>
      </c>
      <c r="C104" s="680"/>
      <c r="D104" s="681"/>
      <c r="E104" s="681"/>
      <c r="F104" s="735"/>
      <c r="G104" s="735"/>
      <c r="H104" s="735"/>
      <c r="I104" s="1593">
        <f>[11]ВОП!BH91/1000</f>
        <v>24.472981641907715</v>
      </c>
      <c r="J104" s="681" t="s">
        <v>617</v>
      </c>
      <c r="K104" s="681"/>
      <c r="L104" s="211"/>
      <c r="M104" s="1524"/>
      <c r="N104" s="1383">
        <f>O104+P104</f>
        <v>0</v>
      </c>
      <c r="O104" s="1645">
        <f>[7]пов!N106</f>
        <v>0</v>
      </c>
      <c r="P104" s="1654">
        <f>[7]пов!O106</f>
        <v>0</v>
      </c>
      <c r="Q104" s="1408">
        <f>[7]пов!P106</f>
        <v>26.679976231430807</v>
      </c>
      <c r="R104" s="843">
        <f t="shared" si="16"/>
        <v>26.679976231430807</v>
      </c>
    </row>
    <row r="105" spans="1:20" x14ac:dyDescent="0.25">
      <c r="A105" s="1658"/>
      <c r="B105" s="1659"/>
      <c r="C105" s="1659"/>
      <c r="D105" s="1643"/>
      <c r="E105" s="1643"/>
      <c r="F105" s="1643"/>
      <c r="G105" s="1643"/>
      <c r="H105" s="1664"/>
      <c r="I105" s="1665"/>
      <c r="J105" s="1664"/>
      <c r="K105" s="1666"/>
      <c r="L105" s="211"/>
      <c r="M105" s="1667"/>
      <c r="N105" s="1383">
        <f>O105+P105</f>
        <v>0</v>
      </c>
      <c r="O105" s="1538"/>
      <c r="P105" s="1646"/>
      <c r="Q105" s="1328"/>
      <c r="R105" s="843">
        <f t="shared" si="16"/>
        <v>0</v>
      </c>
      <c r="S105" s="1547"/>
    </row>
    <row r="106" spans="1:20" ht="12.75" customHeight="1" x14ac:dyDescent="0.25">
      <c r="A106" s="680">
        <v>5</v>
      </c>
      <c r="B106" s="680" t="s">
        <v>818</v>
      </c>
      <c r="C106" s="680"/>
      <c r="D106" s="680"/>
      <c r="E106" s="680"/>
      <c r="F106" s="729"/>
      <c r="G106" s="729"/>
      <c r="H106" s="729"/>
      <c r="I106" s="1143">
        <f>I93*22%</f>
        <v>135.0317857112197</v>
      </c>
      <c r="J106" s="680" t="s">
        <v>938</v>
      </c>
      <c r="K106" s="120"/>
      <c r="L106" s="211"/>
      <c r="M106" s="1566">
        <f>M93*22%</f>
        <v>0</v>
      </c>
      <c r="N106" s="1567">
        <f>N93*22%</f>
        <v>108.59498336389939</v>
      </c>
      <c r="O106" s="1568">
        <f>O93*22%</f>
        <v>4.1176775578610743</v>
      </c>
      <c r="P106" s="1569">
        <f>P93*22%</f>
        <v>104.47730580603833</v>
      </c>
      <c r="Q106" s="1570">
        <f>Q93*22%</f>
        <v>38.612208907015379</v>
      </c>
      <c r="R106" s="843">
        <f t="shared" si="16"/>
        <v>147.20719227091476</v>
      </c>
      <c r="S106" s="1656"/>
    </row>
    <row r="107" spans="1:20" x14ac:dyDescent="0.25">
      <c r="A107" s="729"/>
      <c r="B107" s="681" t="s">
        <v>1264</v>
      </c>
      <c r="C107" s="681"/>
      <c r="D107" s="681"/>
      <c r="E107" s="681"/>
      <c r="I107" s="1593">
        <f>I94*22%</f>
        <v>78.39215999999999</v>
      </c>
      <c r="J107" s="681" t="s">
        <v>938</v>
      </c>
      <c r="K107" s="148"/>
      <c r="L107" s="211"/>
      <c r="M107" s="1531">
        <f>M94*22%</f>
        <v>0</v>
      </c>
      <c r="N107" s="1383">
        <f>O107+P107</f>
        <v>68.589152360467068</v>
      </c>
      <c r="O107" s="1538">
        <f t="shared" ref="O107:Q108" si="18">O94*22%</f>
        <v>3.4682579343670978</v>
      </c>
      <c r="P107" s="1646">
        <f t="shared" si="18"/>
        <v>65.120894426099966</v>
      </c>
      <c r="Q107" s="1328">
        <f t="shared" si="18"/>
        <v>16.870375639532945</v>
      </c>
      <c r="R107" s="843">
        <f t="shared" si="16"/>
        <v>85.459528000000006</v>
      </c>
      <c r="S107" s="1668">
        <f>S106-S105/1000</f>
        <v>0</v>
      </c>
    </row>
    <row r="108" spans="1:20" x14ac:dyDescent="0.25">
      <c r="A108" s="680"/>
      <c r="B108" s="1281" t="s">
        <v>1265</v>
      </c>
      <c r="C108" s="1281"/>
      <c r="E108" s="681"/>
      <c r="F108" s="681"/>
      <c r="G108" s="682"/>
      <c r="I108" s="679">
        <f>I95*22%</f>
        <v>56.639625711219708</v>
      </c>
      <c r="J108" s="681" t="s">
        <v>617</v>
      </c>
      <c r="K108" s="681"/>
      <c r="L108" s="211"/>
      <c r="M108" s="1641">
        <f>(M95*22%)</f>
        <v>0</v>
      </c>
      <c r="N108" s="1195">
        <f>N93*22%</f>
        <v>108.59498336389939</v>
      </c>
      <c r="O108" s="1645">
        <f t="shared" si="18"/>
        <v>0.64941962349397586</v>
      </c>
      <c r="P108" s="1654">
        <f t="shared" si="18"/>
        <v>39.356411379938358</v>
      </c>
      <c r="Q108" s="1408">
        <f t="shared" si="18"/>
        <v>21.741833267482438</v>
      </c>
      <c r="R108" s="843">
        <f t="shared" si="16"/>
        <v>130.33681663138182</v>
      </c>
    </row>
    <row r="109" spans="1:20" hidden="1" x14ac:dyDescent="0.25">
      <c r="A109" s="680"/>
      <c r="B109" s="1281"/>
      <c r="C109" s="1281"/>
      <c r="E109" s="681"/>
      <c r="F109" s="681"/>
      <c r="G109" s="682"/>
      <c r="I109" s="679"/>
      <c r="J109" s="681"/>
      <c r="K109" s="681"/>
      <c r="L109" s="211"/>
      <c r="M109" s="1641"/>
      <c r="N109" s="1195"/>
      <c r="O109" s="1645"/>
      <c r="P109" s="1654"/>
      <c r="Q109" s="1408"/>
      <c r="R109" s="843"/>
    </row>
    <row r="110" spans="1:20" hidden="1" x14ac:dyDescent="0.25">
      <c r="A110" s="729"/>
      <c r="B110" s="1281"/>
      <c r="C110" s="1281"/>
      <c r="E110" s="681"/>
      <c r="F110" s="681"/>
      <c r="G110" s="682"/>
      <c r="I110" s="679"/>
      <c r="J110" s="681"/>
      <c r="K110" s="681"/>
      <c r="L110" s="211"/>
      <c r="M110" s="1641"/>
      <c r="N110" s="1195"/>
      <c r="O110" s="1645"/>
      <c r="P110" s="1654"/>
      <c r="Q110" s="1408"/>
      <c r="R110" s="843"/>
    </row>
    <row r="111" spans="1:20" hidden="1" x14ac:dyDescent="0.25">
      <c r="A111" s="729">
        <v>6</v>
      </c>
      <c r="B111" s="680" t="s">
        <v>1266</v>
      </c>
      <c r="C111" s="680"/>
      <c r="D111" s="681" t="s">
        <v>1267</v>
      </c>
      <c r="E111" s="680"/>
      <c r="F111" s="680"/>
      <c r="G111" s="729"/>
      <c r="H111" s="729"/>
      <c r="I111" s="1143">
        <f>I112+I113</f>
        <v>0</v>
      </c>
      <c r="J111" s="681" t="s">
        <v>938</v>
      </c>
      <c r="K111" s="148"/>
      <c r="L111" s="211"/>
      <c r="M111" s="1566">
        <f>SUM(M112:M113)</f>
        <v>0</v>
      </c>
      <c r="N111" s="1567">
        <f>SUM(N112:N113)</f>
        <v>0</v>
      </c>
      <c r="O111" s="1568">
        <f>SUM(O112:O113)</f>
        <v>0</v>
      </c>
      <c r="P111" s="1569">
        <f>SUM(P112:P113)</f>
        <v>0</v>
      </c>
      <c r="Q111" s="1570">
        <f>SUM(Q112:Q113)</f>
        <v>0</v>
      </c>
      <c r="R111" s="843">
        <f t="shared" ref="R111:R118" si="19">M111+N111+Q111</f>
        <v>0</v>
      </c>
    </row>
    <row r="112" spans="1:20" hidden="1" x14ac:dyDescent="0.25">
      <c r="A112" s="729"/>
      <c r="B112" s="681" t="s">
        <v>1268</v>
      </c>
      <c r="C112" s="674">
        <v>79.45</v>
      </c>
      <c r="D112" s="681">
        <f>C112*100%</f>
        <v>79.45</v>
      </c>
      <c r="E112" s="681" t="s">
        <v>809</v>
      </c>
      <c r="F112" s="1545">
        <f>[6]пов!$F$102</f>
        <v>3597.75</v>
      </c>
      <c r="G112" s="735"/>
      <c r="H112" s="735"/>
      <c r="I112" s="679">
        <f>M112+N112+Q112</f>
        <v>0</v>
      </c>
      <c r="J112" s="681" t="s">
        <v>938</v>
      </c>
      <c r="K112" s="148"/>
      <c r="L112" s="211"/>
      <c r="M112" s="1669"/>
      <c r="N112" s="1383">
        <f>O112+P112</f>
        <v>0</v>
      </c>
      <c r="O112" s="1670"/>
      <c r="P112" s="1671"/>
      <c r="Q112" s="1672"/>
      <c r="R112" s="843">
        <f t="shared" si="19"/>
        <v>0</v>
      </c>
    </row>
    <row r="113" spans="1:20" hidden="1" x14ac:dyDescent="0.25">
      <c r="A113" s="729"/>
      <c r="B113" s="681" t="s">
        <v>1269</v>
      </c>
      <c r="C113" s="674">
        <v>43.56</v>
      </c>
      <c r="D113" s="681">
        <f>C113*100%</f>
        <v>43.56</v>
      </c>
      <c r="E113" s="681" t="s">
        <v>809</v>
      </c>
      <c r="F113" s="1545">
        <f>F112</f>
        <v>3597.75</v>
      </c>
      <c r="G113" s="152">
        <f>136/699*100</f>
        <v>19.456366237482118</v>
      </c>
      <c r="H113" s="681" t="s">
        <v>1270</v>
      </c>
      <c r="I113" s="679">
        <f>M113+N113+Q113</f>
        <v>0</v>
      </c>
      <c r="J113" s="681" t="s">
        <v>938</v>
      </c>
      <c r="K113" s="148"/>
      <c r="L113" s="211"/>
      <c r="M113" s="1669"/>
      <c r="N113" s="1383">
        <f>O113+P113</f>
        <v>0</v>
      </c>
      <c r="O113" s="1670"/>
      <c r="P113" s="1671"/>
      <c r="Q113" s="1672"/>
      <c r="R113" s="843">
        <f t="shared" si="19"/>
        <v>0</v>
      </c>
    </row>
    <row r="114" spans="1:20" x14ac:dyDescent="0.25">
      <c r="A114" s="729">
        <v>6</v>
      </c>
      <c r="B114" s="680" t="s">
        <v>1271</v>
      </c>
      <c r="C114" s="680"/>
      <c r="D114" s="681" t="s">
        <v>1267</v>
      </c>
      <c r="E114" s="680"/>
      <c r="F114" s="680"/>
      <c r="G114" s="729"/>
      <c r="H114" s="729"/>
      <c r="I114" s="1523">
        <f>I116</f>
        <v>123.72</v>
      </c>
      <c r="J114" s="681" t="s">
        <v>938</v>
      </c>
      <c r="K114" s="148"/>
      <c r="L114" s="211"/>
      <c r="M114" s="1566">
        <f>SUM(M116:M119)</f>
        <v>0</v>
      </c>
      <c r="N114" s="1567">
        <f>SUM(N116:N119)</f>
        <v>123.72</v>
      </c>
      <c r="O114" s="1568">
        <f>SUM(O116:O119)</f>
        <v>0</v>
      </c>
      <c r="P114" s="1569">
        <f>SUM(P116:P119)</f>
        <v>123.72</v>
      </c>
      <c r="Q114" s="1570">
        <f>SUM(Q116:Q119)</f>
        <v>0</v>
      </c>
      <c r="R114" s="843">
        <f t="shared" si="19"/>
        <v>123.72</v>
      </c>
    </row>
    <row r="115" spans="1:20" x14ac:dyDescent="0.25">
      <c r="B115" s="680"/>
      <c r="C115" s="681" t="s">
        <v>1272</v>
      </c>
      <c r="D115" s="681" t="s">
        <v>1273</v>
      </c>
      <c r="E115" s="681">
        <v>40</v>
      </c>
      <c r="F115" s="681">
        <v>50</v>
      </c>
      <c r="G115" s="681">
        <v>65</v>
      </c>
      <c r="H115" s="681" t="s">
        <v>1274</v>
      </c>
      <c r="I115" s="1143"/>
      <c r="J115" s="681"/>
      <c r="K115" s="148"/>
      <c r="L115" s="211"/>
      <c r="M115" s="1673"/>
      <c r="N115" s="1674"/>
      <c r="O115" s="1562"/>
      <c r="P115" s="1563"/>
      <c r="Q115" s="1564"/>
      <c r="R115" s="843">
        <f t="shared" si="19"/>
        <v>0</v>
      </c>
    </row>
    <row r="116" spans="1:20" x14ac:dyDescent="0.25">
      <c r="B116" s="681" t="s">
        <v>1275</v>
      </c>
      <c r="C116" s="681">
        <f>[7]пов!C118</f>
        <v>160</v>
      </c>
      <c r="D116" s="681">
        <f>[7]пов!D118</f>
        <v>1200</v>
      </c>
      <c r="E116" s="681">
        <f>[7]пов!E118</f>
        <v>1200</v>
      </c>
      <c r="F116" s="681">
        <f>[7]пов!F118</f>
        <v>1200</v>
      </c>
      <c r="G116" s="681">
        <f>[7]пов!G118</f>
        <v>1800</v>
      </c>
      <c r="H116" s="681">
        <f>[7]пов!H118</f>
        <v>1800</v>
      </c>
      <c r="I116" s="679">
        <f>M116+N116+Q116</f>
        <v>123.72</v>
      </c>
      <c r="J116" s="681" t="s">
        <v>938</v>
      </c>
      <c r="K116" s="148"/>
      <c r="L116" s="211"/>
      <c r="M116" s="1531"/>
      <c r="N116" s="1383">
        <f>O116+P116</f>
        <v>123.72</v>
      </c>
      <c r="O116" s="1675"/>
      <c r="P116" s="1654">
        <f>(C116*C117+D116*D117+E116*E117+F116*F117+G116*G117+H116*H117)/1000</f>
        <v>123.72</v>
      </c>
      <c r="Q116" s="1676"/>
      <c r="R116" s="843">
        <f t="shared" si="19"/>
        <v>123.72</v>
      </c>
    </row>
    <row r="117" spans="1:20" x14ac:dyDescent="0.25">
      <c r="B117" s="681" t="s">
        <v>1276</v>
      </c>
      <c r="C117" s="681">
        <f>[7]пов!C119</f>
        <v>507</v>
      </c>
      <c r="D117" s="681">
        <f>[7]пов!D119</f>
        <v>4</v>
      </c>
      <c r="E117" s="681">
        <f>[7]пов!E119</f>
        <v>9</v>
      </c>
      <c r="F117" s="681">
        <f>[7]пов!F119</f>
        <v>15</v>
      </c>
      <c r="G117" s="681">
        <f>[7]пов!G119</f>
        <v>3</v>
      </c>
      <c r="H117" s="681">
        <f>[7]пов!H119</f>
        <v>2</v>
      </c>
      <c r="I117" s="681">
        <f>[7]пов!I119</f>
        <v>540</v>
      </c>
      <c r="J117" s="679">
        <f>SUM(C117:H117)*4</f>
        <v>2160</v>
      </c>
      <c r="K117" s="934"/>
      <c r="L117" s="211"/>
      <c r="M117" s="1531"/>
      <c r="N117" s="1383">
        <f>O117+P117</f>
        <v>0</v>
      </c>
      <c r="O117" s="1559"/>
      <c r="P117" s="1560"/>
      <c r="Q117" s="1404"/>
      <c r="R117" s="843">
        <f t="shared" si="19"/>
        <v>0</v>
      </c>
    </row>
    <row r="118" spans="1:20" x14ac:dyDescent="0.25">
      <c r="B118" s="681"/>
      <c r="C118" s="681">
        <f>[7]пов!C120</f>
        <v>81120</v>
      </c>
      <c r="D118" s="681">
        <f>[7]пов!D120</f>
        <v>4800</v>
      </c>
      <c r="E118" s="681">
        <f>[7]пов!E120</f>
        <v>10800</v>
      </c>
      <c r="F118" s="681">
        <f>[7]пов!F120</f>
        <v>18000</v>
      </c>
      <c r="G118" s="681">
        <f>[7]пов!G120</f>
        <v>5400</v>
      </c>
      <c r="H118" s="681">
        <f>[7]пов!H120</f>
        <v>3600</v>
      </c>
      <c r="I118" s="681">
        <f>[7]пов!I120</f>
        <v>123.72</v>
      </c>
      <c r="J118" s="681"/>
      <c r="K118" s="148"/>
      <c r="L118" s="211"/>
      <c r="M118" s="1531"/>
      <c r="N118" s="1383">
        <f>O118+P118</f>
        <v>0</v>
      </c>
      <c r="O118" s="1559"/>
      <c r="P118" s="1560"/>
      <c r="Q118" s="1404"/>
      <c r="R118" s="843">
        <f t="shared" si="19"/>
        <v>0</v>
      </c>
    </row>
    <row r="119" spans="1:20" hidden="1" x14ac:dyDescent="0.25">
      <c r="B119" s="681"/>
      <c r="C119" s="826">
        <f>[19]пов!C100</f>
        <v>383.75</v>
      </c>
      <c r="D119" s="826">
        <f>[19]пов!D100</f>
        <v>2</v>
      </c>
      <c r="E119" s="826">
        <f>[19]пов!E100</f>
        <v>8</v>
      </c>
      <c r="F119" s="826">
        <f>[19]пов!F100</f>
        <v>13.75</v>
      </c>
      <c r="G119" s="826">
        <f>[19]пов!G100</f>
        <v>2.75</v>
      </c>
      <c r="H119" s="826">
        <f>[19]пов!H100</f>
        <v>2</v>
      </c>
      <c r="I119" s="1606">
        <f>116/1701*'[19]нат пок'!J35/4*11.76*0</f>
        <v>0</v>
      </c>
      <c r="J119" s="1677" t="s">
        <v>809</v>
      </c>
      <c r="K119" s="806"/>
      <c r="L119" s="211"/>
      <c r="M119" s="1531"/>
      <c r="N119" s="1396"/>
      <c r="O119" s="1559"/>
      <c r="P119" s="1560"/>
      <c r="Q119" s="1404"/>
      <c r="R119" s="843"/>
    </row>
    <row r="120" spans="1:20" hidden="1" x14ac:dyDescent="0.25">
      <c r="B120" s="1072"/>
      <c r="C120" s="1235"/>
      <c r="D120" s="1235"/>
      <c r="E120" s="1235"/>
      <c r="F120" s="1235"/>
      <c r="G120" s="1235"/>
      <c r="H120" s="1678"/>
      <c r="I120" s="1239"/>
      <c r="J120" s="826"/>
      <c r="K120" s="826"/>
      <c r="L120" s="211"/>
      <c r="M120" s="1531"/>
      <c r="N120" s="1383"/>
      <c r="O120" s="1559"/>
      <c r="P120" s="1560"/>
      <c r="Q120" s="1404"/>
      <c r="R120" s="843">
        <f>M120+N120+Q120</f>
        <v>0</v>
      </c>
    </row>
    <row r="121" spans="1:20" ht="15.75" x14ac:dyDescent="0.25">
      <c r="B121" s="680"/>
      <c r="C121" s="575">
        <f>[19]пов!C102</f>
        <v>1397.150208</v>
      </c>
      <c r="D121" s="575">
        <f>[19]пов!D102</f>
        <v>39.892360000000004</v>
      </c>
      <c r="E121" s="575">
        <f>[19]пов!E102</f>
        <v>203.05264000000003</v>
      </c>
      <c r="F121" s="575">
        <f>[19]пов!F102</f>
        <v>448.29932000000002</v>
      </c>
      <c r="G121" s="575">
        <f>[19]пов!G102</f>
        <v>109.48793999999997</v>
      </c>
      <c r="H121" s="575">
        <f>[19]пов!H102</f>
        <v>88.818759999999983</v>
      </c>
      <c r="I121" s="1679">
        <f>SUM(C121:H121)</f>
        <v>2286.7012280000004</v>
      </c>
      <c r="J121" s="826"/>
      <c r="K121" s="1680"/>
      <c r="L121" s="211"/>
      <c r="M121" s="1524"/>
      <c r="N121" s="1383"/>
      <c r="O121" s="1559"/>
      <c r="P121" s="1560"/>
      <c r="Q121" s="1404"/>
      <c r="R121" s="843"/>
    </row>
    <row r="122" spans="1:20" ht="15.75" x14ac:dyDescent="0.25">
      <c r="B122" s="680" t="s">
        <v>1277</v>
      </c>
      <c r="C122" s="680"/>
      <c r="D122" s="681"/>
      <c r="E122" s="681"/>
      <c r="F122" s="735"/>
      <c r="G122" s="735"/>
      <c r="H122" s="735"/>
      <c r="I122" s="1143">
        <f>I3+I19</f>
        <v>3006.3653869808459</v>
      </c>
      <c r="J122" s="681" t="s">
        <v>719</v>
      </c>
      <c r="K122" s="25"/>
      <c r="L122" s="211"/>
      <c r="M122" s="1384">
        <f>M4+M5+M7+M9+M19</f>
        <v>0</v>
      </c>
      <c r="N122" s="1384">
        <f>N4+N5+N7+N9+N19</f>
        <v>2294.7859854573221</v>
      </c>
      <c r="O122" s="1384">
        <f>O4+O5+O7+O9+O19</f>
        <v>958.54651949851541</v>
      </c>
      <c r="P122" s="1384">
        <f>P4+P5+P7+P9+P19</f>
        <v>1336.2394659588067</v>
      </c>
      <c r="Q122" s="1384">
        <f>Q4+Q5+Q7+Q9+Q19</f>
        <v>731.13485978740869</v>
      </c>
      <c r="R122" s="843">
        <f>M122+N122+Q122</f>
        <v>3025.920845244731</v>
      </c>
      <c r="T122" s="1657">
        <f>I122-R122</f>
        <v>-19.555458263885157</v>
      </c>
    </row>
    <row r="123" spans="1:20" ht="15.75" x14ac:dyDescent="0.25">
      <c r="B123" s="680"/>
      <c r="C123" s="680"/>
      <c r="D123" s="681"/>
      <c r="E123" s="681"/>
      <c r="F123" s="735"/>
      <c r="G123" s="735"/>
      <c r="H123" s="735"/>
      <c r="I123" s="1140"/>
      <c r="J123" s="681"/>
      <c r="K123" s="25"/>
      <c r="L123" s="25"/>
      <c r="M123" s="1681"/>
      <c r="O123" s="1682"/>
      <c r="R123" s="1683">
        <f>R122-I122</f>
        <v>19.555458263885157</v>
      </c>
    </row>
    <row r="124" spans="1:20" ht="15.75" x14ac:dyDescent="0.25">
      <c r="B124" s="964" t="s">
        <v>218</v>
      </c>
      <c r="C124" s="964"/>
      <c r="D124" s="964"/>
      <c r="E124" s="964"/>
      <c r="F124" s="964"/>
      <c r="G124" s="967"/>
      <c r="H124" s="964" t="s">
        <v>148</v>
      </c>
      <c r="J124" s="681"/>
      <c r="K124" s="25"/>
      <c r="L124" s="25"/>
      <c r="M124" s="1681"/>
      <c r="O124" s="1682"/>
    </row>
    <row r="125" spans="1:20" ht="15.75" x14ac:dyDescent="0.25">
      <c r="B125" s="680"/>
      <c r="C125" s="680"/>
      <c r="D125" s="681"/>
      <c r="E125" s="681"/>
      <c r="F125" s="735"/>
      <c r="G125" s="735"/>
      <c r="H125" s="735"/>
      <c r="I125" s="1140"/>
      <c r="J125" s="680"/>
      <c r="K125" s="1136"/>
      <c r="L125" s="1136"/>
      <c r="M125" s="1684"/>
      <c r="O125" s="1682"/>
    </row>
    <row r="126" spans="1:20" x14ac:dyDescent="0.25">
      <c r="M126" s="1146">
        <f>I122-I104*1.22-I83</f>
        <v>2948.5777910443849</v>
      </c>
      <c r="O126" s="1682"/>
    </row>
    <row r="127" spans="1:20" x14ac:dyDescent="0.25">
      <c r="I127" s="1522"/>
      <c r="M127" s="1685"/>
      <c r="O127" s="1682"/>
    </row>
    <row r="128" spans="1:20" x14ac:dyDescent="0.25">
      <c r="I128" s="1522"/>
      <c r="M128" s="1683"/>
      <c r="N128"/>
      <c r="O128"/>
      <c r="P128" s="1686"/>
      <c r="Q128" s="1686"/>
    </row>
    <row r="129" spans="12:18" x14ac:dyDescent="0.25">
      <c r="M129" s="1687"/>
      <c r="N129" s="1688"/>
      <c r="O129" s="1687"/>
      <c r="P129" s="1687"/>
      <c r="Q129"/>
    </row>
    <row r="130" spans="12:18" x14ac:dyDescent="0.25">
      <c r="M130"/>
      <c r="N130"/>
      <c r="O130"/>
      <c r="P130"/>
      <c r="Q130"/>
    </row>
    <row r="131" spans="12:18" x14ac:dyDescent="0.25">
      <c r="M131"/>
      <c r="N131"/>
      <c r="O131"/>
      <c r="P131"/>
      <c r="Q131"/>
    </row>
    <row r="132" spans="12:18" x14ac:dyDescent="0.25">
      <c r="L132" s="820"/>
      <c r="M132" s="1689"/>
      <c r="O132" s="1686"/>
      <c r="P132" s="1686"/>
      <c r="Q132" s="820"/>
      <c r="R132" s="820"/>
    </row>
    <row r="133" spans="12:18" x14ac:dyDescent="0.25">
      <c r="M133" s="1686"/>
      <c r="N133" s="1686"/>
      <c r="O133" s="1686"/>
      <c r="P133" s="1686"/>
    </row>
    <row r="134" spans="12:18" x14ac:dyDescent="0.25">
      <c r="M134" s="1690"/>
      <c r="O134" s="820"/>
      <c r="P134" s="820"/>
    </row>
    <row r="136" spans="12:18" x14ac:dyDescent="0.25">
      <c r="L136" s="1608"/>
      <c r="M136" s="1691"/>
      <c r="N136" s="1686"/>
      <c r="O136"/>
      <c r="P136"/>
    </row>
    <row r="137" spans="12:18" x14ac:dyDescent="0.25">
      <c r="L137" s="1608"/>
      <c r="M137" s="1691"/>
      <c r="N137" s="1686"/>
      <c r="O137"/>
      <c r="P137"/>
    </row>
    <row r="138" spans="12:18" x14ac:dyDescent="0.25">
      <c r="L138" s="1608"/>
      <c r="M138" s="1691"/>
      <c r="N138" s="1691"/>
      <c r="O138" s="1691"/>
      <c r="P138" s="1691"/>
    </row>
    <row r="139" spans="12:18" x14ac:dyDescent="0.25">
      <c r="L139" s="1608"/>
      <c r="M139" s="1686"/>
    </row>
  </sheetData>
  <mergeCells count="9">
    <mergeCell ref="AB4:AE4"/>
    <mergeCell ref="B27:D27"/>
    <mergeCell ref="B33:D33"/>
    <mergeCell ref="V4:V5"/>
    <mergeCell ref="W4:W5"/>
    <mergeCell ref="X4:X5"/>
    <mergeCell ref="Y4:Y5"/>
    <mergeCell ref="Z4:Z5"/>
    <mergeCell ref="AA4:AA5"/>
  </mergeCell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32"/>
  <sheetViews>
    <sheetView view="pageBreakPreview" topLeftCell="B8" zoomScale="87" zoomScaleNormal="100" zoomScaleSheetLayoutView="87" workbookViewId="0">
      <selection activeCell="H11" sqref="H11"/>
    </sheetView>
  </sheetViews>
  <sheetFormatPr defaultRowHeight="12.75" x14ac:dyDescent="0.2"/>
  <cols>
    <col min="1" max="1" width="5.5703125" style="148" hidden="1" customWidth="1"/>
    <col min="2" max="2" width="4.5703125" style="148" customWidth="1"/>
    <col min="3" max="3" width="60.28515625" style="148" customWidth="1"/>
    <col min="4" max="4" width="7.85546875" style="148" customWidth="1"/>
    <col min="5" max="5" width="9.28515625" style="148" customWidth="1"/>
    <col min="6" max="6" width="12" style="148" customWidth="1"/>
    <col min="7" max="7" width="17.5703125" style="148" customWidth="1"/>
    <col min="8" max="8" width="14.7109375" style="205" customWidth="1"/>
    <col min="9" max="9" width="10.85546875" style="1" customWidth="1"/>
    <col min="10" max="10" width="6.28515625" style="148" customWidth="1"/>
    <col min="11" max="11" width="77.28515625" style="1883" customWidth="1"/>
    <col min="12" max="12" width="8.28515625" style="148" customWidth="1"/>
    <col min="13" max="13" width="8" style="148" customWidth="1"/>
    <col min="14" max="14" width="9.85546875" style="148" customWidth="1"/>
    <col min="15" max="15" width="9.140625" style="148" customWidth="1"/>
    <col min="16" max="16" width="9.7109375" style="148" customWidth="1"/>
    <col min="17" max="17" width="8.140625" style="148" customWidth="1"/>
    <col min="18" max="18" width="9.85546875" style="1712" hidden="1" customWidth="1"/>
    <col min="19" max="20" width="11" style="148" customWidth="1"/>
    <col min="21" max="21" width="10.140625" style="148" customWidth="1"/>
    <col min="22" max="23" width="13.140625" style="1712" hidden="1" customWidth="1"/>
    <col min="24" max="24" width="11.42578125" style="148" customWidth="1"/>
    <col min="25" max="25" width="11.28515625" style="148" customWidth="1"/>
    <col min="26" max="26" width="10" style="148" customWidth="1"/>
    <col min="27" max="27" width="12.42578125" style="1712" hidden="1" customWidth="1"/>
    <col min="28" max="28" width="10.42578125" style="1712" hidden="1" customWidth="1"/>
    <col min="29" max="29" width="10.85546875" style="148" customWidth="1"/>
    <col min="30" max="30" width="10.140625" style="148" customWidth="1"/>
    <col min="31" max="31" width="11.140625" style="148" customWidth="1"/>
    <col min="32" max="32" width="15.7109375" style="148" customWidth="1"/>
    <col min="33" max="33" width="2.140625" style="148" customWidth="1"/>
    <col min="34" max="34" width="14.42578125" style="148" customWidth="1"/>
    <col min="35" max="35" width="13.5703125" style="148" customWidth="1"/>
    <col min="36" max="36" width="13.28515625" style="613" customWidth="1"/>
    <col min="37" max="37" width="12.28515625" style="148" customWidth="1"/>
    <col min="38" max="38" width="12" style="148" customWidth="1"/>
    <col min="39" max="256" width="9.140625" style="148"/>
    <col min="257" max="257" width="0" style="148" hidden="1" customWidth="1"/>
    <col min="258" max="258" width="4.5703125" style="148" customWidth="1"/>
    <col min="259" max="259" width="56" style="148" customWidth="1"/>
    <col min="260" max="260" width="7.85546875" style="148" customWidth="1"/>
    <col min="261" max="261" width="9.28515625" style="148" customWidth="1"/>
    <col min="262" max="262" width="12" style="148" customWidth="1"/>
    <col min="263" max="263" width="16.5703125" style="148" customWidth="1"/>
    <col min="264" max="264" width="14.7109375" style="148" customWidth="1"/>
    <col min="265" max="265" width="10.85546875" style="148" customWidth="1"/>
    <col min="266" max="266" width="6.28515625" style="148" customWidth="1"/>
    <col min="267" max="267" width="77.28515625" style="148" customWidth="1"/>
    <col min="268" max="268" width="8.28515625" style="148" customWidth="1"/>
    <col min="269" max="269" width="8" style="148" customWidth="1"/>
    <col min="270" max="270" width="9.85546875" style="148" customWidth="1"/>
    <col min="271" max="271" width="9.140625" style="148" customWidth="1"/>
    <col min="272" max="272" width="9.7109375" style="148" customWidth="1"/>
    <col min="273" max="273" width="8.140625" style="148" customWidth="1"/>
    <col min="274" max="274" width="0" style="148" hidden="1" customWidth="1"/>
    <col min="275" max="276" width="11" style="148" customWidth="1"/>
    <col min="277" max="277" width="10.140625" style="148" customWidth="1"/>
    <col min="278" max="279" width="0" style="148" hidden="1" customWidth="1"/>
    <col min="280" max="280" width="11.42578125" style="148" customWidth="1"/>
    <col min="281" max="281" width="11.28515625" style="148" customWidth="1"/>
    <col min="282" max="282" width="10" style="148" customWidth="1"/>
    <col min="283" max="284" width="0" style="148" hidden="1" customWidth="1"/>
    <col min="285" max="285" width="10.85546875" style="148" customWidth="1"/>
    <col min="286" max="286" width="10.140625" style="148" customWidth="1"/>
    <col min="287" max="287" width="11.140625" style="148" customWidth="1"/>
    <col min="288" max="288" width="15.7109375" style="148" customWidth="1"/>
    <col min="289" max="289" width="2.140625" style="148" customWidth="1"/>
    <col min="290" max="290" width="14.42578125" style="148" customWidth="1"/>
    <col min="291" max="291" width="13.5703125" style="148" customWidth="1"/>
    <col min="292" max="292" width="13.28515625" style="148" customWidth="1"/>
    <col min="293" max="293" width="12.28515625" style="148" customWidth="1"/>
    <col min="294" max="294" width="12" style="148" customWidth="1"/>
    <col min="295" max="512" width="9.140625" style="148"/>
    <col min="513" max="513" width="0" style="148" hidden="1" customWidth="1"/>
    <col min="514" max="514" width="4.5703125" style="148" customWidth="1"/>
    <col min="515" max="515" width="56" style="148" customWidth="1"/>
    <col min="516" max="516" width="7.85546875" style="148" customWidth="1"/>
    <col min="517" max="517" width="9.28515625" style="148" customWidth="1"/>
    <col min="518" max="518" width="12" style="148" customWidth="1"/>
    <col min="519" max="519" width="16.5703125" style="148" customWidth="1"/>
    <col min="520" max="520" width="14.7109375" style="148" customWidth="1"/>
    <col min="521" max="521" width="10.85546875" style="148" customWidth="1"/>
    <col min="522" max="522" width="6.28515625" style="148" customWidth="1"/>
    <col min="523" max="523" width="77.28515625" style="148" customWidth="1"/>
    <col min="524" max="524" width="8.28515625" style="148" customWidth="1"/>
    <col min="525" max="525" width="8" style="148" customWidth="1"/>
    <col min="526" max="526" width="9.85546875" style="148" customWidth="1"/>
    <col min="527" max="527" width="9.140625" style="148" customWidth="1"/>
    <col min="528" max="528" width="9.7109375" style="148" customWidth="1"/>
    <col min="529" max="529" width="8.140625" style="148" customWidth="1"/>
    <col min="530" max="530" width="0" style="148" hidden="1" customWidth="1"/>
    <col min="531" max="532" width="11" style="148" customWidth="1"/>
    <col min="533" max="533" width="10.140625" style="148" customWidth="1"/>
    <col min="534" max="535" width="0" style="148" hidden="1" customWidth="1"/>
    <col min="536" max="536" width="11.42578125" style="148" customWidth="1"/>
    <col min="537" max="537" width="11.28515625" style="148" customWidth="1"/>
    <col min="538" max="538" width="10" style="148" customWidth="1"/>
    <col min="539" max="540" width="0" style="148" hidden="1" customWidth="1"/>
    <col min="541" max="541" width="10.85546875" style="148" customWidth="1"/>
    <col min="542" max="542" width="10.140625" style="148" customWidth="1"/>
    <col min="543" max="543" width="11.140625" style="148" customWidth="1"/>
    <col min="544" max="544" width="15.7109375" style="148" customWidth="1"/>
    <col min="545" max="545" width="2.140625" style="148" customWidth="1"/>
    <col min="546" max="546" width="14.42578125" style="148" customWidth="1"/>
    <col min="547" max="547" width="13.5703125" style="148" customWidth="1"/>
    <col min="548" max="548" width="13.28515625" style="148" customWidth="1"/>
    <col min="549" max="549" width="12.28515625" style="148" customWidth="1"/>
    <col min="550" max="550" width="12" style="148" customWidth="1"/>
    <col min="551" max="768" width="9.140625" style="148"/>
    <col min="769" max="769" width="0" style="148" hidden="1" customWidth="1"/>
    <col min="770" max="770" width="4.5703125" style="148" customWidth="1"/>
    <col min="771" max="771" width="56" style="148" customWidth="1"/>
    <col min="772" max="772" width="7.85546875" style="148" customWidth="1"/>
    <col min="773" max="773" width="9.28515625" style="148" customWidth="1"/>
    <col min="774" max="774" width="12" style="148" customWidth="1"/>
    <col min="775" max="775" width="16.5703125" style="148" customWidth="1"/>
    <col min="776" max="776" width="14.7109375" style="148" customWidth="1"/>
    <col min="777" max="777" width="10.85546875" style="148" customWidth="1"/>
    <col min="778" max="778" width="6.28515625" style="148" customWidth="1"/>
    <col min="779" max="779" width="77.28515625" style="148" customWidth="1"/>
    <col min="780" max="780" width="8.28515625" style="148" customWidth="1"/>
    <col min="781" max="781" width="8" style="148" customWidth="1"/>
    <col min="782" max="782" width="9.85546875" style="148" customWidth="1"/>
    <col min="783" max="783" width="9.140625" style="148" customWidth="1"/>
    <col min="784" max="784" width="9.7109375" style="148" customWidth="1"/>
    <col min="785" max="785" width="8.140625" style="148" customWidth="1"/>
    <col min="786" max="786" width="0" style="148" hidden="1" customWidth="1"/>
    <col min="787" max="788" width="11" style="148" customWidth="1"/>
    <col min="789" max="789" width="10.140625" style="148" customWidth="1"/>
    <col min="790" max="791" width="0" style="148" hidden="1" customWidth="1"/>
    <col min="792" max="792" width="11.42578125" style="148" customWidth="1"/>
    <col min="793" max="793" width="11.28515625" style="148" customWidth="1"/>
    <col min="794" max="794" width="10" style="148" customWidth="1"/>
    <col min="795" max="796" width="0" style="148" hidden="1" customWidth="1"/>
    <col min="797" max="797" width="10.85546875" style="148" customWidth="1"/>
    <col min="798" max="798" width="10.140625" style="148" customWidth="1"/>
    <col min="799" max="799" width="11.140625" style="148" customWidth="1"/>
    <col min="800" max="800" width="15.7109375" style="148" customWidth="1"/>
    <col min="801" max="801" width="2.140625" style="148" customWidth="1"/>
    <col min="802" max="802" width="14.42578125" style="148" customWidth="1"/>
    <col min="803" max="803" width="13.5703125" style="148" customWidth="1"/>
    <col min="804" max="804" width="13.28515625" style="148" customWidth="1"/>
    <col min="805" max="805" width="12.28515625" style="148" customWidth="1"/>
    <col min="806" max="806" width="12" style="148" customWidth="1"/>
    <col min="807" max="1024" width="9.140625" style="148"/>
    <col min="1025" max="1025" width="0" style="148" hidden="1" customWidth="1"/>
    <col min="1026" max="1026" width="4.5703125" style="148" customWidth="1"/>
    <col min="1027" max="1027" width="56" style="148" customWidth="1"/>
    <col min="1028" max="1028" width="7.85546875" style="148" customWidth="1"/>
    <col min="1029" max="1029" width="9.28515625" style="148" customWidth="1"/>
    <col min="1030" max="1030" width="12" style="148" customWidth="1"/>
    <col min="1031" max="1031" width="16.5703125" style="148" customWidth="1"/>
    <col min="1032" max="1032" width="14.7109375" style="148" customWidth="1"/>
    <col min="1033" max="1033" width="10.85546875" style="148" customWidth="1"/>
    <col min="1034" max="1034" width="6.28515625" style="148" customWidth="1"/>
    <col min="1035" max="1035" width="77.28515625" style="148" customWidth="1"/>
    <col min="1036" max="1036" width="8.28515625" style="148" customWidth="1"/>
    <col min="1037" max="1037" width="8" style="148" customWidth="1"/>
    <col min="1038" max="1038" width="9.85546875" style="148" customWidth="1"/>
    <col min="1039" max="1039" width="9.140625" style="148" customWidth="1"/>
    <col min="1040" max="1040" width="9.7109375" style="148" customWidth="1"/>
    <col min="1041" max="1041" width="8.140625" style="148" customWidth="1"/>
    <col min="1042" max="1042" width="0" style="148" hidden="1" customWidth="1"/>
    <col min="1043" max="1044" width="11" style="148" customWidth="1"/>
    <col min="1045" max="1045" width="10.140625" style="148" customWidth="1"/>
    <col min="1046" max="1047" width="0" style="148" hidden="1" customWidth="1"/>
    <col min="1048" max="1048" width="11.42578125" style="148" customWidth="1"/>
    <col min="1049" max="1049" width="11.28515625" style="148" customWidth="1"/>
    <col min="1050" max="1050" width="10" style="148" customWidth="1"/>
    <col min="1051" max="1052" width="0" style="148" hidden="1" customWidth="1"/>
    <col min="1053" max="1053" width="10.85546875" style="148" customWidth="1"/>
    <col min="1054" max="1054" width="10.140625" style="148" customWidth="1"/>
    <col min="1055" max="1055" width="11.140625" style="148" customWidth="1"/>
    <col min="1056" max="1056" width="15.7109375" style="148" customWidth="1"/>
    <col min="1057" max="1057" width="2.140625" style="148" customWidth="1"/>
    <col min="1058" max="1058" width="14.42578125" style="148" customWidth="1"/>
    <col min="1059" max="1059" width="13.5703125" style="148" customWidth="1"/>
    <col min="1060" max="1060" width="13.28515625" style="148" customWidth="1"/>
    <col min="1061" max="1061" width="12.28515625" style="148" customWidth="1"/>
    <col min="1062" max="1062" width="12" style="148" customWidth="1"/>
    <col min="1063" max="1280" width="9.140625" style="148"/>
    <col min="1281" max="1281" width="0" style="148" hidden="1" customWidth="1"/>
    <col min="1282" max="1282" width="4.5703125" style="148" customWidth="1"/>
    <col min="1283" max="1283" width="56" style="148" customWidth="1"/>
    <col min="1284" max="1284" width="7.85546875" style="148" customWidth="1"/>
    <col min="1285" max="1285" width="9.28515625" style="148" customWidth="1"/>
    <col min="1286" max="1286" width="12" style="148" customWidth="1"/>
    <col min="1287" max="1287" width="16.5703125" style="148" customWidth="1"/>
    <col min="1288" max="1288" width="14.7109375" style="148" customWidth="1"/>
    <col min="1289" max="1289" width="10.85546875" style="148" customWidth="1"/>
    <col min="1290" max="1290" width="6.28515625" style="148" customWidth="1"/>
    <col min="1291" max="1291" width="77.28515625" style="148" customWidth="1"/>
    <col min="1292" max="1292" width="8.28515625" style="148" customWidth="1"/>
    <col min="1293" max="1293" width="8" style="148" customWidth="1"/>
    <col min="1294" max="1294" width="9.85546875" style="148" customWidth="1"/>
    <col min="1295" max="1295" width="9.140625" style="148" customWidth="1"/>
    <col min="1296" max="1296" width="9.7109375" style="148" customWidth="1"/>
    <col min="1297" max="1297" width="8.140625" style="148" customWidth="1"/>
    <col min="1298" max="1298" width="0" style="148" hidden="1" customWidth="1"/>
    <col min="1299" max="1300" width="11" style="148" customWidth="1"/>
    <col min="1301" max="1301" width="10.140625" style="148" customWidth="1"/>
    <col min="1302" max="1303" width="0" style="148" hidden="1" customWidth="1"/>
    <col min="1304" max="1304" width="11.42578125" style="148" customWidth="1"/>
    <col min="1305" max="1305" width="11.28515625" style="148" customWidth="1"/>
    <col min="1306" max="1306" width="10" style="148" customWidth="1"/>
    <col min="1307" max="1308" width="0" style="148" hidden="1" customWidth="1"/>
    <col min="1309" max="1309" width="10.85546875" style="148" customWidth="1"/>
    <col min="1310" max="1310" width="10.140625" style="148" customWidth="1"/>
    <col min="1311" max="1311" width="11.140625" style="148" customWidth="1"/>
    <col min="1312" max="1312" width="15.7109375" style="148" customWidth="1"/>
    <col min="1313" max="1313" width="2.140625" style="148" customWidth="1"/>
    <col min="1314" max="1314" width="14.42578125" style="148" customWidth="1"/>
    <col min="1315" max="1315" width="13.5703125" style="148" customWidth="1"/>
    <col min="1316" max="1316" width="13.28515625" style="148" customWidth="1"/>
    <col min="1317" max="1317" width="12.28515625" style="148" customWidth="1"/>
    <col min="1318" max="1318" width="12" style="148" customWidth="1"/>
    <col min="1319" max="1536" width="9.140625" style="148"/>
    <col min="1537" max="1537" width="0" style="148" hidden="1" customWidth="1"/>
    <col min="1538" max="1538" width="4.5703125" style="148" customWidth="1"/>
    <col min="1539" max="1539" width="56" style="148" customWidth="1"/>
    <col min="1540" max="1540" width="7.85546875" style="148" customWidth="1"/>
    <col min="1541" max="1541" width="9.28515625" style="148" customWidth="1"/>
    <col min="1542" max="1542" width="12" style="148" customWidth="1"/>
    <col min="1543" max="1543" width="16.5703125" style="148" customWidth="1"/>
    <col min="1544" max="1544" width="14.7109375" style="148" customWidth="1"/>
    <col min="1545" max="1545" width="10.85546875" style="148" customWidth="1"/>
    <col min="1546" max="1546" width="6.28515625" style="148" customWidth="1"/>
    <col min="1547" max="1547" width="77.28515625" style="148" customWidth="1"/>
    <col min="1548" max="1548" width="8.28515625" style="148" customWidth="1"/>
    <col min="1549" max="1549" width="8" style="148" customWidth="1"/>
    <col min="1550" max="1550" width="9.85546875" style="148" customWidth="1"/>
    <col min="1551" max="1551" width="9.140625" style="148" customWidth="1"/>
    <col min="1552" max="1552" width="9.7109375" style="148" customWidth="1"/>
    <col min="1553" max="1553" width="8.140625" style="148" customWidth="1"/>
    <col min="1554" max="1554" width="0" style="148" hidden="1" customWidth="1"/>
    <col min="1555" max="1556" width="11" style="148" customWidth="1"/>
    <col min="1557" max="1557" width="10.140625" style="148" customWidth="1"/>
    <col min="1558" max="1559" width="0" style="148" hidden="1" customWidth="1"/>
    <col min="1560" max="1560" width="11.42578125" style="148" customWidth="1"/>
    <col min="1561" max="1561" width="11.28515625" style="148" customWidth="1"/>
    <col min="1562" max="1562" width="10" style="148" customWidth="1"/>
    <col min="1563" max="1564" width="0" style="148" hidden="1" customWidth="1"/>
    <col min="1565" max="1565" width="10.85546875" style="148" customWidth="1"/>
    <col min="1566" max="1566" width="10.140625" style="148" customWidth="1"/>
    <col min="1567" max="1567" width="11.140625" style="148" customWidth="1"/>
    <col min="1568" max="1568" width="15.7109375" style="148" customWidth="1"/>
    <col min="1569" max="1569" width="2.140625" style="148" customWidth="1"/>
    <col min="1570" max="1570" width="14.42578125" style="148" customWidth="1"/>
    <col min="1571" max="1571" width="13.5703125" style="148" customWidth="1"/>
    <col min="1572" max="1572" width="13.28515625" style="148" customWidth="1"/>
    <col min="1573" max="1573" width="12.28515625" style="148" customWidth="1"/>
    <col min="1574" max="1574" width="12" style="148" customWidth="1"/>
    <col min="1575" max="1792" width="9.140625" style="148"/>
    <col min="1793" max="1793" width="0" style="148" hidden="1" customWidth="1"/>
    <col min="1794" max="1794" width="4.5703125" style="148" customWidth="1"/>
    <col min="1795" max="1795" width="56" style="148" customWidth="1"/>
    <col min="1796" max="1796" width="7.85546875" style="148" customWidth="1"/>
    <col min="1797" max="1797" width="9.28515625" style="148" customWidth="1"/>
    <col min="1798" max="1798" width="12" style="148" customWidth="1"/>
    <col min="1799" max="1799" width="16.5703125" style="148" customWidth="1"/>
    <col min="1800" max="1800" width="14.7109375" style="148" customWidth="1"/>
    <col min="1801" max="1801" width="10.85546875" style="148" customWidth="1"/>
    <col min="1802" max="1802" width="6.28515625" style="148" customWidth="1"/>
    <col min="1803" max="1803" width="77.28515625" style="148" customWidth="1"/>
    <col min="1804" max="1804" width="8.28515625" style="148" customWidth="1"/>
    <col min="1805" max="1805" width="8" style="148" customWidth="1"/>
    <col min="1806" max="1806" width="9.85546875" style="148" customWidth="1"/>
    <col min="1807" max="1807" width="9.140625" style="148" customWidth="1"/>
    <col min="1808" max="1808" width="9.7109375" style="148" customWidth="1"/>
    <col min="1809" max="1809" width="8.140625" style="148" customWidth="1"/>
    <col min="1810" max="1810" width="0" style="148" hidden="1" customWidth="1"/>
    <col min="1811" max="1812" width="11" style="148" customWidth="1"/>
    <col min="1813" max="1813" width="10.140625" style="148" customWidth="1"/>
    <col min="1814" max="1815" width="0" style="148" hidden="1" customWidth="1"/>
    <col min="1816" max="1816" width="11.42578125" style="148" customWidth="1"/>
    <col min="1817" max="1817" width="11.28515625" style="148" customWidth="1"/>
    <col min="1818" max="1818" width="10" style="148" customWidth="1"/>
    <col min="1819" max="1820" width="0" style="148" hidden="1" customWidth="1"/>
    <col min="1821" max="1821" width="10.85546875" style="148" customWidth="1"/>
    <col min="1822" max="1822" width="10.140625" style="148" customWidth="1"/>
    <col min="1823" max="1823" width="11.140625" style="148" customWidth="1"/>
    <col min="1824" max="1824" width="15.7109375" style="148" customWidth="1"/>
    <col min="1825" max="1825" width="2.140625" style="148" customWidth="1"/>
    <col min="1826" max="1826" width="14.42578125" style="148" customWidth="1"/>
    <col min="1827" max="1827" width="13.5703125" style="148" customWidth="1"/>
    <col min="1828" max="1828" width="13.28515625" style="148" customWidth="1"/>
    <col min="1829" max="1829" width="12.28515625" style="148" customWidth="1"/>
    <col min="1830" max="1830" width="12" style="148" customWidth="1"/>
    <col min="1831" max="2048" width="9.140625" style="148"/>
    <col min="2049" max="2049" width="0" style="148" hidden="1" customWidth="1"/>
    <col min="2050" max="2050" width="4.5703125" style="148" customWidth="1"/>
    <col min="2051" max="2051" width="56" style="148" customWidth="1"/>
    <col min="2052" max="2052" width="7.85546875" style="148" customWidth="1"/>
    <col min="2053" max="2053" width="9.28515625" style="148" customWidth="1"/>
    <col min="2054" max="2054" width="12" style="148" customWidth="1"/>
    <col min="2055" max="2055" width="16.5703125" style="148" customWidth="1"/>
    <col min="2056" max="2056" width="14.7109375" style="148" customWidth="1"/>
    <col min="2057" max="2057" width="10.85546875" style="148" customWidth="1"/>
    <col min="2058" max="2058" width="6.28515625" style="148" customWidth="1"/>
    <col min="2059" max="2059" width="77.28515625" style="148" customWidth="1"/>
    <col min="2060" max="2060" width="8.28515625" style="148" customWidth="1"/>
    <col min="2061" max="2061" width="8" style="148" customWidth="1"/>
    <col min="2062" max="2062" width="9.85546875" style="148" customWidth="1"/>
    <col min="2063" max="2063" width="9.140625" style="148" customWidth="1"/>
    <col min="2064" max="2064" width="9.7109375" style="148" customWidth="1"/>
    <col min="2065" max="2065" width="8.140625" style="148" customWidth="1"/>
    <col min="2066" max="2066" width="0" style="148" hidden="1" customWidth="1"/>
    <col min="2067" max="2068" width="11" style="148" customWidth="1"/>
    <col min="2069" max="2069" width="10.140625" style="148" customWidth="1"/>
    <col min="2070" max="2071" width="0" style="148" hidden="1" customWidth="1"/>
    <col min="2072" max="2072" width="11.42578125" style="148" customWidth="1"/>
    <col min="2073" max="2073" width="11.28515625" style="148" customWidth="1"/>
    <col min="2074" max="2074" width="10" style="148" customWidth="1"/>
    <col min="2075" max="2076" width="0" style="148" hidden="1" customWidth="1"/>
    <col min="2077" max="2077" width="10.85546875" style="148" customWidth="1"/>
    <col min="2078" max="2078" width="10.140625" style="148" customWidth="1"/>
    <col min="2079" max="2079" width="11.140625" style="148" customWidth="1"/>
    <col min="2080" max="2080" width="15.7109375" style="148" customWidth="1"/>
    <col min="2081" max="2081" width="2.140625" style="148" customWidth="1"/>
    <col min="2082" max="2082" width="14.42578125" style="148" customWidth="1"/>
    <col min="2083" max="2083" width="13.5703125" style="148" customWidth="1"/>
    <col min="2084" max="2084" width="13.28515625" style="148" customWidth="1"/>
    <col min="2085" max="2085" width="12.28515625" style="148" customWidth="1"/>
    <col min="2086" max="2086" width="12" style="148" customWidth="1"/>
    <col min="2087" max="2304" width="9.140625" style="148"/>
    <col min="2305" max="2305" width="0" style="148" hidden="1" customWidth="1"/>
    <col min="2306" max="2306" width="4.5703125" style="148" customWidth="1"/>
    <col min="2307" max="2307" width="56" style="148" customWidth="1"/>
    <col min="2308" max="2308" width="7.85546875" style="148" customWidth="1"/>
    <col min="2309" max="2309" width="9.28515625" style="148" customWidth="1"/>
    <col min="2310" max="2310" width="12" style="148" customWidth="1"/>
    <col min="2311" max="2311" width="16.5703125" style="148" customWidth="1"/>
    <col min="2312" max="2312" width="14.7109375" style="148" customWidth="1"/>
    <col min="2313" max="2313" width="10.85546875" style="148" customWidth="1"/>
    <col min="2314" max="2314" width="6.28515625" style="148" customWidth="1"/>
    <col min="2315" max="2315" width="77.28515625" style="148" customWidth="1"/>
    <col min="2316" max="2316" width="8.28515625" style="148" customWidth="1"/>
    <col min="2317" max="2317" width="8" style="148" customWidth="1"/>
    <col min="2318" max="2318" width="9.85546875" style="148" customWidth="1"/>
    <col min="2319" max="2319" width="9.140625" style="148" customWidth="1"/>
    <col min="2320" max="2320" width="9.7109375" style="148" customWidth="1"/>
    <col min="2321" max="2321" width="8.140625" style="148" customWidth="1"/>
    <col min="2322" max="2322" width="0" style="148" hidden="1" customWidth="1"/>
    <col min="2323" max="2324" width="11" style="148" customWidth="1"/>
    <col min="2325" max="2325" width="10.140625" style="148" customWidth="1"/>
    <col min="2326" max="2327" width="0" style="148" hidden="1" customWidth="1"/>
    <col min="2328" max="2328" width="11.42578125" style="148" customWidth="1"/>
    <col min="2329" max="2329" width="11.28515625" style="148" customWidth="1"/>
    <col min="2330" max="2330" width="10" style="148" customWidth="1"/>
    <col min="2331" max="2332" width="0" style="148" hidden="1" customWidth="1"/>
    <col min="2333" max="2333" width="10.85546875" style="148" customWidth="1"/>
    <col min="2334" max="2334" width="10.140625" style="148" customWidth="1"/>
    <col min="2335" max="2335" width="11.140625" style="148" customWidth="1"/>
    <col min="2336" max="2336" width="15.7109375" style="148" customWidth="1"/>
    <col min="2337" max="2337" width="2.140625" style="148" customWidth="1"/>
    <col min="2338" max="2338" width="14.42578125" style="148" customWidth="1"/>
    <col min="2339" max="2339" width="13.5703125" style="148" customWidth="1"/>
    <col min="2340" max="2340" width="13.28515625" style="148" customWidth="1"/>
    <col min="2341" max="2341" width="12.28515625" style="148" customWidth="1"/>
    <col min="2342" max="2342" width="12" style="148" customWidth="1"/>
    <col min="2343" max="2560" width="9.140625" style="148"/>
    <col min="2561" max="2561" width="0" style="148" hidden="1" customWidth="1"/>
    <col min="2562" max="2562" width="4.5703125" style="148" customWidth="1"/>
    <col min="2563" max="2563" width="56" style="148" customWidth="1"/>
    <col min="2564" max="2564" width="7.85546875" style="148" customWidth="1"/>
    <col min="2565" max="2565" width="9.28515625" style="148" customWidth="1"/>
    <col min="2566" max="2566" width="12" style="148" customWidth="1"/>
    <col min="2567" max="2567" width="16.5703125" style="148" customWidth="1"/>
    <col min="2568" max="2568" width="14.7109375" style="148" customWidth="1"/>
    <col min="2569" max="2569" width="10.85546875" style="148" customWidth="1"/>
    <col min="2570" max="2570" width="6.28515625" style="148" customWidth="1"/>
    <col min="2571" max="2571" width="77.28515625" style="148" customWidth="1"/>
    <col min="2572" max="2572" width="8.28515625" style="148" customWidth="1"/>
    <col min="2573" max="2573" width="8" style="148" customWidth="1"/>
    <col min="2574" max="2574" width="9.85546875" style="148" customWidth="1"/>
    <col min="2575" max="2575" width="9.140625" style="148" customWidth="1"/>
    <col min="2576" max="2576" width="9.7109375" style="148" customWidth="1"/>
    <col min="2577" max="2577" width="8.140625" style="148" customWidth="1"/>
    <col min="2578" max="2578" width="0" style="148" hidden="1" customWidth="1"/>
    <col min="2579" max="2580" width="11" style="148" customWidth="1"/>
    <col min="2581" max="2581" width="10.140625" style="148" customWidth="1"/>
    <col min="2582" max="2583" width="0" style="148" hidden="1" customWidth="1"/>
    <col min="2584" max="2584" width="11.42578125" style="148" customWidth="1"/>
    <col min="2585" max="2585" width="11.28515625" style="148" customWidth="1"/>
    <col min="2586" max="2586" width="10" style="148" customWidth="1"/>
    <col min="2587" max="2588" width="0" style="148" hidden="1" customWidth="1"/>
    <col min="2589" max="2589" width="10.85546875" style="148" customWidth="1"/>
    <col min="2590" max="2590" width="10.140625" style="148" customWidth="1"/>
    <col min="2591" max="2591" width="11.140625" style="148" customWidth="1"/>
    <col min="2592" max="2592" width="15.7109375" style="148" customWidth="1"/>
    <col min="2593" max="2593" width="2.140625" style="148" customWidth="1"/>
    <col min="2594" max="2594" width="14.42578125" style="148" customWidth="1"/>
    <col min="2595" max="2595" width="13.5703125" style="148" customWidth="1"/>
    <col min="2596" max="2596" width="13.28515625" style="148" customWidth="1"/>
    <col min="2597" max="2597" width="12.28515625" style="148" customWidth="1"/>
    <col min="2598" max="2598" width="12" style="148" customWidth="1"/>
    <col min="2599" max="2816" width="9.140625" style="148"/>
    <col min="2817" max="2817" width="0" style="148" hidden="1" customWidth="1"/>
    <col min="2818" max="2818" width="4.5703125" style="148" customWidth="1"/>
    <col min="2819" max="2819" width="56" style="148" customWidth="1"/>
    <col min="2820" max="2820" width="7.85546875" style="148" customWidth="1"/>
    <col min="2821" max="2821" width="9.28515625" style="148" customWidth="1"/>
    <col min="2822" max="2822" width="12" style="148" customWidth="1"/>
    <col min="2823" max="2823" width="16.5703125" style="148" customWidth="1"/>
    <col min="2824" max="2824" width="14.7109375" style="148" customWidth="1"/>
    <col min="2825" max="2825" width="10.85546875" style="148" customWidth="1"/>
    <col min="2826" max="2826" width="6.28515625" style="148" customWidth="1"/>
    <col min="2827" max="2827" width="77.28515625" style="148" customWidth="1"/>
    <col min="2828" max="2828" width="8.28515625" style="148" customWidth="1"/>
    <col min="2829" max="2829" width="8" style="148" customWidth="1"/>
    <col min="2830" max="2830" width="9.85546875" style="148" customWidth="1"/>
    <col min="2831" max="2831" width="9.140625" style="148" customWidth="1"/>
    <col min="2832" max="2832" width="9.7109375" style="148" customWidth="1"/>
    <col min="2833" max="2833" width="8.140625" style="148" customWidth="1"/>
    <col min="2834" max="2834" width="0" style="148" hidden="1" customWidth="1"/>
    <col min="2835" max="2836" width="11" style="148" customWidth="1"/>
    <col min="2837" max="2837" width="10.140625" style="148" customWidth="1"/>
    <col min="2838" max="2839" width="0" style="148" hidden="1" customWidth="1"/>
    <col min="2840" max="2840" width="11.42578125" style="148" customWidth="1"/>
    <col min="2841" max="2841" width="11.28515625" style="148" customWidth="1"/>
    <col min="2842" max="2842" width="10" style="148" customWidth="1"/>
    <col min="2843" max="2844" width="0" style="148" hidden="1" customWidth="1"/>
    <col min="2845" max="2845" width="10.85546875" style="148" customWidth="1"/>
    <col min="2846" max="2846" width="10.140625" style="148" customWidth="1"/>
    <col min="2847" max="2847" width="11.140625" style="148" customWidth="1"/>
    <col min="2848" max="2848" width="15.7109375" style="148" customWidth="1"/>
    <col min="2849" max="2849" width="2.140625" style="148" customWidth="1"/>
    <col min="2850" max="2850" width="14.42578125" style="148" customWidth="1"/>
    <col min="2851" max="2851" width="13.5703125" style="148" customWidth="1"/>
    <col min="2852" max="2852" width="13.28515625" style="148" customWidth="1"/>
    <col min="2853" max="2853" width="12.28515625" style="148" customWidth="1"/>
    <col min="2854" max="2854" width="12" style="148" customWidth="1"/>
    <col min="2855" max="3072" width="9.140625" style="148"/>
    <col min="3073" max="3073" width="0" style="148" hidden="1" customWidth="1"/>
    <col min="3074" max="3074" width="4.5703125" style="148" customWidth="1"/>
    <col min="3075" max="3075" width="56" style="148" customWidth="1"/>
    <col min="3076" max="3076" width="7.85546875" style="148" customWidth="1"/>
    <col min="3077" max="3077" width="9.28515625" style="148" customWidth="1"/>
    <col min="3078" max="3078" width="12" style="148" customWidth="1"/>
    <col min="3079" max="3079" width="16.5703125" style="148" customWidth="1"/>
    <col min="3080" max="3080" width="14.7109375" style="148" customWidth="1"/>
    <col min="3081" max="3081" width="10.85546875" style="148" customWidth="1"/>
    <col min="3082" max="3082" width="6.28515625" style="148" customWidth="1"/>
    <col min="3083" max="3083" width="77.28515625" style="148" customWidth="1"/>
    <col min="3084" max="3084" width="8.28515625" style="148" customWidth="1"/>
    <col min="3085" max="3085" width="8" style="148" customWidth="1"/>
    <col min="3086" max="3086" width="9.85546875" style="148" customWidth="1"/>
    <col min="3087" max="3087" width="9.140625" style="148" customWidth="1"/>
    <col min="3088" max="3088" width="9.7109375" style="148" customWidth="1"/>
    <col min="3089" max="3089" width="8.140625" style="148" customWidth="1"/>
    <col min="3090" max="3090" width="0" style="148" hidden="1" customWidth="1"/>
    <col min="3091" max="3092" width="11" style="148" customWidth="1"/>
    <col min="3093" max="3093" width="10.140625" style="148" customWidth="1"/>
    <col min="3094" max="3095" width="0" style="148" hidden="1" customWidth="1"/>
    <col min="3096" max="3096" width="11.42578125" style="148" customWidth="1"/>
    <col min="3097" max="3097" width="11.28515625" style="148" customWidth="1"/>
    <col min="3098" max="3098" width="10" style="148" customWidth="1"/>
    <col min="3099" max="3100" width="0" style="148" hidden="1" customWidth="1"/>
    <col min="3101" max="3101" width="10.85546875" style="148" customWidth="1"/>
    <col min="3102" max="3102" width="10.140625" style="148" customWidth="1"/>
    <col min="3103" max="3103" width="11.140625" style="148" customWidth="1"/>
    <col min="3104" max="3104" width="15.7109375" style="148" customWidth="1"/>
    <col min="3105" max="3105" width="2.140625" style="148" customWidth="1"/>
    <col min="3106" max="3106" width="14.42578125" style="148" customWidth="1"/>
    <col min="3107" max="3107" width="13.5703125" style="148" customWidth="1"/>
    <col min="3108" max="3108" width="13.28515625" style="148" customWidth="1"/>
    <col min="3109" max="3109" width="12.28515625" style="148" customWidth="1"/>
    <col min="3110" max="3110" width="12" style="148" customWidth="1"/>
    <col min="3111" max="3328" width="9.140625" style="148"/>
    <col min="3329" max="3329" width="0" style="148" hidden="1" customWidth="1"/>
    <col min="3330" max="3330" width="4.5703125" style="148" customWidth="1"/>
    <col min="3331" max="3331" width="56" style="148" customWidth="1"/>
    <col min="3332" max="3332" width="7.85546875" style="148" customWidth="1"/>
    <col min="3333" max="3333" width="9.28515625" style="148" customWidth="1"/>
    <col min="3334" max="3334" width="12" style="148" customWidth="1"/>
    <col min="3335" max="3335" width="16.5703125" style="148" customWidth="1"/>
    <col min="3336" max="3336" width="14.7109375" style="148" customWidth="1"/>
    <col min="3337" max="3337" width="10.85546875" style="148" customWidth="1"/>
    <col min="3338" max="3338" width="6.28515625" style="148" customWidth="1"/>
    <col min="3339" max="3339" width="77.28515625" style="148" customWidth="1"/>
    <col min="3340" max="3340" width="8.28515625" style="148" customWidth="1"/>
    <col min="3341" max="3341" width="8" style="148" customWidth="1"/>
    <col min="3342" max="3342" width="9.85546875" style="148" customWidth="1"/>
    <col min="3343" max="3343" width="9.140625" style="148" customWidth="1"/>
    <col min="3344" max="3344" width="9.7109375" style="148" customWidth="1"/>
    <col min="3345" max="3345" width="8.140625" style="148" customWidth="1"/>
    <col min="3346" max="3346" width="0" style="148" hidden="1" customWidth="1"/>
    <col min="3347" max="3348" width="11" style="148" customWidth="1"/>
    <col min="3349" max="3349" width="10.140625" style="148" customWidth="1"/>
    <col min="3350" max="3351" width="0" style="148" hidden="1" customWidth="1"/>
    <col min="3352" max="3352" width="11.42578125" style="148" customWidth="1"/>
    <col min="3353" max="3353" width="11.28515625" style="148" customWidth="1"/>
    <col min="3354" max="3354" width="10" style="148" customWidth="1"/>
    <col min="3355" max="3356" width="0" style="148" hidden="1" customWidth="1"/>
    <col min="3357" max="3357" width="10.85546875" style="148" customWidth="1"/>
    <col min="3358" max="3358" width="10.140625" style="148" customWidth="1"/>
    <col min="3359" max="3359" width="11.140625" style="148" customWidth="1"/>
    <col min="3360" max="3360" width="15.7109375" style="148" customWidth="1"/>
    <col min="3361" max="3361" width="2.140625" style="148" customWidth="1"/>
    <col min="3362" max="3362" width="14.42578125" style="148" customWidth="1"/>
    <col min="3363" max="3363" width="13.5703125" style="148" customWidth="1"/>
    <col min="3364" max="3364" width="13.28515625" style="148" customWidth="1"/>
    <col min="3365" max="3365" width="12.28515625" style="148" customWidth="1"/>
    <col min="3366" max="3366" width="12" style="148" customWidth="1"/>
    <col min="3367" max="3584" width="9.140625" style="148"/>
    <col min="3585" max="3585" width="0" style="148" hidden="1" customWidth="1"/>
    <col min="3586" max="3586" width="4.5703125" style="148" customWidth="1"/>
    <col min="3587" max="3587" width="56" style="148" customWidth="1"/>
    <col min="3588" max="3588" width="7.85546875" style="148" customWidth="1"/>
    <col min="3589" max="3589" width="9.28515625" style="148" customWidth="1"/>
    <col min="3590" max="3590" width="12" style="148" customWidth="1"/>
    <col min="3591" max="3591" width="16.5703125" style="148" customWidth="1"/>
    <col min="3592" max="3592" width="14.7109375" style="148" customWidth="1"/>
    <col min="3593" max="3593" width="10.85546875" style="148" customWidth="1"/>
    <col min="3594" max="3594" width="6.28515625" style="148" customWidth="1"/>
    <col min="3595" max="3595" width="77.28515625" style="148" customWidth="1"/>
    <col min="3596" max="3596" width="8.28515625" style="148" customWidth="1"/>
    <col min="3597" max="3597" width="8" style="148" customWidth="1"/>
    <col min="3598" max="3598" width="9.85546875" style="148" customWidth="1"/>
    <col min="3599" max="3599" width="9.140625" style="148" customWidth="1"/>
    <col min="3600" max="3600" width="9.7109375" style="148" customWidth="1"/>
    <col min="3601" max="3601" width="8.140625" style="148" customWidth="1"/>
    <col min="3602" max="3602" width="0" style="148" hidden="1" customWidth="1"/>
    <col min="3603" max="3604" width="11" style="148" customWidth="1"/>
    <col min="3605" max="3605" width="10.140625" style="148" customWidth="1"/>
    <col min="3606" max="3607" width="0" style="148" hidden="1" customWidth="1"/>
    <col min="3608" max="3608" width="11.42578125" style="148" customWidth="1"/>
    <col min="3609" max="3609" width="11.28515625" style="148" customWidth="1"/>
    <col min="3610" max="3610" width="10" style="148" customWidth="1"/>
    <col min="3611" max="3612" width="0" style="148" hidden="1" customWidth="1"/>
    <col min="3613" max="3613" width="10.85546875" style="148" customWidth="1"/>
    <col min="3614" max="3614" width="10.140625" style="148" customWidth="1"/>
    <col min="3615" max="3615" width="11.140625" style="148" customWidth="1"/>
    <col min="3616" max="3616" width="15.7109375" style="148" customWidth="1"/>
    <col min="3617" max="3617" width="2.140625" style="148" customWidth="1"/>
    <col min="3618" max="3618" width="14.42578125" style="148" customWidth="1"/>
    <col min="3619" max="3619" width="13.5703125" style="148" customWidth="1"/>
    <col min="3620" max="3620" width="13.28515625" style="148" customWidth="1"/>
    <col min="3621" max="3621" width="12.28515625" style="148" customWidth="1"/>
    <col min="3622" max="3622" width="12" style="148" customWidth="1"/>
    <col min="3623" max="3840" width="9.140625" style="148"/>
    <col min="3841" max="3841" width="0" style="148" hidden="1" customWidth="1"/>
    <col min="3842" max="3842" width="4.5703125" style="148" customWidth="1"/>
    <col min="3843" max="3843" width="56" style="148" customWidth="1"/>
    <col min="3844" max="3844" width="7.85546875" style="148" customWidth="1"/>
    <col min="3845" max="3845" width="9.28515625" style="148" customWidth="1"/>
    <col min="3846" max="3846" width="12" style="148" customWidth="1"/>
    <col min="3847" max="3847" width="16.5703125" style="148" customWidth="1"/>
    <col min="3848" max="3848" width="14.7109375" style="148" customWidth="1"/>
    <col min="3849" max="3849" width="10.85546875" style="148" customWidth="1"/>
    <col min="3850" max="3850" width="6.28515625" style="148" customWidth="1"/>
    <col min="3851" max="3851" width="77.28515625" style="148" customWidth="1"/>
    <col min="3852" max="3852" width="8.28515625" style="148" customWidth="1"/>
    <col min="3853" max="3853" width="8" style="148" customWidth="1"/>
    <col min="3854" max="3854" width="9.85546875" style="148" customWidth="1"/>
    <col min="3855" max="3855" width="9.140625" style="148" customWidth="1"/>
    <col min="3856" max="3856" width="9.7109375" style="148" customWidth="1"/>
    <col min="3857" max="3857" width="8.140625" style="148" customWidth="1"/>
    <col min="3858" max="3858" width="0" style="148" hidden="1" customWidth="1"/>
    <col min="3859" max="3860" width="11" style="148" customWidth="1"/>
    <col min="3861" max="3861" width="10.140625" style="148" customWidth="1"/>
    <col min="3862" max="3863" width="0" style="148" hidden="1" customWidth="1"/>
    <col min="3864" max="3864" width="11.42578125" style="148" customWidth="1"/>
    <col min="3865" max="3865" width="11.28515625" style="148" customWidth="1"/>
    <col min="3866" max="3866" width="10" style="148" customWidth="1"/>
    <col min="3867" max="3868" width="0" style="148" hidden="1" customWidth="1"/>
    <col min="3869" max="3869" width="10.85546875" style="148" customWidth="1"/>
    <col min="3870" max="3870" width="10.140625" style="148" customWidth="1"/>
    <col min="3871" max="3871" width="11.140625" style="148" customWidth="1"/>
    <col min="3872" max="3872" width="15.7109375" style="148" customWidth="1"/>
    <col min="3873" max="3873" width="2.140625" style="148" customWidth="1"/>
    <col min="3874" max="3874" width="14.42578125" style="148" customWidth="1"/>
    <col min="3875" max="3875" width="13.5703125" style="148" customWidth="1"/>
    <col min="3876" max="3876" width="13.28515625" style="148" customWidth="1"/>
    <col min="3877" max="3877" width="12.28515625" style="148" customWidth="1"/>
    <col min="3878" max="3878" width="12" style="148" customWidth="1"/>
    <col min="3879" max="4096" width="9.140625" style="148"/>
    <col min="4097" max="4097" width="0" style="148" hidden="1" customWidth="1"/>
    <col min="4098" max="4098" width="4.5703125" style="148" customWidth="1"/>
    <col min="4099" max="4099" width="56" style="148" customWidth="1"/>
    <col min="4100" max="4100" width="7.85546875" style="148" customWidth="1"/>
    <col min="4101" max="4101" width="9.28515625" style="148" customWidth="1"/>
    <col min="4102" max="4102" width="12" style="148" customWidth="1"/>
    <col min="4103" max="4103" width="16.5703125" style="148" customWidth="1"/>
    <col min="4104" max="4104" width="14.7109375" style="148" customWidth="1"/>
    <col min="4105" max="4105" width="10.85546875" style="148" customWidth="1"/>
    <col min="4106" max="4106" width="6.28515625" style="148" customWidth="1"/>
    <col min="4107" max="4107" width="77.28515625" style="148" customWidth="1"/>
    <col min="4108" max="4108" width="8.28515625" style="148" customWidth="1"/>
    <col min="4109" max="4109" width="8" style="148" customWidth="1"/>
    <col min="4110" max="4110" width="9.85546875" style="148" customWidth="1"/>
    <col min="4111" max="4111" width="9.140625" style="148" customWidth="1"/>
    <col min="4112" max="4112" width="9.7109375" style="148" customWidth="1"/>
    <col min="4113" max="4113" width="8.140625" style="148" customWidth="1"/>
    <col min="4114" max="4114" width="0" style="148" hidden="1" customWidth="1"/>
    <col min="4115" max="4116" width="11" style="148" customWidth="1"/>
    <col min="4117" max="4117" width="10.140625" style="148" customWidth="1"/>
    <col min="4118" max="4119" width="0" style="148" hidden="1" customWidth="1"/>
    <col min="4120" max="4120" width="11.42578125" style="148" customWidth="1"/>
    <col min="4121" max="4121" width="11.28515625" style="148" customWidth="1"/>
    <col min="4122" max="4122" width="10" style="148" customWidth="1"/>
    <col min="4123" max="4124" width="0" style="148" hidden="1" customWidth="1"/>
    <col min="4125" max="4125" width="10.85546875" style="148" customWidth="1"/>
    <col min="4126" max="4126" width="10.140625" style="148" customWidth="1"/>
    <col min="4127" max="4127" width="11.140625" style="148" customWidth="1"/>
    <col min="4128" max="4128" width="15.7109375" style="148" customWidth="1"/>
    <col min="4129" max="4129" width="2.140625" style="148" customWidth="1"/>
    <col min="4130" max="4130" width="14.42578125" style="148" customWidth="1"/>
    <col min="4131" max="4131" width="13.5703125" style="148" customWidth="1"/>
    <col min="4132" max="4132" width="13.28515625" style="148" customWidth="1"/>
    <col min="4133" max="4133" width="12.28515625" style="148" customWidth="1"/>
    <col min="4134" max="4134" width="12" style="148" customWidth="1"/>
    <col min="4135" max="4352" width="9.140625" style="148"/>
    <col min="4353" max="4353" width="0" style="148" hidden="1" customWidth="1"/>
    <col min="4354" max="4354" width="4.5703125" style="148" customWidth="1"/>
    <col min="4355" max="4355" width="56" style="148" customWidth="1"/>
    <col min="4356" max="4356" width="7.85546875" style="148" customWidth="1"/>
    <col min="4357" max="4357" width="9.28515625" style="148" customWidth="1"/>
    <col min="4358" max="4358" width="12" style="148" customWidth="1"/>
    <col min="4359" max="4359" width="16.5703125" style="148" customWidth="1"/>
    <col min="4360" max="4360" width="14.7109375" style="148" customWidth="1"/>
    <col min="4361" max="4361" width="10.85546875" style="148" customWidth="1"/>
    <col min="4362" max="4362" width="6.28515625" style="148" customWidth="1"/>
    <col min="4363" max="4363" width="77.28515625" style="148" customWidth="1"/>
    <col min="4364" max="4364" width="8.28515625" style="148" customWidth="1"/>
    <col min="4365" max="4365" width="8" style="148" customWidth="1"/>
    <col min="4366" max="4366" width="9.85546875" style="148" customWidth="1"/>
    <col min="4367" max="4367" width="9.140625" style="148" customWidth="1"/>
    <col min="4368" max="4368" width="9.7109375" style="148" customWidth="1"/>
    <col min="4369" max="4369" width="8.140625" style="148" customWidth="1"/>
    <col min="4370" max="4370" width="0" style="148" hidden="1" customWidth="1"/>
    <col min="4371" max="4372" width="11" style="148" customWidth="1"/>
    <col min="4373" max="4373" width="10.140625" style="148" customWidth="1"/>
    <col min="4374" max="4375" width="0" style="148" hidden="1" customWidth="1"/>
    <col min="4376" max="4376" width="11.42578125" style="148" customWidth="1"/>
    <col min="4377" max="4377" width="11.28515625" style="148" customWidth="1"/>
    <col min="4378" max="4378" width="10" style="148" customWidth="1"/>
    <col min="4379" max="4380" width="0" style="148" hidden="1" customWidth="1"/>
    <col min="4381" max="4381" width="10.85546875" style="148" customWidth="1"/>
    <col min="4382" max="4382" width="10.140625" style="148" customWidth="1"/>
    <col min="4383" max="4383" width="11.140625" style="148" customWidth="1"/>
    <col min="4384" max="4384" width="15.7109375" style="148" customWidth="1"/>
    <col min="4385" max="4385" width="2.140625" style="148" customWidth="1"/>
    <col min="4386" max="4386" width="14.42578125" style="148" customWidth="1"/>
    <col min="4387" max="4387" width="13.5703125" style="148" customWidth="1"/>
    <col min="4388" max="4388" width="13.28515625" style="148" customWidth="1"/>
    <col min="4389" max="4389" width="12.28515625" style="148" customWidth="1"/>
    <col min="4390" max="4390" width="12" style="148" customWidth="1"/>
    <col min="4391" max="4608" width="9.140625" style="148"/>
    <col min="4609" max="4609" width="0" style="148" hidden="1" customWidth="1"/>
    <col min="4610" max="4610" width="4.5703125" style="148" customWidth="1"/>
    <col min="4611" max="4611" width="56" style="148" customWidth="1"/>
    <col min="4612" max="4612" width="7.85546875" style="148" customWidth="1"/>
    <col min="4613" max="4613" width="9.28515625" style="148" customWidth="1"/>
    <col min="4614" max="4614" width="12" style="148" customWidth="1"/>
    <col min="4615" max="4615" width="16.5703125" style="148" customWidth="1"/>
    <col min="4616" max="4616" width="14.7109375" style="148" customWidth="1"/>
    <col min="4617" max="4617" width="10.85546875" style="148" customWidth="1"/>
    <col min="4618" max="4618" width="6.28515625" style="148" customWidth="1"/>
    <col min="4619" max="4619" width="77.28515625" style="148" customWidth="1"/>
    <col min="4620" max="4620" width="8.28515625" style="148" customWidth="1"/>
    <col min="4621" max="4621" width="8" style="148" customWidth="1"/>
    <col min="4622" max="4622" width="9.85546875" style="148" customWidth="1"/>
    <col min="4623" max="4623" width="9.140625" style="148" customWidth="1"/>
    <col min="4624" max="4624" width="9.7109375" style="148" customWidth="1"/>
    <col min="4625" max="4625" width="8.140625" style="148" customWidth="1"/>
    <col min="4626" max="4626" width="0" style="148" hidden="1" customWidth="1"/>
    <col min="4627" max="4628" width="11" style="148" customWidth="1"/>
    <col min="4629" max="4629" width="10.140625" style="148" customWidth="1"/>
    <col min="4630" max="4631" width="0" style="148" hidden="1" customWidth="1"/>
    <col min="4632" max="4632" width="11.42578125" style="148" customWidth="1"/>
    <col min="4633" max="4633" width="11.28515625" style="148" customWidth="1"/>
    <col min="4634" max="4634" width="10" style="148" customWidth="1"/>
    <col min="4635" max="4636" width="0" style="148" hidden="1" customWidth="1"/>
    <col min="4637" max="4637" width="10.85546875" style="148" customWidth="1"/>
    <col min="4638" max="4638" width="10.140625" style="148" customWidth="1"/>
    <col min="4639" max="4639" width="11.140625" style="148" customWidth="1"/>
    <col min="4640" max="4640" width="15.7109375" style="148" customWidth="1"/>
    <col min="4641" max="4641" width="2.140625" style="148" customWidth="1"/>
    <col min="4642" max="4642" width="14.42578125" style="148" customWidth="1"/>
    <col min="4643" max="4643" width="13.5703125" style="148" customWidth="1"/>
    <col min="4644" max="4644" width="13.28515625" style="148" customWidth="1"/>
    <col min="4645" max="4645" width="12.28515625" style="148" customWidth="1"/>
    <col min="4646" max="4646" width="12" style="148" customWidth="1"/>
    <col min="4647" max="4864" width="9.140625" style="148"/>
    <col min="4865" max="4865" width="0" style="148" hidden="1" customWidth="1"/>
    <col min="4866" max="4866" width="4.5703125" style="148" customWidth="1"/>
    <col min="4867" max="4867" width="56" style="148" customWidth="1"/>
    <col min="4868" max="4868" width="7.85546875" style="148" customWidth="1"/>
    <col min="4869" max="4869" width="9.28515625" style="148" customWidth="1"/>
    <col min="4870" max="4870" width="12" style="148" customWidth="1"/>
    <col min="4871" max="4871" width="16.5703125" style="148" customWidth="1"/>
    <col min="4872" max="4872" width="14.7109375" style="148" customWidth="1"/>
    <col min="4873" max="4873" width="10.85546875" style="148" customWidth="1"/>
    <col min="4874" max="4874" width="6.28515625" style="148" customWidth="1"/>
    <col min="4875" max="4875" width="77.28515625" style="148" customWidth="1"/>
    <col min="4876" max="4876" width="8.28515625" style="148" customWidth="1"/>
    <col min="4877" max="4877" width="8" style="148" customWidth="1"/>
    <col min="4878" max="4878" width="9.85546875" style="148" customWidth="1"/>
    <col min="4879" max="4879" width="9.140625" style="148" customWidth="1"/>
    <col min="4880" max="4880" width="9.7109375" style="148" customWidth="1"/>
    <col min="4881" max="4881" width="8.140625" style="148" customWidth="1"/>
    <col min="4882" max="4882" width="0" style="148" hidden="1" customWidth="1"/>
    <col min="4883" max="4884" width="11" style="148" customWidth="1"/>
    <col min="4885" max="4885" width="10.140625" style="148" customWidth="1"/>
    <col min="4886" max="4887" width="0" style="148" hidden="1" customWidth="1"/>
    <col min="4888" max="4888" width="11.42578125" style="148" customWidth="1"/>
    <col min="4889" max="4889" width="11.28515625" style="148" customWidth="1"/>
    <col min="4890" max="4890" width="10" style="148" customWidth="1"/>
    <col min="4891" max="4892" width="0" style="148" hidden="1" customWidth="1"/>
    <col min="4893" max="4893" width="10.85546875" style="148" customWidth="1"/>
    <col min="4894" max="4894" width="10.140625" style="148" customWidth="1"/>
    <col min="4895" max="4895" width="11.140625" style="148" customWidth="1"/>
    <col min="4896" max="4896" width="15.7109375" style="148" customWidth="1"/>
    <col min="4897" max="4897" width="2.140625" style="148" customWidth="1"/>
    <col min="4898" max="4898" width="14.42578125" style="148" customWidth="1"/>
    <col min="4899" max="4899" width="13.5703125" style="148" customWidth="1"/>
    <col min="4900" max="4900" width="13.28515625" style="148" customWidth="1"/>
    <col min="4901" max="4901" width="12.28515625" style="148" customWidth="1"/>
    <col min="4902" max="4902" width="12" style="148" customWidth="1"/>
    <col min="4903" max="5120" width="9.140625" style="148"/>
    <col min="5121" max="5121" width="0" style="148" hidden="1" customWidth="1"/>
    <col min="5122" max="5122" width="4.5703125" style="148" customWidth="1"/>
    <col min="5123" max="5123" width="56" style="148" customWidth="1"/>
    <col min="5124" max="5124" width="7.85546875" style="148" customWidth="1"/>
    <col min="5125" max="5125" width="9.28515625" style="148" customWidth="1"/>
    <col min="5126" max="5126" width="12" style="148" customWidth="1"/>
    <col min="5127" max="5127" width="16.5703125" style="148" customWidth="1"/>
    <col min="5128" max="5128" width="14.7109375" style="148" customWidth="1"/>
    <col min="5129" max="5129" width="10.85546875" style="148" customWidth="1"/>
    <col min="5130" max="5130" width="6.28515625" style="148" customWidth="1"/>
    <col min="5131" max="5131" width="77.28515625" style="148" customWidth="1"/>
    <col min="5132" max="5132" width="8.28515625" style="148" customWidth="1"/>
    <col min="5133" max="5133" width="8" style="148" customWidth="1"/>
    <col min="5134" max="5134" width="9.85546875" style="148" customWidth="1"/>
    <col min="5135" max="5135" width="9.140625" style="148" customWidth="1"/>
    <col min="5136" max="5136" width="9.7109375" style="148" customWidth="1"/>
    <col min="5137" max="5137" width="8.140625" style="148" customWidth="1"/>
    <col min="5138" max="5138" width="0" style="148" hidden="1" customWidth="1"/>
    <col min="5139" max="5140" width="11" style="148" customWidth="1"/>
    <col min="5141" max="5141" width="10.140625" style="148" customWidth="1"/>
    <col min="5142" max="5143" width="0" style="148" hidden="1" customWidth="1"/>
    <col min="5144" max="5144" width="11.42578125" style="148" customWidth="1"/>
    <col min="5145" max="5145" width="11.28515625" style="148" customWidth="1"/>
    <col min="5146" max="5146" width="10" style="148" customWidth="1"/>
    <col min="5147" max="5148" width="0" style="148" hidden="1" customWidth="1"/>
    <col min="5149" max="5149" width="10.85546875" style="148" customWidth="1"/>
    <col min="5150" max="5150" width="10.140625" style="148" customWidth="1"/>
    <col min="5151" max="5151" width="11.140625" style="148" customWidth="1"/>
    <col min="5152" max="5152" width="15.7109375" style="148" customWidth="1"/>
    <col min="5153" max="5153" width="2.140625" style="148" customWidth="1"/>
    <col min="5154" max="5154" width="14.42578125" style="148" customWidth="1"/>
    <col min="5155" max="5155" width="13.5703125" style="148" customWidth="1"/>
    <col min="5156" max="5156" width="13.28515625" style="148" customWidth="1"/>
    <col min="5157" max="5157" width="12.28515625" style="148" customWidth="1"/>
    <col min="5158" max="5158" width="12" style="148" customWidth="1"/>
    <col min="5159" max="5376" width="9.140625" style="148"/>
    <col min="5377" max="5377" width="0" style="148" hidden="1" customWidth="1"/>
    <col min="5378" max="5378" width="4.5703125" style="148" customWidth="1"/>
    <col min="5379" max="5379" width="56" style="148" customWidth="1"/>
    <col min="5380" max="5380" width="7.85546875" style="148" customWidth="1"/>
    <col min="5381" max="5381" width="9.28515625" style="148" customWidth="1"/>
    <col min="5382" max="5382" width="12" style="148" customWidth="1"/>
    <col min="5383" max="5383" width="16.5703125" style="148" customWidth="1"/>
    <col min="5384" max="5384" width="14.7109375" style="148" customWidth="1"/>
    <col min="5385" max="5385" width="10.85546875" style="148" customWidth="1"/>
    <col min="5386" max="5386" width="6.28515625" style="148" customWidth="1"/>
    <col min="5387" max="5387" width="77.28515625" style="148" customWidth="1"/>
    <col min="5388" max="5388" width="8.28515625" style="148" customWidth="1"/>
    <col min="5389" max="5389" width="8" style="148" customWidth="1"/>
    <col min="5390" max="5390" width="9.85546875" style="148" customWidth="1"/>
    <col min="5391" max="5391" width="9.140625" style="148" customWidth="1"/>
    <col min="5392" max="5392" width="9.7109375" style="148" customWidth="1"/>
    <col min="5393" max="5393" width="8.140625" style="148" customWidth="1"/>
    <col min="5394" max="5394" width="0" style="148" hidden="1" customWidth="1"/>
    <col min="5395" max="5396" width="11" style="148" customWidth="1"/>
    <col min="5397" max="5397" width="10.140625" style="148" customWidth="1"/>
    <col min="5398" max="5399" width="0" style="148" hidden="1" customWidth="1"/>
    <col min="5400" max="5400" width="11.42578125" style="148" customWidth="1"/>
    <col min="5401" max="5401" width="11.28515625" style="148" customWidth="1"/>
    <col min="5402" max="5402" width="10" style="148" customWidth="1"/>
    <col min="5403" max="5404" width="0" style="148" hidden="1" customWidth="1"/>
    <col min="5405" max="5405" width="10.85546875" style="148" customWidth="1"/>
    <col min="5406" max="5406" width="10.140625" style="148" customWidth="1"/>
    <col min="5407" max="5407" width="11.140625" style="148" customWidth="1"/>
    <col min="5408" max="5408" width="15.7109375" style="148" customWidth="1"/>
    <col min="5409" max="5409" width="2.140625" style="148" customWidth="1"/>
    <col min="5410" max="5410" width="14.42578125" style="148" customWidth="1"/>
    <col min="5411" max="5411" width="13.5703125" style="148" customWidth="1"/>
    <col min="5412" max="5412" width="13.28515625" style="148" customWidth="1"/>
    <col min="5413" max="5413" width="12.28515625" style="148" customWidth="1"/>
    <col min="5414" max="5414" width="12" style="148" customWidth="1"/>
    <col min="5415" max="5632" width="9.140625" style="148"/>
    <col min="5633" max="5633" width="0" style="148" hidden="1" customWidth="1"/>
    <col min="5634" max="5634" width="4.5703125" style="148" customWidth="1"/>
    <col min="5635" max="5635" width="56" style="148" customWidth="1"/>
    <col min="5636" max="5636" width="7.85546875" style="148" customWidth="1"/>
    <col min="5637" max="5637" width="9.28515625" style="148" customWidth="1"/>
    <col min="5638" max="5638" width="12" style="148" customWidth="1"/>
    <col min="5639" max="5639" width="16.5703125" style="148" customWidth="1"/>
    <col min="5640" max="5640" width="14.7109375" style="148" customWidth="1"/>
    <col min="5641" max="5641" width="10.85546875" style="148" customWidth="1"/>
    <col min="5642" max="5642" width="6.28515625" style="148" customWidth="1"/>
    <col min="5643" max="5643" width="77.28515625" style="148" customWidth="1"/>
    <col min="5644" max="5644" width="8.28515625" style="148" customWidth="1"/>
    <col min="5645" max="5645" width="8" style="148" customWidth="1"/>
    <col min="5646" max="5646" width="9.85546875" style="148" customWidth="1"/>
    <col min="5647" max="5647" width="9.140625" style="148" customWidth="1"/>
    <col min="5648" max="5648" width="9.7109375" style="148" customWidth="1"/>
    <col min="5649" max="5649" width="8.140625" style="148" customWidth="1"/>
    <col min="5650" max="5650" width="0" style="148" hidden="1" customWidth="1"/>
    <col min="5651" max="5652" width="11" style="148" customWidth="1"/>
    <col min="5653" max="5653" width="10.140625" style="148" customWidth="1"/>
    <col min="5654" max="5655" width="0" style="148" hidden="1" customWidth="1"/>
    <col min="5656" max="5656" width="11.42578125" style="148" customWidth="1"/>
    <col min="5657" max="5657" width="11.28515625" style="148" customWidth="1"/>
    <col min="5658" max="5658" width="10" style="148" customWidth="1"/>
    <col min="5659" max="5660" width="0" style="148" hidden="1" customWidth="1"/>
    <col min="5661" max="5661" width="10.85546875" style="148" customWidth="1"/>
    <col min="5662" max="5662" width="10.140625" style="148" customWidth="1"/>
    <col min="5663" max="5663" width="11.140625" style="148" customWidth="1"/>
    <col min="5664" max="5664" width="15.7109375" style="148" customWidth="1"/>
    <col min="5665" max="5665" width="2.140625" style="148" customWidth="1"/>
    <col min="5666" max="5666" width="14.42578125" style="148" customWidth="1"/>
    <col min="5667" max="5667" width="13.5703125" style="148" customWidth="1"/>
    <col min="5668" max="5668" width="13.28515625" style="148" customWidth="1"/>
    <col min="5669" max="5669" width="12.28515625" style="148" customWidth="1"/>
    <col min="5670" max="5670" width="12" style="148" customWidth="1"/>
    <col min="5671" max="5888" width="9.140625" style="148"/>
    <col min="5889" max="5889" width="0" style="148" hidden="1" customWidth="1"/>
    <col min="5890" max="5890" width="4.5703125" style="148" customWidth="1"/>
    <col min="5891" max="5891" width="56" style="148" customWidth="1"/>
    <col min="5892" max="5892" width="7.85546875" style="148" customWidth="1"/>
    <col min="5893" max="5893" width="9.28515625" style="148" customWidth="1"/>
    <col min="5894" max="5894" width="12" style="148" customWidth="1"/>
    <col min="5895" max="5895" width="16.5703125" style="148" customWidth="1"/>
    <col min="5896" max="5896" width="14.7109375" style="148" customWidth="1"/>
    <col min="5897" max="5897" width="10.85546875" style="148" customWidth="1"/>
    <col min="5898" max="5898" width="6.28515625" style="148" customWidth="1"/>
    <col min="5899" max="5899" width="77.28515625" style="148" customWidth="1"/>
    <col min="5900" max="5900" width="8.28515625" style="148" customWidth="1"/>
    <col min="5901" max="5901" width="8" style="148" customWidth="1"/>
    <col min="5902" max="5902" width="9.85546875" style="148" customWidth="1"/>
    <col min="5903" max="5903" width="9.140625" style="148" customWidth="1"/>
    <col min="5904" max="5904" width="9.7109375" style="148" customWidth="1"/>
    <col min="5905" max="5905" width="8.140625" style="148" customWidth="1"/>
    <col min="5906" max="5906" width="0" style="148" hidden="1" customWidth="1"/>
    <col min="5907" max="5908" width="11" style="148" customWidth="1"/>
    <col min="5909" max="5909" width="10.140625" style="148" customWidth="1"/>
    <col min="5910" max="5911" width="0" style="148" hidden="1" customWidth="1"/>
    <col min="5912" max="5912" width="11.42578125" style="148" customWidth="1"/>
    <col min="5913" max="5913" width="11.28515625" style="148" customWidth="1"/>
    <col min="5914" max="5914" width="10" style="148" customWidth="1"/>
    <col min="5915" max="5916" width="0" style="148" hidden="1" customWidth="1"/>
    <col min="5917" max="5917" width="10.85546875" style="148" customWidth="1"/>
    <col min="5918" max="5918" width="10.140625" style="148" customWidth="1"/>
    <col min="5919" max="5919" width="11.140625" style="148" customWidth="1"/>
    <col min="5920" max="5920" width="15.7109375" style="148" customWidth="1"/>
    <col min="5921" max="5921" width="2.140625" style="148" customWidth="1"/>
    <col min="5922" max="5922" width="14.42578125" style="148" customWidth="1"/>
    <col min="5923" max="5923" width="13.5703125" style="148" customWidth="1"/>
    <col min="5924" max="5924" width="13.28515625" style="148" customWidth="1"/>
    <col min="5925" max="5925" width="12.28515625" style="148" customWidth="1"/>
    <col min="5926" max="5926" width="12" style="148" customWidth="1"/>
    <col min="5927" max="6144" width="9.140625" style="148"/>
    <col min="6145" max="6145" width="0" style="148" hidden="1" customWidth="1"/>
    <col min="6146" max="6146" width="4.5703125" style="148" customWidth="1"/>
    <col min="6147" max="6147" width="56" style="148" customWidth="1"/>
    <col min="6148" max="6148" width="7.85546875" style="148" customWidth="1"/>
    <col min="6149" max="6149" width="9.28515625" style="148" customWidth="1"/>
    <col min="6150" max="6150" width="12" style="148" customWidth="1"/>
    <col min="6151" max="6151" width="16.5703125" style="148" customWidth="1"/>
    <col min="6152" max="6152" width="14.7109375" style="148" customWidth="1"/>
    <col min="6153" max="6153" width="10.85546875" style="148" customWidth="1"/>
    <col min="6154" max="6154" width="6.28515625" style="148" customWidth="1"/>
    <col min="6155" max="6155" width="77.28515625" style="148" customWidth="1"/>
    <col min="6156" max="6156" width="8.28515625" style="148" customWidth="1"/>
    <col min="6157" max="6157" width="8" style="148" customWidth="1"/>
    <col min="6158" max="6158" width="9.85546875" style="148" customWidth="1"/>
    <col min="6159" max="6159" width="9.140625" style="148" customWidth="1"/>
    <col min="6160" max="6160" width="9.7109375" style="148" customWidth="1"/>
    <col min="6161" max="6161" width="8.140625" style="148" customWidth="1"/>
    <col min="6162" max="6162" width="0" style="148" hidden="1" customWidth="1"/>
    <col min="6163" max="6164" width="11" style="148" customWidth="1"/>
    <col min="6165" max="6165" width="10.140625" style="148" customWidth="1"/>
    <col min="6166" max="6167" width="0" style="148" hidden="1" customWidth="1"/>
    <col min="6168" max="6168" width="11.42578125" style="148" customWidth="1"/>
    <col min="6169" max="6169" width="11.28515625" style="148" customWidth="1"/>
    <col min="6170" max="6170" width="10" style="148" customWidth="1"/>
    <col min="6171" max="6172" width="0" style="148" hidden="1" customWidth="1"/>
    <col min="6173" max="6173" width="10.85546875" style="148" customWidth="1"/>
    <col min="6174" max="6174" width="10.140625" style="148" customWidth="1"/>
    <col min="6175" max="6175" width="11.140625" style="148" customWidth="1"/>
    <col min="6176" max="6176" width="15.7109375" style="148" customWidth="1"/>
    <col min="6177" max="6177" width="2.140625" style="148" customWidth="1"/>
    <col min="6178" max="6178" width="14.42578125" style="148" customWidth="1"/>
    <col min="6179" max="6179" width="13.5703125" style="148" customWidth="1"/>
    <col min="6180" max="6180" width="13.28515625" style="148" customWidth="1"/>
    <col min="6181" max="6181" width="12.28515625" style="148" customWidth="1"/>
    <col min="6182" max="6182" width="12" style="148" customWidth="1"/>
    <col min="6183" max="6400" width="9.140625" style="148"/>
    <col min="6401" max="6401" width="0" style="148" hidden="1" customWidth="1"/>
    <col min="6402" max="6402" width="4.5703125" style="148" customWidth="1"/>
    <col min="6403" max="6403" width="56" style="148" customWidth="1"/>
    <col min="6404" max="6404" width="7.85546875" style="148" customWidth="1"/>
    <col min="6405" max="6405" width="9.28515625" style="148" customWidth="1"/>
    <col min="6406" max="6406" width="12" style="148" customWidth="1"/>
    <col min="6407" max="6407" width="16.5703125" style="148" customWidth="1"/>
    <col min="6408" max="6408" width="14.7109375" style="148" customWidth="1"/>
    <col min="6409" max="6409" width="10.85546875" style="148" customWidth="1"/>
    <col min="6410" max="6410" width="6.28515625" style="148" customWidth="1"/>
    <col min="6411" max="6411" width="77.28515625" style="148" customWidth="1"/>
    <col min="6412" max="6412" width="8.28515625" style="148" customWidth="1"/>
    <col min="6413" max="6413" width="8" style="148" customWidth="1"/>
    <col min="6414" max="6414" width="9.85546875" style="148" customWidth="1"/>
    <col min="6415" max="6415" width="9.140625" style="148" customWidth="1"/>
    <col min="6416" max="6416" width="9.7109375" style="148" customWidth="1"/>
    <col min="6417" max="6417" width="8.140625" style="148" customWidth="1"/>
    <col min="6418" max="6418" width="0" style="148" hidden="1" customWidth="1"/>
    <col min="6419" max="6420" width="11" style="148" customWidth="1"/>
    <col min="6421" max="6421" width="10.140625" style="148" customWidth="1"/>
    <col min="6422" max="6423" width="0" style="148" hidden="1" customWidth="1"/>
    <col min="6424" max="6424" width="11.42578125" style="148" customWidth="1"/>
    <col min="6425" max="6425" width="11.28515625" style="148" customWidth="1"/>
    <col min="6426" max="6426" width="10" style="148" customWidth="1"/>
    <col min="6427" max="6428" width="0" style="148" hidden="1" customWidth="1"/>
    <col min="6429" max="6429" width="10.85546875" style="148" customWidth="1"/>
    <col min="6430" max="6430" width="10.140625" style="148" customWidth="1"/>
    <col min="6431" max="6431" width="11.140625" style="148" customWidth="1"/>
    <col min="6432" max="6432" width="15.7109375" style="148" customWidth="1"/>
    <col min="6433" max="6433" width="2.140625" style="148" customWidth="1"/>
    <col min="6434" max="6434" width="14.42578125" style="148" customWidth="1"/>
    <col min="6435" max="6435" width="13.5703125" style="148" customWidth="1"/>
    <col min="6436" max="6436" width="13.28515625" style="148" customWidth="1"/>
    <col min="6437" max="6437" width="12.28515625" style="148" customWidth="1"/>
    <col min="6438" max="6438" width="12" style="148" customWidth="1"/>
    <col min="6439" max="6656" width="9.140625" style="148"/>
    <col min="6657" max="6657" width="0" style="148" hidden="1" customWidth="1"/>
    <col min="6658" max="6658" width="4.5703125" style="148" customWidth="1"/>
    <col min="6659" max="6659" width="56" style="148" customWidth="1"/>
    <col min="6660" max="6660" width="7.85546875" style="148" customWidth="1"/>
    <col min="6661" max="6661" width="9.28515625" style="148" customWidth="1"/>
    <col min="6662" max="6662" width="12" style="148" customWidth="1"/>
    <col min="6663" max="6663" width="16.5703125" style="148" customWidth="1"/>
    <col min="6664" max="6664" width="14.7109375" style="148" customWidth="1"/>
    <col min="6665" max="6665" width="10.85546875" style="148" customWidth="1"/>
    <col min="6666" max="6666" width="6.28515625" style="148" customWidth="1"/>
    <col min="6667" max="6667" width="77.28515625" style="148" customWidth="1"/>
    <col min="6668" max="6668" width="8.28515625" style="148" customWidth="1"/>
    <col min="6669" max="6669" width="8" style="148" customWidth="1"/>
    <col min="6670" max="6670" width="9.85546875" style="148" customWidth="1"/>
    <col min="6671" max="6671" width="9.140625" style="148" customWidth="1"/>
    <col min="6672" max="6672" width="9.7109375" style="148" customWidth="1"/>
    <col min="6673" max="6673" width="8.140625" style="148" customWidth="1"/>
    <col min="6674" max="6674" width="0" style="148" hidden="1" customWidth="1"/>
    <col min="6675" max="6676" width="11" style="148" customWidth="1"/>
    <col min="6677" max="6677" width="10.140625" style="148" customWidth="1"/>
    <col min="6678" max="6679" width="0" style="148" hidden="1" customWidth="1"/>
    <col min="6680" max="6680" width="11.42578125" style="148" customWidth="1"/>
    <col min="6681" max="6681" width="11.28515625" style="148" customWidth="1"/>
    <col min="6682" max="6682" width="10" style="148" customWidth="1"/>
    <col min="6683" max="6684" width="0" style="148" hidden="1" customWidth="1"/>
    <col min="6685" max="6685" width="10.85546875" style="148" customWidth="1"/>
    <col min="6686" max="6686" width="10.140625" style="148" customWidth="1"/>
    <col min="6687" max="6687" width="11.140625" style="148" customWidth="1"/>
    <col min="6688" max="6688" width="15.7109375" style="148" customWidth="1"/>
    <col min="6689" max="6689" width="2.140625" style="148" customWidth="1"/>
    <col min="6690" max="6690" width="14.42578125" style="148" customWidth="1"/>
    <col min="6691" max="6691" width="13.5703125" style="148" customWidth="1"/>
    <col min="6692" max="6692" width="13.28515625" style="148" customWidth="1"/>
    <col min="6693" max="6693" width="12.28515625" style="148" customWidth="1"/>
    <col min="6694" max="6694" width="12" style="148" customWidth="1"/>
    <col min="6695" max="6912" width="9.140625" style="148"/>
    <col min="6913" max="6913" width="0" style="148" hidden="1" customWidth="1"/>
    <col min="6914" max="6914" width="4.5703125" style="148" customWidth="1"/>
    <col min="6915" max="6915" width="56" style="148" customWidth="1"/>
    <col min="6916" max="6916" width="7.85546875" style="148" customWidth="1"/>
    <col min="6917" max="6917" width="9.28515625" style="148" customWidth="1"/>
    <col min="6918" max="6918" width="12" style="148" customWidth="1"/>
    <col min="6919" max="6919" width="16.5703125" style="148" customWidth="1"/>
    <col min="6920" max="6920" width="14.7109375" style="148" customWidth="1"/>
    <col min="6921" max="6921" width="10.85546875" style="148" customWidth="1"/>
    <col min="6922" max="6922" width="6.28515625" style="148" customWidth="1"/>
    <col min="6923" max="6923" width="77.28515625" style="148" customWidth="1"/>
    <col min="6924" max="6924" width="8.28515625" style="148" customWidth="1"/>
    <col min="6925" max="6925" width="8" style="148" customWidth="1"/>
    <col min="6926" max="6926" width="9.85546875" style="148" customWidth="1"/>
    <col min="6927" max="6927" width="9.140625" style="148" customWidth="1"/>
    <col min="6928" max="6928" width="9.7109375" style="148" customWidth="1"/>
    <col min="6929" max="6929" width="8.140625" style="148" customWidth="1"/>
    <col min="6930" max="6930" width="0" style="148" hidden="1" customWidth="1"/>
    <col min="6931" max="6932" width="11" style="148" customWidth="1"/>
    <col min="6933" max="6933" width="10.140625" style="148" customWidth="1"/>
    <col min="6934" max="6935" width="0" style="148" hidden="1" customWidth="1"/>
    <col min="6936" max="6936" width="11.42578125" style="148" customWidth="1"/>
    <col min="6937" max="6937" width="11.28515625" style="148" customWidth="1"/>
    <col min="6938" max="6938" width="10" style="148" customWidth="1"/>
    <col min="6939" max="6940" width="0" style="148" hidden="1" customWidth="1"/>
    <col min="6941" max="6941" width="10.85546875" style="148" customWidth="1"/>
    <col min="6942" max="6942" width="10.140625" style="148" customWidth="1"/>
    <col min="6943" max="6943" width="11.140625" style="148" customWidth="1"/>
    <col min="6944" max="6944" width="15.7109375" style="148" customWidth="1"/>
    <col min="6945" max="6945" width="2.140625" style="148" customWidth="1"/>
    <col min="6946" max="6946" width="14.42578125" style="148" customWidth="1"/>
    <col min="6947" max="6947" width="13.5703125" style="148" customWidth="1"/>
    <col min="6948" max="6948" width="13.28515625" style="148" customWidth="1"/>
    <col min="6949" max="6949" width="12.28515625" style="148" customWidth="1"/>
    <col min="6950" max="6950" width="12" style="148" customWidth="1"/>
    <col min="6951" max="7168" width="9.140625" style="148"/>
    <col min="7169" max="7169" width="0" style="148" hidden="1" customWidth="1"/>
    <col min="7170" max="7170" width="4.5703125" style="148" customWidth="1"/>
    <col min="7171" max="7171" width="56" style="148" customWidth="1"/>
    <col min="7172" max="7172" width="7.85546875" style="148" customWidth="1"/>
    <col min="7173" max="7173" width="9.28515625" style="148" customWidth="1"/>
    <col min="7174" max="7174" width="12" style="148" customWidth="1"/>
    <col min="7175" max="7175" width="16.5703125" style="148" customWidth="1"/>
    <col min="7176" max="7176" width="14.7109375" style="148" customWidth="1"/>
    <col min="7177" max="7177" width="10.85546875" style="148" customWidth="1"/>
    <col min="7178" max="7178" width="6.28515625" style="148" customWidth="1"/>
    <col min="7179" max="7179" width="77.28515625" style="148" customWidth="1"/>
    <col min="7180" max="7180" width="8.28515625" style="148" customWidth="1"/>
    <col min="7181" max="7181" width="8" style="148" customWidth="1"/>
    <col min="7182" max="7182" width="9.85546875" style="148" customWidth="1"/>
    <col min="7183" max="7183" width="9.140625" style="148" customWidth="1"/>
    <col min="7184" max="7184" width="9.7109375" style="148" customWidth="1"/>
    <col min="7185" max="7185" width="8.140625" style="148" customWidth="1"/>
    <col min="7186" max="7186" width="0" style="148" hidden="1" customWidth="1"/>
    <col min="7187" max="7188" width="11" style="148" customWidth="1"/>
    <col min="7189" max="7189" width="10.140625" style="148" customWidth="1"/>
    <col min="7190" max="7191" width="0" style="148" hidden="1" customWidth="1"/>
    <col min="7192" max="7192" width="11.42578125" style="148" customWidth="1"/>
    <col min="7193" max="7193" width="11.28515625" style="148" customWidth="1"/>
    <col min="7194" max="7194" width="10" style="148" customWidth="1"/>
    <col min="7195" max="7196" width="0" style="148" hidden="1" customWidth="1"/>
    <col min="7197" max="7197" width="10.85546875" style="148" customWidth="1"/>
    <col min="7198" max="7198" width="10.140625" style="148" customWidth="1"/>
    <col min="7199" max="7199" width="11.140625" style="148" customWidth="1"/>
    <col min="7200" max="7200" width="15.7109375" style="148" customWidth="1"/>
    <col min="7201" max="7201" width="2.140625" style="148" customWidth="1"/>
    <col min="7202" max="7202" width="14.42578125" style="148" customWidth="1"/>
    <col min="7203" max="7203" width="13.5703125" style="148" customWidth="1"/>
    <col min="7204" max="7204" width="13.28515625" style="148" customWidth="1"/>
    <col min="7205" max="7205" width="12.28515625" style="148" customWidth="1"/>
    <col min="7206" max="7206" width="12" style="148" customWidth="1"/>
    <col min="7207" max="7424" width="9.140625" style="148"/>
    <col min="7425" max="7425" width="0" style="148" hidden="1" customWidth="1"/>
    <col min="7426" max="7426" width="4.5703125" style="148" customWidth="1"/>
    <col min="7427" max="7427" width="56" style="148" customWidth="1"/>
    <col min="7428" max="7428" width="7.85546875" style="148" customWidth="1"/>
    <col min="7429" max="7429" width="9.28515625" style="148" customWidth="1"/>
    <col min="7430" max="7430" width="12" style="148" customWidth="1"/>
    <col min="7431" max="7431" width="16.5703125" style="148" customWidth="1"/>
    <col min="7432" max="7432" width="14.7109375" style="148" customWidth="1"/>
    <col min="7433" max="7433" width="10.85546875" style="148" customWidth="1"/>
    <col min="7434" max="7434" width="6.28515625" style="148" customWidth="1"/>
    <col min="7435" max="7435" width="77.28515625" style="148" customWidth="1"/>
    <col min="7436" max="7436" width="8.28515625" style="148" customWidth="1"/>
    <col min="7437" max="7437" width="8" style="148" customWidth="1"/>
    <col min="7438" max="7438" width="9.85546875" style="148" customWidth="1"/>
    <col min="7439" max="7439" width="9.140625" style="148" customWidth="1"/>
    <col min="7440" max="7440" width="9.7109375" style="148" customWidth="1"/>
    <col min="7441" max="7441" width="8.140625" style="148" customWidth="1"/>
    <col min="7442" max="7442" width="0" style="148" hidden="1" customWidth="1"/>
    <col min="7443" max="7444" width="11" style="148" customWidth="1"/>
    <col min="7445" max="7445" width="10.140625" style="148" customWidth="1"/>
    <col min="7446" max="7447" width="0" style="148" hidden="1" customWidth="1"/>
    <col min="7448" max="7448" width="11.42578125" style="148" customWidth="1"/>
    <col min="7449" max="7449" width="11.28515625" style="148" customWidth="1"/>
    <col min="7450" max="7450" width="10" style="148" customWidth="1"/>
    <col min="7451" max="7452" width="0" style="148" hidden="1" customWidth="1"/>
    <col min="7453" max="7453" width="10.85546875" style="148" customWidth="1"/>
    <col min="7454" max="7454" width="10.140625" style="148" customWidth="1"/>
    <col min="7455" max="7455" width="11.140625" style="148" customWidth="1"/>
    <col min="7456" max="7456" width="15.7109375" style="148" customWidth="1"/>
    <col min="7457" max="7457" width="2.140625" style="148" customWidth="1"/>
    <col min="7458" max="7458" width="14.42578125" style="148" customWidth="1"/>
    <col min="7459" max="7459" width="13.5703125" style="148" customWidth="1"/>
    <col min="7460" max="7460" width="13.28515625" style="148" customWidth="1"/>
    <col min="7461" max="7461" width="12.28515625" style="148" customWidth="1"/>
    <col min="7462" max="7462" width="12" style="148" customWidth="1"/>
    <col min="7463" max="7680" width="9.140625" style="148"/>
    <col min="7681" max="7681" width="0" style="148" hidden="1" customWidth="1"/>
    <col min="7682" max="7682" width="4.5703125" style="148" customWidth="1"/>
    <col min="7683" max="7683" width="56" style="148" customWidth="1"/>
    <col min="7684" max="7684" width="7.85546875" style="148" customWidth="1"/>
    <col min="7685" max="7685" width="9.28515625" style="148" customWidth="1"/>
    <col min="7686" max="7686" width="12" style="148" customWidth="1"/>
    <col min="7687" max="7687" width="16.5703125" style="148" customWidth="1"/>
    <col min="7688" max="7688" width="14.7109375" style="148" customWidth="1"/>
    <col min="7689" max="7689" width="10.85546875" style="148" customWidth="1"/>
    <col min="7690" max="7690" width="6.28515625" style="148" customWidth="1"/>
    <col min="7691" max="7691" width="77.28515625" style="148" customWidth="1"/>
    <col min="7692" max="7692" width="8.28515625" style="148" customWidth="1"/>
    <col min="7693" max="7693" width="8" style="148" customWidth="1"/>
    <col min="7694" max="7694" width="9.85546875" style="148" customWidth="1"/>
    <col min="7695" max="7695" width="9.140625" style="148" customWidth="1"/>
    <col min="7696" max="7696" width="9.7109375" style="148" customWidth="1"/>
    <col min="7697" max="7697" width="8.140625" style="148" customWidth="1"/>
    <col min="7698" max="7698" width="0" style="148" hidden="1" customWidth="1"/>
    <col min="7699" max="7700" width="11" style="148" customWidth="1"/>
    <col min="7701" max="7701" width="10.140625" style="148" customWidth="1"/>
    <col min="7702" max="7703" width="0" style="148" hidden="1" customWidth="1"/>
    <col min="7704" max="7704" width="11.42578125" style="148" customWidth="1"/>
    <col min="7705" max="7705" width="11.28515625" style="148" customWidth="1"/>
    <col min="7706" max="7706" width="10" style="148" customWidth="1"/>
    <col min="7707" max="7708" width="0" style="148" hidden="1" customWidth="1"/>
    <col min="7709" max="7709" width="10.85546875" style="148" customWidth="1"/>
    <col min="7710" max="7710" width="10.140625" style="148" customWidth="1"/>
    <col min="7711" max="7711" width="11.140625" style="148" customWidth="1"/>
    <col min="7712" max="7712" width="15.7109375" style="148" customWidth="1"/>
    <col min="7713" max="7713" width="2.140625" style="148" customWidth="1"/>
    <col min="7714" max="7714" width="14.42578125" style="148" customWidth="1"/>
    <col min="7715" max="7715" width="13.5703125" style="148" customWidth="1"/>
    <col min="7716" max="7716" width="13.28515625" style="148" customWidth="1"/>
    <col min="7717" max="7717" width="12.28515625" style="148" customWidth="1"/>
    <col min="7718" max="7718" width="12" style="148" customWidth="1"/>
    <col min="7719" max="7936" width="9.140625" style="148"/>
    <col min="7937" max="7937" width="0" style="148" hidden="1" customWidth="1"/>
    <col min="7938" max="7938" width="4.5703125" style="148" customWidth="1"/>
    <col min="7939" max="7939" width="56" style="148" customWidth="1"/>
    <col min="7940" max="7940" width="7.85546875" style="148" customWidth="1"/>
    <col min="7941" max="7941" width="9.28515625" style="148" customWidth="1"/>
    <col min="7942" max="7942" width="12" style="148" customWidth="1"/>
    <col min="7943" max="7943" width="16.5703125" style="148" customWidth="1"/>
    <col min="7944" max="7944" width="14.7109375" style="148" customWidth="1"/>
    <col min="7945" max="7945" width="10.85546875" style="148" customWidth="1"/>
    <col min="7946" max="7946" width="6.28515625" style="148" customWidth="1"/>
    <col min="7947" max="7947" width="77.28515625" style="148" customWidth="1"/>
    <col min="7948" max="7948" width="8.28515625" style="148" customWidth="1"/>
    <col min="7949" max="7949" width="8" style="148" customWidth="1"/>
    <col min="7950" max="7950" width="9.85546875" style="148" customWidth="1"/>
    <col min="7951" max="7951" width="9.140625" style="148" customWidth="1"/>
    <col min="7952" max="7952" width="9.7109375" style="148" customWidth="1"/>
    <col min="7953" max="7953" width="8.140625" style="148" customWidth="1"/>
    <col min="7954" max="7954" width="0" style="148" hidden="1" customWidth="1"/>
    <col min="7955" max="7956" width="11" style="148" customWidth="1"/>
    <col min="7957" max="7957" width="10.140625" style="148" customWidth="1"/>
    <col min="7958" max="7959" width="0" style="148" hidden="1" customWidth="1"/>
    <col min="7960" max="7960" width="11.42578125" style="148" customWidth="1"/>
    <col min="7961" max="7961" width="11.28515625" style="148" customWidth="1"/>
    <col min="7962" max="7962" width="10" style="148" customWidth="1"/>
    <col min="7963" max="7964" width="0" style="148" hidden="1" customWidth="1"/>
    <col min="7965" max="7965" width="10.85546875" style="148" customWidth="1"/>
    <col min="7966" max="7966" width="10.140625" style="148" customWidth="1"/>
    <col min="7967" max="7967" width="11.140625" style="148" customWidth="1"/>
    <col min="7968" max="7968" width="15.7109375" style="148" customWidth="1"/>
    <col min="7969" max="7969" width="2.140625" style="148" customWidth="1"/>
    <col min="7970" max="7970" width="14.42578125" style="148" customWidth="1"/>
    <col min="7971" max="7971" width="13.5703125" style="148" customWidth="1"/>
    <col min="7972" max="7972" width="13.28515625" style="148" customWidth="1"/>
    <col min="7973" max="7973" width="12.28515625" style="148" customWidth="1"/>
    <col min="7974" max="7974" width="12" style="148" customWidth="1"/>
    <col min="7975" max="8192" width="9.140625" style="148"/>
    <col min="8193" max="8193" width="0" style="148" hidden="1" customWidth="1"/>
    <col min="8194" max="8194" width="4.5703125" style="148" customWidth="1"/>
    <col min="8195" max="8195" width="56" style="148" customWidth="1"/>
    <col min="8196" max="8196" width="7.85546875" style="148" customWidth="1"/>
    <col min="8197" max="8197" width="9.28515625" style="148" customWidth="1"/>
    <col min="8198" max="8198" width="12" style="148" customWidth="1"/>
    <col min="8199" max="8199" width="16.5703125" style="148" customWidth="1"/>
    <col min="8200" max="8200" width="14.7109375" style="148" customWidth="1"/>
    <col min="8201" max="8201" width="10.85546875" style="148" customWidth="1"/>
    <col min="8202" max="8202" width="6.28515625" style="148" customWidth="1"/>
    <col min="8203" max="8203" width="77.28515625" style="148" customWidth="1"/>
    <col min="8204" max="8204" width="8.28515625" style="148" customWidth="1"/>
    <col min="8205" max="8205" width="8" style="148" customWidth="1"/>
    <col min="8206" max="8206" width="9.85546875" style="148" customWidth="1"/>
    <col min="8207" max="8207" width="9.140625" style="148" customWidth="1"/>
    <col min="8208" max="8208" width="9.7109375" style="148" customWidth="1"/>
    <col min="8209" max="8209" width="8.140625" style="148" customWidth="1"/>
    <col min="8210" max="8210" width="0" style="148" hidden="1" customWidth="1"/>
    <col min="8211" max="8212" width="11" style="148" customWidth="1"/>
    <col min="8213" max="8213" width="10.140625" style="148" customWidth="1"/>
    <col min="8214" max="8215" width="0" style="148" hidden="1" customWidth="1"/>
    <col min="8216" max="8216" width="11.42578125" style="148" customWidth="1"/>
    <col min="8217" max="8217" width="11.28515625" style="148" customWidth="1"/>
    <col min="8218" max="8218" width="10" style="148" customWidth="1"/>
    <col min="8219" max="8220" width="0" style="148" hidden="1" customWidth="1"/>
    <col min="8221" max="8221" width="10.85546875" style="148" customWidth="1"/>
    <col min="8222" max="8222" width="10.140625" style="148" customWidth="1"/>
    <col min="8223" max="8223" width="11.140625" style="148" customWidth="1"/>
    <col min="8224" max="8224" width="15.7109375" style="148" customWidth="1"/>
    <col min="8225" max="8225" width="2.140625" style="148" customWidth="1"/>
    <col min="8226" max="8226" width="14.42578125" style="148" customWidth="1"/>
    <col min="8227" max="8227" width="13.5703125" style="148" customWidth="1"/>
    <col min="8228" max="8228" width="13.28515625" style="148" customWidth="1"/>
    <col min="8229" max="8229" width="12.28515625" style="148" customWidth="1"/>
    <col min="8230" max="8230" width="12" style="148" customWidth="1"/>
    <col min="8231" max="8448" width="9.140625" style="148"/>
    <col min="8449" max="8449" width="0" style="148" hidden="1" customWidth="1"/>
    <col min="8450" max="8450" width="4.5703125" style="148" customWidth="1"/>
    <col min="8451" max="8451" width="56" style="148" customWidth="1"/>
    <col min="8452" max="8452" width="7.85546875" style="148" customWidth="1"/>
    <col min="8453" max="8453" width="9.28515625" style="148" customWidth="1"/>
    <col min="8454" max="8454" width="12" style="148" customWidth="1"/>
    <col min="8455" max="8455" width="16.5703125" style="148" customWidth="1"/>
    <col min="8456" max="8456" width="14.7109375" style="148" customWidth="1"/>
    <col min="8457" max="8457" width="10.85546875" style="148" customWidth="1"/>
    <col min="8458" max="8458" width="6.28515625" style="148" customWidth="1"/>
    <col min="8459" max="8459" width="77.28515625" style="148" customWidth="1"/>
    <col min="8460" max="8460" width="8.28515625" style="148" customWidth="1"/>
    <col min="8461" max="8461" width="8" style="148" customWidth="1"/>
    <col min="8462" max="8462" width="9.85546875" style="148" customWidth="1"/>
    <col min="8463" max="8463" width="9.140625" style="148" customWidth="1"/>
    <col min="8464" max="8464" width="9.7109375" style="148" customWidth="1"/>
    <col min="8465" max="8465" width="8.140625" style="148" customWidth="1"/>
    <col min="8466" max="8466" width="0" style="148" hidden="1" customWidth="1"/>
    <col min="8467" max="8468" width="11" style="148" customWidth="1"/>
    <col min="8469" max="8469" width="10.140625" style="148" customWidth="1"/>
    <col min="8470" max="8471" width="0" style="148" hidden="1" customWidth="1"/>
    <col min="8472" max="8472" width="11.42578125" style="148" customWidth="1"/>
    <col min="8473" max="8473" width="11.28515625" style="148" customWidth="1"/>
    <col min="8474" max="8474" width="10" style="148" customWidth="1"/>
    <col min="8475" max="8476" width="0" style="148" hidden="1" customWidth="1"/>
    <col min="8477" max="8477" width="10.85546875" style="148" customWidth="1"/>
    <col min="8478" max="8478" width="10.140625" style="148" customWidth="1"/>
    <col min="8479" max="8479" width="11.140625" style="148" customWidth="1"/>
    <col min="8480" max="8480" width="15.7109375" style="148" customWidth="1"/>
    <col min="8481" max="8481" width="2.140625" style="148" customWidth="1"/>
    <col min="8482" max="8482" width="14.42578125" style="148" customWidth="1"/>
    <col min="8483" max="8483" width="13.5703125" style="148" customWidth="1"/>
    <col min="8484" max="8484" width="13.28515625" style="148" customWidth="1"/>
    <col min="8485" max="8485" width="12.28515625" style="148" customWidth="1"/>
    <col min="8486" max="8486" width="12" style="148" customWidth="1"/>
    <col min="8487" max="8704" width="9.140625" style="148"/>
    <col min="8705" max="8705" width="0" style="148" hidden="1" customWidth="1"/>
    <col min="8706" max="8706" width="4.5703125" style="148" customWidth="1"/>
    <col min="8707" max="8707" width="56" style="148" customWidth="1"/>
    <col min="8708" max="8708" width="7.85546875" style="148" customWidth="1"/>
    <col min="8709" max="8709" width="9.28515625" style="148" customWidth="1"/>
    <col min="8710" max="8710" width="12" style="148" customWidth="1"/>
    <col min="8711" max="8711" width="16.5703125" style="148" customWidth="1"/>
    <col min="8712" max="8712" width="14.7109375" style="148" customWidth="1"/>
    <col min="8713" max="8713" width="10.85546875" style="148" customWidth="1"/>
    <col min="8714" max="8714" width="6.28515625" style="148" customWidth="1"/>
    <col min="8715" max="8715" width="77.28515625" style="148" customWidth="1"/>
    <col min="8716" max="8716" width="8.28515625" style="148" customWidth="1"/>
    <col min="8717" max="8717" width="8" style="148" customWidth="1"/>
    <col min="8718" max="8718" width="9.85546875" style="148" customWidth="1"/>
    <col min="8719" max="8719" width="9.140625" style="148" customWidth="1"/>
    <col min="8720" max="8720" width="9.7109375" style="148" customWidth="1"/>
    <col min="8721" max="8721" width="8.140625" style="148" customWidth="1"/>
    <col min="8722" max="8722" width="0" style="148" hidden="1" customWidth="1"/>
    <col min="8723" max="8724" width="11" style="148" customWidth="1"/>
    <col min="8725" max="8725" width="10.140625" style="148" customWidth="1"/>
    <col min="8726" max="8727" width="0" style="148" hidden="1" customWidth="1"/>
    <col min="8728" max="8728" width="11.42578125" style="148" customWidth="1"/>
    <col min="8729" max="8729" width="11.28515625" style="148" customWidth="1"/>
    <col min="8730" max="8730" width="10" style="148" customWidth="1"/>
    <col min="8731" max="8732" width="0" style="148" hidden="1" customWidth="1"/>
    <col min="8733" max="8733" width="10.85546875" style="148" customWidth="1"/>
    <col min="8734" max="8734" width="10.140625" style="148" customWidth="1"/>
    <col min="8735" max="8735" width="11.140625" style="148" customWidth="1"/>
    <col min="8736" max="8736" width="15.7109375" style="148" customWidth="1"/>
    <col min="8737" max="8737" width="2.140625" style="148" customWidth="1"/>
    <col min="8738" max="8738" width="14.42578125" style="148" customWidth="1"/>
    <col min="8739" max="8739" width="13.5703125" style="148" customWidth="1"/>
    <col min="8740" max="8740" width="13.28515625" style="148" customWidth="1"/>
    <col min="8741" max="8741" width="12.28515625" style="148" customWidth="1"/>
    <col min="8742" max="8742" width="12" style="148" customWidth="1"/>
    <col min="8743" max="8960" width="9.140625" style="148"/>
    <col min="8961" max="8961" width="0" style="148" hidden="1" customWidth="1"/>
    <col min="8962" max="8962" width="4.5703125" style="148" customWidth="1"/>
    <col min="8963" max="8963" width="56" style="148" customWidth="1"/>
    <col min="8964" max="8964" width="7.85546875" style="148" customWidth="1"/>
    <col min="8965" max="8965" width="9.28515625" style="148" customWidth="1"/>
    <col min="8966" max="8966" width="12" style="148" customWidth="1"/>
    <col min="8967" max="8967" width="16.5703125" style="148" customWidth="1"/>
    <col min="8968" max="8968" width="14.7109375" style="148" customWidth="1"/>
    <col min="8969" max="8969" width="10.85546875" style="148" customWidth="1"/>
    <col min="8970" max="8970" width="6.28515625" style="148" customWidth="1"/>
    <col min="8971" max="8971" width="77.28515625" style="148" customWidth="1"/>
    <col min="8972" max="8972" width="8.28515625" style="148" customWidth="1"/>
    <col min="8973" max="8973" width="8" style="148" customWidth="1"/>
    <col min="8974" max="8974" width="9.85546875" style="148" customWidth="1"/>
    <col min="8975" max="8975" width="9.140625" style="148" customWidth="1"/>
    <col min="8976" max="8976" width="9.7109375" style="148" customWidth="1"/>
    <col min="8977" max="8977" width="8.140625" style="148" customWidth="1"/>
    <col min="8978" max="8978" width="0" style="148" hidden="1" customWidth="1"/>
    <col min="8979" max="8980" width="11" style="148" customWidth="1"/>
    <col min="8981" max="8981" width="10.140625" style="148" customWidth="1"/>
    <col min="8982" max="8983" width="0" style="148" hidden="1" customWidth="1"/>
    <col min="8984" max="8984" width="11.42578125" style="148" customWidth="1"/>
    <col min="8985" max="8985" width="11.28515625" style="148" customWidth="1"/>
    <col min="8986" max="8986" width="10" style="148" customWidth="1"/>
    <col min="8987" max="8988" width="0" style="148" hidden="1" customWidth="1"/>
    <col min="8989" max="8989" width="10.85546875" style="148" customWidth="1"/>
    <col min="8990" max="8990" width="10.140625" style="148" customWidth="1"/>
    <col min="8991" max="8991" width="11.140625" style="148" customWidth="1"/>
    <col min="8992" max="8992" width="15.7109375" style="148" customWidth="1"/>
    <col min="8993" max="8993" width="2.140625" style="148" customWidth="1"/>
    <col min="8994" max="8994" width="14.42578125" style="148" customWidth="1"/>
    <col min="8995" max="8995" width="13.5703125" style="148" customWidth="1"/>
    <col min="8996" max="8996" width="13.28515625" style="148" customWidth="1"/>
    <col min="8997" max="8997" width="12.28515625" style="148" customWidth="1"/>
    <col min="8998" max="8998" width="12" style="148" customWidth="1"/>
    <col min="8999" max="9216" width="9.140625" style="148"/>
    <col min="9217" max="9217" width="0" style="148" hidden="1" customWidth="1"/>
    <col min="9218" max="9218" width="4.5703125" style="148" customWidth="1"/>
    <col min="9219" max="9219" width="56" style="148" customWidth="1"/>
    <col min="9220" max="9220" width="7.85546875" style="148" customWidth="1"/>
    <col min="9221" max="9221" width="9.28515625" style="148" customWidth="1"/>
    <col min="9222" max="9222" width="12" style="148" customWidth="1"/>
    <col min="9223" max="9223" width="16.5703125" style="148" customWidth="1"/>
    <col min="9224" max="9224" width="14.7109375" style="148" customWidth="1"/>
    <col min="9225" max="9225" width="10.85546875" style="148" customWidth="1"/>
    <col min="9226" max="9226" width="6.28515625" style="148" customWidth="1"/>
    <col min="9227" max="9227" width="77.28515625" style="148" customWidth="1"/>
    <col min="9228" max="9228" width="8.28515625" style="148" customWidth="1"/>
    <col min="9229" max="9229" width="8" style="148" customWidth="1"/>
    <col min="9230" max="9230" width="9.85546875" style="148" customWidth="1"/>
    <col min="9231" max="9231" width="9.140625" style="148" customWidth="1"/>
    <col min="9232" max="9232" width="9.7109375" style="148" customWidth="1"/>
    <col min="9233" max="9233" width="8.140625" style="148" customWidth="1"/>
    <col min="9234" max="9234" width="0" style="148" hidden="1" customWidth="1"/>
    <col min="9235" max="9236" width="11" style="148" customWidth="1"/>
    <col min="9237" max="9237" width="10.140625" style="148" customWidth="1"/>
    <col min="9238" max="9239" width="0" style="148" hidden="1" customWidth="1"/>
    <col min="9240" max="9240" width="11.42578125" style="148" customWidth="1"/>
    <col min="9241" max="9241" width="11.28515625" style="148" customWidth="1"/>
    <col min="9242" max="9242" width="10" style="148" customWidth="1"/>
    <col min="9243" max="9244" width="0" style="148" hidden="1" customWidth="1"/>
    <col min="9245" max="9245" width="10.85546875" style="148" customWidth="1"/>
    <col min="9246" max="9246" width="10.140625" style="148" customWidth="1"/>
    <col min="9247" max="9247" width="11.140625" style="148" customWidth="1"/>
    <col min="9248" max="9248" width="15.7109375" style="148" customWidth="1"/>
    <col min="9249" max="9249" width="2.140625" style="148" customWidth="1"/>
    <col min="9250" max="9250" width="14.42578125" style="148" customWidth="1"/>
    <col min="9251" max="9251" width="13.5703125" style="148" customWidth="1"/>
    <col min="9252" max="9252" width="13.28515625" style="148" customWidth="1"/>
    <col min="9253" max="9253" width="12.28515625" style="148" customWidth="1"/>
    <col min="9254" max="9254" width="12" style="148" customWidth="1"/>
    <col min="9255" max="9472" width="9.140625" style="148"/>
    <col min="9473" max="9473" width="0" style="148" hidden="1" customWidth="1"/>
    <col min="9474" max="9474" width="4.5703125" style="148" customWidth="1"/>
    <col min="9475" max="9475" width="56" style="148" customWidth="1"/>
    <col min="9476" max="9476" width="7.85546875" style="148" customWidth="1"/>
    <col min="9477" max="9477" width="9.28515625" style="148" customWidth="1"/>
    <col min="9478" max="9478" width="12" style="148" customWidth="1"/>
    <col min="9479" max="9479" width="16.5703125" style="148" customWidth="1"/>
    <col min="9480" max="9480" width="14.7109375" style="148" customWidth="1"/>
    <col min="9481" max="9481" width="10.85546875" style="148" customWidth="1"/>
    <col min="9482" max="9482" width="6.28515625" style="148" customWidth="1"/>
    <col min="9483" max="9483" width="77.28515625" style="148" customWidth="1"/>
    <col min="9484" max="9484" width="8.28515625" style="148" customWidth="1"/>
    <col min="9485" max="9485" width="8" style="148" customWidth="1"/>
    <col min="9486" max="9486" width="9.85546875" style="148" customWidth="1"/>
    <col min="9487" max="9487" width="9.140625" style="148" customWidth="1"/>
    <col min="9488" max="9488" width="9.7109375" style="148" customWidth="1"/>
    <col min="9489" max="9489" width="8.140625" style="148" customWidth="1"/>
    <col min="9490" max="9490" width="0" style="148" hidden="1" customWidth="1"/>
    <col min="9491" max="9492" width="11" style="148" customWidth="1"/>
    <col min="9493" max="9493" width="10.140625" style="148" customWidth="1"/>
    <col min="9494" max="9495" width="0" style="148" hidden="1" customWidth="1"/>
    <col min="9496" max="9496" width="11.42578125" style="148" customWidth="1"/>
    <col min="9497" max="9497" width="11.28515625" style="148" customWidth="1"/>
    <col min="9498" max="9498" width="10" style="148" customWidth="1"/>
    <col min="9499" max="9500" width="0" style="148" hidden="1" customWidth="1"/>
    <col min="9501" max="9501" width="10.85546875" style="148" customWidth="1"/>
    <col min="9502" max="9502" width="10.140625" style="148" customWidth="1"/>
    <col min="9503" max="9503" width="11.140625" style="148" customWidth="1"/>
    <col min="9504" max="9504" width="15.7109375" style="148" customWidth="1"/>
    <col min="9505" max="9505" width="2.140625" style="148" customWidth="1"/>
    <col min="9506" max="9506" width="14.42578125" style="148" customWidth="1"/>
    <col min="9507" max="9507" width="13.5703125" style="148" customWidth="1"/>
    <col min="9508" max="9508" width="13.28515625" style="148" customWidth="1"/>
    <col min="9509" max="9509" width="12.28515625" style="148" customWidth="1"/>
    <col min="9510" max="9510" width="12" style="148" customWidth="1"/>
    <col min="9511" max="9728" width="9.140625" style="148"/>
    <col min="9729" max="9729" width="0" style="148" hidden="1" customWidth="1"/>
    <col min="9730" max="9730" width="4.5703125" style="148" customWidth="1"/>
    <col min="9731" max="9731" width="56" style="148" customWidth="1"/>
    <col min="9732" max="9732" width="7.85546875" style="148" customWidth="1"/>
    <col min="9733" max="9733" width="9.28515625" style="148" customWidth="1"/>
    <col min="9734" max="9734" width="12" style="148" customWidth="1"/>
    <col min="9735" max="9735" width="16.5703125" style="148" customWidth="1"/>
    <col min="9736" max="9736" width="14.7109375" style="148" customWidth="1"/>
    <col min="9737" max="9737" width="10.85546875" style="148" customWidth="1"/>
    <col min="9738" max="9738" width="6.28515625" style="148" customWidth="1"/>
    <col min="9739" max="9739" width="77.28515625" style="148" customWidth="1"/>
    <col min="9740" max="9740" width="8.28515625" style="148" customWidth="1"/>
    <col min="9741" max="9741" width="8" style="148" customWidth="1"/>
    <col min="9742" max="9742" width="9.85546875" style="148" customWidth="1"/>
    <col min="9743" max="9743" width="9.140625" style="148" customWidth="1"/>
    <col min="9744" max="9744" width="9.7109375" style="148" customWidth="1"/>
    <col min="9745" max="9745" width="8.140625" style="148" customWidth="1"/>
    <col min="9746" max="9746" width="0" style="148" hidden="1" customWidth="1"/>
    <col min="9747" max="9748" width="11" style="148" customWidth="1"/>
    <col min="9749" max="9749" width="10.140625" style="148" customWidth="1"/>
    <col min="9750" max="9751" width="0" style="148" hidden="1" customWidth="1"/>
    <col min="9752" max="9752" width="11.42578125" style="148" customWidth="1"/>
    <col min="9753" max="9753" width="11.28515625" style="148" customWidth="1"/>
    <col min="9754" max="9754" width="10" style="148" customWidth="1"/>
    <col min="9755" max="9756" width="0" style="148" hidden="1" customWidth="1"/>
    <col min="9757" max="9757" width="10.85546875" style="148" customWidth="1"/>
    <col min="9758" max="9758" width="10.140625" style="148" customWidth="1"/>
    <col min="9759" max="9759" width="11.140625" style="148" customWidth="1"/>
    <col min="9760" max="9760" width="15.7109375" style="148" customWidth="1"/>
    <col min="9761" max="9761" width="2.140625" style="148" customWidth="1"/>
    <col min="9762" max="9762" width="14.42578125" style="148" customWidth="1"/>
    <col min="9763" max="9763" width="13.5703125" style="148" customWidth="1"/>
    <col min="9764" max="9764" width="13.28515625" style="148" customWidth="1"/>
    <col min="9765" max="9765" width="12.28515625" style="148" customWidth="1"/>
    <col min="9766" max="9766" width="12" style="148" customWidth="1"/>
    <col min="9767" max="9984" width="9.140625" style="148"/>
    <col min="9985" max="9985" width="0" style="148" hidden="1" customWidth="1"/>
    <col min="9986" max="9986" width="4.5703125" style="148" customWidth="1"/>
    <col min="9987" max="9987" width="56" style="148" customWidth="1"/>
    <col min="9988" max="9988" width="7.85546875" style="148" customWidth="1"/>
    <col min="9989" max="9989" width="9.28515625" style="148" customWidth="1"/>
    <col min="9990" max="9990" width="12" style="148" customWidth="1"/>
    <col min="9991" max="9991" width="16.5703125" style="148" customWidth="1"/>
    <col min="9992" max="9992" width="14.7109375" style="148" customWidth="1"/>
    <col min="9993" max="9993" width="10.85546875" style="148" customWidth="1"/>
    <col min="9994" max="9994" width="6.28515625" style="148" customWidth="1"/>
    <col min="9995" max="9995" width="77.28515625" style="148" customWidth="1"/>
    <col min="9996" max="9996" width="8.28515625" style="148" customWidth="1"/>
    <col min="9997" max="9997" width="8" style="148" customWidth="1"/>
    <col min="9998" max="9998" width="9.85546875" style="148" customWidth="1"/>
    <col min="9999" max="9999" width="9.140625" style="148" customWidth="1"/>
    <col min="10000" max="10000" width="9.7109375" style="148" customWidth="1"/>
    <col min="10001" max="10001" width="8.140625" style="148" customWidth="1"/>
    <col min="10002" max="10002" width="0" style="148" hidden="1" customWidth="1"/>
    <col min="10003" max="10004" width="11" style="148" customWidth="1"/>
    <col min="10005" max="10005" width="10.140625" style="148" customWidth="1"/>
    <col min="10006" max="10007" width="0" style="148" hidden="1" customWidth="1"/>
    <col min="10008" max="10008" width="11.42578125" style="148" customWidth="1"/>
    <col min="10009" max="10009" width="11.28515625" style="148" customWidth="1"/>
    <col min="10010" max="10010" width="10" style="148" customWidth="1"/>
    <col min="10011" max="10012" width="0" style="148" hidden="1" customWidth="1"/>
    <col min="10013" max="10013" width="10.85546875" style="148" customWidth="1"/>
    <col min="10014" max="10014" width="10.140625" style="148" customWidth="1"/>
    <col min="10015" max="10015" width="11.140625" style="148" customWidth="1"/>
    <col min="10016" max="10016" width="15.7109375" style="148" customWidth="1"/>
    <col min="10017" max="10017" width="2.140625" style="148" customWidth="1"/>
    <col min="10018" max="10018" width="14.42578125" style="148" customWidth="1"/>
    <col min="10019" max="10019" width="13.5703125" style="148" customWidth="1"/>
    <col min="10020" max="10020" width="13.28515625" style="148" customWidth="1"/>
    <col min="10021" max="10021" width="12.28515625" style="148" customWidth="1"/>
    <col min="10022" max="10022" width="12" style="148" customWidth="1"/>
    <col min="10023" max="10240" width="9.140625" style="148"/>
    <col min="10241" max="10241" width="0" style="148" hidden="1" customWidth="1"/>
    <col min="10242" max="10242" width="4.5703125" style="148" customWidth="1"/>
    <col min="10243" max="10243" width="56" style="148" customWidth="1"/>
    <col min="10244" max="10244" width="7.85546875" style="148" customWidth="1"/>
    <col min="10245" max="10245" width="9.28515625" style="148" customWidth="1"/>
    <col min="10246" max="10246" width="12" style="148" customWidth="1"/>
    <col min="10247" max="10247" width="16.5703125" style="148" customWidth="1"/>
    <col min="10248" max="10248" width="14.7109375" style="148" customWidth="1"/>
    <col min="10249" max="10249" width="10.85546875" style="148" customWidth="1"/>
    <col min="10250" max="10250" width="6.28515625" style="148" customWidth="1"/>
    <col min="10251" max="10251" width="77.28515625" style="148" customWidth="1"/>
    <col min="10252" max="10252" width="8.28515625" style="148" customWidth="1"/>
    <col min="10253" max="10253" width="8" style="148" customWidth="1"/>
    <col min="10254" max="10254" width="9.85546875" style="148" customWidth="1"/>
    <col min="10255" max="10255" width="9.140625" style="148" customWidth="1"/>
    <col min="10256" max="10256" width="9.7109375" style="148" customWidth="1"/>
    <col min="10257" max="10257" width="8.140625" style="148" customWidth="1"/>
    <col min="10258" max="10258" width="0" style="148" hidden="1" customWidth="1"/>
    <col min="10259" max="10260" width="11" style="148" customWidth="1"/>
    <col min="10261" max="10261" width="10.140625" style="148" customWidth="1"/>
    <col min="10262" max="10263" width="0" style="148" hidden="1" customWidth="1"/>
    <col min="10264" max="10264" width="11.42578125" style="148" customWidth="1"/>
    <col min="10265" max="10265" width="11.28515625" style="148" customWidth="1"/>
    <col min="10266" max="10266" width="10" style="148" customWidth="1"/>
    <col min="10267" max="10268" width="0" style="148" hidden="1" customWidth="1"/>
    <col min="10269" max="10269" width="10.85546875" style="148" customWidth="1"/>
    <col min="10270" max="10270" width="10.140625" style="148" customWidth="1"/>
    <col min="10271" max="10271" width="11.140625" style="148" customWidth="1"/>
    <col min="10272" max="10272" width="15.7109375" style="148" customWidth="1"/>
    <col min="10273" max="10273" width="2.140625" style="148" customWidth="1"/>
    <col min="10274" max="10274" width="14.42578125" style="148" customWidth="1"/>
    <col min="10275" max="10275" width="13.5703125" style="148" customWidth="1"/>
    <col min="10276" max="10276" width="13.28515625" style="148" customWidth="1"/>
    <col min="10277" max="10277" width="12.28515625" style="148" customWidth="1"/>
    <col min="10278" max="10278" width="12" style="148" customWidth="1"/>
    <col min="10279" max="10496" width="9.140625" style="148"/>
    <col min="10497" max="10497" width="0" style="148" hidden="1" customWidth="1"/>
    <col min="10498" max="10498" width="4.5703125" style="148" customWidth="1"/>
    <col min="10499" max="10499" width="56" style="148" customWidth="1"/>
    <col min="10500" max="10500" width="7.85546875" style="148" customWidth="1"/>
    <col min="10501" max="10501" width="9.28515625" style="148" customWidth="1"/>
    <col min="10502" max="10502" width="12" style="148" customWidth="1"/>
    <col min="10503" max="10503" width="16.5703125" style="148" customWidth="1"/>
    <col min="10504" max="10504" width="14.7109375" style="148" customWidth="1"/>
    <col min="10505" max="10505" width="10.85546875" style="148" customWidth="1"/>
    <col min="10506" max="10506" width="6.28515625" style="148" customWidth="1"/>
    <col min="10507" max="10507" width="77.28515625" style="148" customWidth="1"/>
    <col min="10508" max="10508" width="8.28515625" style="148" customWidth="1"/>
    <col min="10509" max="10509" width="8" style="148" customWidth="1"/>
    <col min="10510" max="10510" width="9.85546875" style="148" customWidth="1"/>
    <col min="10511" max="10511" width="9.140625" style="148" customWidth="1"/>
    <col min="10512" max="10512" width="9.7109375" style="148" customWidth="1"/>
    <col min="10513" max="10513" width="8.140625" style="148" customWidth="1"/>
    <col min="10514" max="10514" width="0" style="148" hidden="1" customWidth="1"/>
    <col min="10515" max="10516" width="11" style="148" customWidth="1"/>
    <col min="10517" max="10517" width="10.140625" style="148" customWidth="1"/>
    <col min="10518" max="10519" width="0" style="148" hidden="1" customWidth="1"/>
    <col min="10520" max="10520" width="11.42578125" style="148" customWidth="1"/>
    <col min="10521" max="10521" width="11.28515625" style="148" customWidth="1"/>
    <col min="10522" max="10522" width="10" style="148" customWidth="1"/>
    <col min="10523" max="10524" width="0" style="148" hidden="1" customWidth="1"/>
    <col min="10525" max="10525" width="10.85546875" style="148" customWidth="1"/>
    <col min="10526" max="10526" width="10.140625" style="148" customWidth="1"/>
    <col min="10527" max="10527" width="11.140625" style="148" customWidth="1"/>
    <col min="10528" max="10528" width="15.7109375" style="148" customWidth="1"/>
    <col min="10529" max="10529" width="2.140625" style="148" customWidth="1"/>
    <col min="10530" max="10530" width="14.42578125" style="148" customWidth="1"/>
    <col min="10531" max="10531" width="13.5703125" style="148" customWidth="1"/>
    <col min="10532" max="10532" width="13.28515625" style="148" customWidth="1"/>
    <col min="10533" max="10533" width="12.28515625" style="148" customWidth="1"/>
    <col min="10534" max="10534" width="12" style="148" customWidth="1"/>
    <col min="10535" max="10752" width="9.140625" style="148"/>
    <col min="10753" max="10753" width="0" style="148" hidden="1" customWidth="1"/>
    <col min="10754" max="10754" width="4.5703125" style="148" customWidth="1"/>
    <col min="10755" max="10755" width="56" style="148" customWidth="1"/>
    <col min="10756" max="10756" width="7.85546875" style="148" customWidth="1"/>
    <col min="10757" max="10757" width="9.28515625" style="148" customWidth="1"/>
    <col min="10758" max="10758" width="12" style="148" customWidth="1"/>
    <col min="10759" max="10759" width="16.5703125" style="148" customWidth="1"/>
    <col min="10760" max="10760" width="14.7109375" style="148" customWidth="1"/>
    <col min="10761" max="10761" width="10.85546875" style="148" customWidth="1"/>
    <col min="10762" max="10762" width="6.28515625" style="148" customWidth="1"/>
    <col min="10763" max="10763" width="77.28515625" style="148" customWidth="1"/>
    <col min="10764" max="10764" width="8.28515625" style="148" customWidth="1"/>
    <col min="10765" max="10765" width="8" style="148" customWidth="1"/>
    <col min="10766" max="10766" width="9.85546875" style="148" customWidth="1"/>
    <col min="10767" max="10767" width="9.140625" style="148" customWidth="1"/>
    <col min="10768" max="10768" width="9.7109375" style="148" customWidth="1"/>
    <col min="10769" max="10769" width="8.140625" style="148" customWidth="1"/>
    <col min="10770" max="10770" width="0" style="148" hidden="1" customWidth="1"/>
    <col min="10771" max="10772" width="11" style="148" customWidth="1"/>
    <col min="10773" max="10773" width="10.140625" style="148" customWidth="1"/>
    <col min="10774" max="10775" width="0" style="148" hidden="1" customWidth="1"/>
    <col min="10776" max="10776" width="11.42578125" style="148" customWidth="1"/>
    <col min="10777" max="10777" width="11.28515625" style="148" customWidth="1"/>
    <col min="10778" max="10778" width="10" style="148" customWidth="1"/>
    <col min="10779" max="10780" width="0" style="148" hidden="1" customWidth="1"/>
    <col min="10781" max="10781" width="10.85546875" style="148" customWidth="1"/>
    <col min="10782" max="10782" width="10.140625" style="148" customWidth="1"/>
    <col min="10783" max="10783" width="11.140625" style="148" customWidth="1"/>
    <col min="10784" max="10784" width="15.7109375" style="148" customWidth="1"/>
    <col min="10785" max="10785" width="2.140625" style="148" customWidth="1"/>
    <col min="10786" max="10786" width="14.42578125" style="148" customWidth="1"/>
    <col min="10787" max="10787" width="13.5703125" style="148" customWidth="1"/>
    <col min="10788" max="10788" width="13.28515625" style="148" customWidth="1"/>
    <col min="10789" max="10789" width="12.28515625" style="148" customWidth="1"/>
    <col min="10790" max="10790" width="12" style="148" customWidth="1"/>
    <col min="10791" max="11008" width="9.140625" style="148"/>
    <col min="11009" max="11009" width="0" style="148" hidden="1" customWidth="1"/>
    <col min="11010" max="11010" width="4.5703125" style="148" customWidth="1"/>
    <col min="11011" max="11011" width="56" style="148" customWidth="1"/>
    <col min="11012" max="11012" width="7.85546875" style="148" customWidth="1"/>
    <col min="11013" max="11013" width="9.28515625" style="148" customWidth="1"/>
    <col min="11014" max="11014" width="12" style="148" customWidth="1"/>
    <col min="11015" max="11015" width="16.5703125" style="148" customWidth="1"/>
    <col min="11016" max="11016" width="14.7109375" style="148" customWidth="1"/>
    <col min="11017" max="11017" width="10.85546875" style="148" customWidth="1"/>
    <col min="11018" max="11018" width="6.28515625" style="148" customWidth="1"/>
    <col min="11019" max="11019" width="77.28515625" style="148" customWidth="1"/>
    <col min="11020" max="11020" width="8.28515625" style="148" customWidth="1"/>
    <col min="11021" max="11021" width="8" style="148" customWidth="1"/>
    <col min="11022" max="11022" width="9.85546875" style="148" customWidth="1"/>
    <col min="11023" max="11023" width="9.140625" style="148" customWidth="1"/>
    <col min="11024" max="11024" width="9.7109375" style="148" customWidth="1"/>
    <col min="11025" max="11025" width="8.140625" style="148" customWidth="1"/>
    <col min="11026" max="11026" width="0" style="148" hidden="1" customWidth="1"/>
    <col min="11027" max="11028" width="11" style="148" customWidth="1"/>
    <col min="11029" max="11029" width="10.140625" style="148" customWidth="1"/>
    <col min="11030" max="11031" width="0" style="148" hidden="1" customWidth="1"/>
    <col min="11032" max="11032" width="11.42578125" style="148" customWidth="1"/>
    <col min="11033" max="11033" width="11.28515625" style="148" customWidth="1"/>
    <col min="11034" max="11034" width="10" style="148" customWidth="1"/>
    <col min="11035" max="11036" width="0" style="148" hidden="1" customWidth="1"/>
    <col min="11037" max="11037" width="10.85546875" style="148" customWidth="1"/>
    <col min="11038" max="11038" width="10.140625" style="148" customWidth="1"/>
    <col min="11039" max="11039" width="11.140625" style="148" customWidth="1"/>
    <col min="11040" max="11040" width="15.7109375" style="148" customWidth="1"/>
    <col min="11041" max="11041" width="2.140625" style="148" customWidth="1"/>
    <col min="11042" max="11042" width="14.42578125" style="148" customWidth="1"/>
    <col min="11043" max="11043" width="13.5703125" style="148" customWidth="1"/>
    <col min="11044" max="11044" width="13.28515625" style="148" customWidth="1"/>
    <col min="11045" max="11045" width="12.28515625" style="148" customWidth="1"/>
    <col min="11046" max="11046" width="12" style="148" customWidth="1"/>
    <col min="11047" max="11264" width="9.140625" style="148"/>
    <col min="11265" max="11265" width="0" style="148" hidden="1" customWidth="1"/>
    <col min="11266" max="11266" width="4.5703125" style="148" customWidth="1"/>
    <col min="11267" max="11267" width="56" style="148" customWidth="1"/>
    <col min="11268" max="11268" width="7.85546875" style="148" customWidth="1"/>
    <col min="11269" max="11269" width="9.28515625" style="148" customWidth="1"/>
    <col min="11270" max="11270" width="12" style="148" customWidth="1"/>
    <col min="11271" max="11271" width="16.5703125" style="148" customWidth="1"/>
    <col min="11272" max="11272" width="14.7109375" style="148" customWidth="1"/>
    <col min="11273" max="11273" width="10.85546875" style="148" customWidth="1"/>
    <col min="11274" max="11274" width="6.28515625" style="148" customWidth="1"/>
    <col min="11275" max="11275" width="77.28515625" style="148" customWidth="1"/>
    <col min="11276" max="11276" width="8.28515625" style="148" customWidth="1"/>
    <col min="11277" max="11277" width="8" style="148" customWidth="1"/>
    <col min="11278" max="11278" width="9.85546875" style="148" customWidth="1"/>
    <col min="11279" max="11279" width="9.140625" style="148" customWidth="1"/>
    <col min="11280" max="11280" width="9.7109375" style="148" customWidth="1"/>
    <col min="11281" max="11281" width="8.140625" style="148" customWidth="1"/>
    <col min="11282" max="11282" width="0" style="148" hidden="1" customWidth="1"/>
    <col min="11283" max="11284" width="11" style="148" customWidth="1"/>
    <col min="11285" max="11285" width="10.140625" style="148" customWidth="1"/>
    <col min="11286" max="11287" width="0" style="148" hidden="1" customWidth="1"/>
    <col min="11288" max="11288" width="11.42578125" style="148" customWidth="1"/>
    <col min="11289" max="11289" width="11.28515625" style="148" customWidth="1"/>
    <col min="11290" max="11290" width="10" style="148" customWidth="1"/>
    <col min="11291" max="11292" width="0" style="148" hidden="1" customWidth="1"/>
    <col min="11293" max="11293" width="10.85546875" style="148" customWidth="1"/>
    <col min="11294" max="11294" width="10.140625" style="148" customWidth="1"/>
    <col min="11295" max="11295" width="11.140625" style="148" customWidth="1"/>
    <col min="11296" max="11296" width="15.7109375" style="148" customWidth="1"/>
    <col min="11297" max="11297" width="2.140625" style="148" customWidth="1"/>
    <col min="11298" max="11298" width="14.42578125" style="148" customWidth="1"/>
    <col min="11299" max="11299" width="13.5703125" style="148" customWidth="1"/>
    <col min="11300" max="11300" width="13.28515625" style="148" customWidth="1"/>
    <col min="11301" max="11301" width="12.28515625" style="148" customWidth="1"/>
    <col min="11302" max="11302" width="12" style="148" customWidth="1"/>
    <col min="11303" max="11520" width="9.140625" style="148"/>
    <col min="11521" max="11521" width="0" style="148" hidden="1" customWidth="1"/>
    <col min="11522" max="11522" width="4.5703125" style="148" customWidth="1"/>
    <col min="11523" max="11523" width="56" style="148" customWidth="1"/>
    <col min="11524" max="11524" width="7.85546875" style="148" customWidth="1"/>
    <col min="11525" max="11525" width="9.28515625" style="148" customWidth="1"/>
    <col min="11526" max="11526" width="12" style="148" customWidth="1"/>
    <col min="11527" max="11527" width="16.5703125" style="148" customWidth="1"/>
    <col min="11528" max="11528" width="14.7109375" style="148" customWidth="1"/>
    <col min="11529" max="11529" width="10.85546875" style="148" customWidth="1"/>
    <col min="11530" max="11530" width="6.28515625" style="148" customWidth="1"/>
    <col min="11531" max="11531" width="77.28515625" style="148" customWidth="1"/>
    <col min="11532" max="11532" width="8.28515625" style="148" customWidth="1"/>
    <col min="11533" max="11533" width="8" style="148" customWidth="1"/>
    <col min="11534" max="11534" width="9.85546875" style="148" customWidth="1"/>
    <col min="11535" max="11535" width="9.140625" style="148" customWidth="1"/>
    <col min="11536" max="11536" width="9.7109375" style="148" customWidth="1"/>
    <col min="11537" max="11537" width="8.140625" style="148" customWidth="1"/>
    <col min="11538" max="11538" width="0" style="148" hidden="1" customWidth="1"/>
    <col min="11539" max="11540" width="11" style="148" customWidth="1"/>
    <col min="11541" max="11541" width="10.140625" style="148" customWidth="1"/>
    <col min="11542" max="11543" width="0" style="148" hidden="1" customWidth="1"/>
    <col min="11544" max="11544" width="11.42578125" style="148" customWidth="1"/>
    <col min="11545" max="11545" width="11.28515625" style="148" customWidth="1"/>
    <col min="11546" max="11546" width="10" style="148" customWidth="1"/>
    <col min="11547" max="11548" width="0" style="148" hidden="1" customWidth="1"/>
    <col min="11549" max="11549" width="10.85546875" style="148" customWidth="1"/>
    <col min="11550" max="11550" width="10.140625" style="148" customWidth="1"/>
    <col min="11551" max="11551" width="11.140625" style="148" customWidth="1"/>
    <col min="11552" max="11552" width="15.7109375" style="148" customWidth="1"/>
    <col min="11553" max="11553" width="2.140625" style="148" customWidth="1"/>
    <col min="11554" max="11554" width="14.42578125" style="148" customWidth="1"/>
    <col min="11555" max="11555" width="13.5703125" style="148" customWidth="1"/>
    <col min="11556" max="11556" width="13.28515625" style="148" customWidth="1"/>
    <col min="11557" max="11557" width="12.28515625" style="148" customWidth="1"/>
    <col min="11558" max="11558" width="12" style="148" customWidth="1"/>
    <col min="11559" max="11776" width="9.140625" style="148"/>
    <col min="11777" max="11777" width="0" style="148" hidden="1" customWidth="1"/>
    <col min="11778" max="11778" width="4.5703125" style="148" customWidth="1"/>
    <col min="11779" max="11779" width="56" style="148" customWidth="1"/>
    <col min="11780" max="11780" width="7.85546875" style="148" customWidth="1"/>
    <col min="11781" max="11781" width="9.28515625" style="148" customWidth="1"/>
    <col min="11782" max="11782" width="12" style="148" customWidth="1"/>
    <col min="11783" max="11783" width="16.5703125" style="148" customWidth="1"/>
    <col min="11784" max="11784" width="14.7109375" style="148" customWidth="1"/>
    <col min="11785" max="11785" width="10.85546875" style="148" customWidth="1"/>
    <col min="11786" max="11786" width="6.28515625" style="148" customWidth="1"/>
    <col min="11787" max="11787" width="77.28515625" style="148" customWidth="1"/>
    <col min="11788" max="11788" width="8.28515625" style="148" customWidth="1"/>
    <col min="11789" max="11789" width="8" style="148" customWidth="1"/>
    <col min="11790" max="11790" width="9.85546875" style="148" customWidth="1"/>
    <col min="11791" max="11791" width="9.140625" style="148" customWidth="1"/>
    <col min="11792" max="11792" width="9.7109375" style="148" customWidth="1"/>
    <col min="11793" max="11793" width="8.140625" style="148" customWidth="1"/>
    <col min="11794" max="11794" width="0" style="148" hidden="1" customWidth="1"/>
    <col min="11795" max="11796" width="11" style="148" customWidth="1"/>
    <col min="11797" max="11797" width="10.140625" style="148" customWidth="1"/>
    <col min="11798" max="11799" width="0" style="148" hidden="1" customWidth="1"/>
    <col min="11800" max="11800" width="11.42578125" style="148" customWidth="1"/>
    <col min="11801" max="11801" width="11.28515625" style="148" customWidth="1"/>
    <col min="11802" max="11802" width="10" style="148" customWidth="1"/>
    <col min="11803" max="11804" width="0" style="148" hidden="1" customWidth="1"/>
    <col min="11805" max="11805" width="10.85546875" style="148" customWidth="1"/>
    <col min="11806" max="11806" width="10.140625" style="148" customWidth="1"/>
    <col min="11807" max="11807" width="11.140625" style="148" customWidth="1"/>
    <col min="11808" max="11808" width="15.7109375" style="148" customWidth="1"/>
    <col min="11809" max="11809" width="2.140625" style="148" customWidth="1"/>
    <col min="11810" max="11810" width="14.42578125" style="148" customWidth="1"/>
    <col min="11811" max="11811" width="13.5703125" style="148" customWidth="1"/>
    <col min="11812" max="11812" width="13.28515625" style="148" customWidth="1"/>
    <col min="11813" max="11813" width="12.28515625" style="148" customWidth="1"/>
    <col min="11814" max="11814" width="12" style="148" customWidth="1"/>
    <col min="11815" max="12032" width="9.140625" style="148"/>
    <col min="12033" max="12033" width="0" style="148" hidden="1" customWidth="1"/>
    <col min="12034" max="12034" width="4.5703125" style="148" customWidth="1"/>
    <col min="12035" max="12035" width="56" style="148" customWidth="1"/>
    <col min="12036" max="12036" width="7.85546875" style="148" customWidth="1"/>
    <col min="12037" max="12037" width="9.28515625" style="148" customWidth="1"/>
    <col min="12038" max="12038" width="12" style="148" customWidth="1"/>
    <col min="12039" max="12039" width="16.5703125" style="148" customWidth="1"/>
    <col min="12040" max="12040" width="14.7109375" style="148" customWidth="1"/>
    <col min="12041" max="12041" width="10.85546875" style="148" customWidth="1"/>
    <col min="12042" max="12042" width="6.28515625" style="148" customWidth="1"/>
    <col min="12043" max="12043" width="77.28515625" style="148" customWidth="1"/>
    <col min="12044" max="12044" width="8.28515625" style="148" customWidth="1"/>
    <col min="12045" max="12045" width="8" style="148" customWidth="1"/>
    <col min="12046" max="12046" width="9.85546875" style="148" customWidth="1"/>
    <col min="12047" max="12047" width="9.140625" style="148" customWidth="1"/>
    <col min="12048" max="12048" width="9.7109375" style="148" customWidth="1"/>
    <col min="12049" max="12049" width="8.140625" style="148" customWidth="1"/>
    <col min="12050" max="12050" width="0" style="148" hidden="1" customWidth="1"/>
    <col min="12051" max="12052" width="11" style="148" customWidth="1"/>
    <col min="12053" max="12053" width="10.140625" style="148" customWidth="1"/>
    <col min="12054" max="12055" width="0" style="148" hidden="1" customWidth="1"/>
    <col min="12056" max="12056" width="11.42578125" style="148" customWidth="1"/>
    <col min="12057" max="12057" width="11.28515625" style="148" customWidth="1"/>
    <col min="12058" max="12058" width="10" style="148" customWidth="1"/>
    <col min="12059" max="12060" width="0" style="148" hidden="1" customWidth="1"/>
    <col min="12061" max="12061" width="10.85546875" style="148" customWidth="1"/>
    <col min="12062" max="12062" width="10.140625" style="148" customWidth="1"/>
    <col min="12063" max="12063" width="11.140625" style="148" customWidth="1"/>
    <col min="12064" max="12064" width="15.7109375" style="148" customWidth="1"/>
    <col min="12065" max="12065" width="2.140625" style="148" customWidth="1"/>
    <col min="12066" max="12066" width="14.42578125" style="148" customWidth="1"/>
    <col min="12067" max="12067" width="13.5703125" style="148" customWidth="1"/>
    <col min="12068" max="12068" width="13.28515625" style="148" customWidth="1"/>
    <col min="12069" max="12069" width="12.28515625" style="148" customWidth="1"/>
    <col min="12070" max="12070" width="12" style="148" customWidth="1"/>
    <col min="12071" max="12288" width="9.140625" style="148"/>
    <col min="12289" max="12289" width="0" style="148" hidden="1" customWidth="1"/>
    <col min="12290" max="12290" width="4.5703125" style="148" customWidth="1"/>
    <col min="12291" max="12291" width="56" style="148" customWidth="1"/>
    <col min="12292" max="12292" width="7.85546875" style="148" customWidth="1"/>
    <col min="12293" max="12293" width="9.28515625" style="148" customWidth="1"/>
    <col min="12294" max="12294" width="12" style="148" customWidth="1"/>
    <col min="12295" max="12295" width="16.5703125" style="148" customWidth="1"/>
    <col min="12296" max="12296" width="14.7109375" style="148" customWidth="1"/>
    <col min="12297" max="12297" width="10.85546875" style="148" customWidth="1"/>
    <col min="12298" max="12298" width="6.28515625" style="148" customWidth="1"/>
    <col min="12299" max="12299" width="77.28515625" style="148" customWidth="1"/>
    <col min="12300" max="12300" width="8.28515625" style="148" customWidth="1"/>
    <col min="12301" max="12301" width="8" style="148" customWidth="1"/>
    <col min="12302" max="12302" width="9.85546875" style="148" customWidth="1"/>
    <col min="12303" max="12303" width="9.140625" style="148" customWidth="1"/>
    <col min="12304" max="12304" width="9.7109375" style="148" customWidth="1"/>
    <col min="12305" max="12305" width="8.140625" style="148" customWidth="1"/>
    <col min="12306" max="12306" width="0" style="148" hidden="1" customWidth="1"/>
    <col min="12307" max="12308" width="11" style="148" customWidth="1"/>
    <col min="12309" max="12309" width="10.140625" style="148" customWidth="1"/>
    <col min="12310" max="12311" width="0" style="148" hidden="1" customWidth="1"/>
    <col min="12312" max="12312" width="11.42578125" style="148" customWidth="1"/>
    <col min="12313" max="12313" width="11.28515625" style="148" customWidth="1"/>
    <col min="12314" max="12314" width="10" style="148" customWidth="1"/>
    <col min="12315" max="12316" width="0" style="148" hidden="1" customWidth="1"/>
    <col min="12317" max="12317" width="10.85546875" style="148" customWidth="1"/>
    <col min="12318" max="12318" width="10.140625" style="148" customWidth="1"/>
    <col min="12319" max="12319" width="11.140625" style="148" customWidth="1"/>
    <col min="12320" max="12320" width="15.7109375" style="148" customWidth="1"/>
    <col min="12321" max="12321" width="2.140625" style="148" customWidth="1"/>
    <col min="12322" max="12322" width="14.42578125" style="148" customWidth="1"/>
    <col min="12323" max="12323" width="13.5703125" style="148" customWidth="1"/>
    <col min="12324" max="12324" width="13.28515625" style="148" customWidth="1"/>
    <col min="12325" max="12325" width="12.28515625" style="148" customWidth="1"/>
    <col min="12326" max="12326" width="12" style="148" customWidth="1"/>
    <col min="12327" max="12544" width="9.140625" style="148"/>
    <col min="12545" max="12545" width="0" style="148" hidden="1" customWidth="1"/>
    <col min="12546" max="12546" width="4.5703125" style="148" customWidth="1"/>
    <col min="12547" max="12547" width="56" style="148" customWidth="1"/>
    <col min="12548" max="12548" width="7.85546875" style="148" customWidth="1"/>
    <col min="12549" max="12549" width="9.28515625" style="148" customWidth="1"/>
    <col min="12550" max="12550" width="12" style="148" customWidth="1"/>
    <col min="12551" max="12551" width="16.5703125" style="148" customWidth="1"/>
    <col min="12552" max="12552" width="14.7109375" style="148" customWidth="1"/>
    <col min="12553" max="12553" width="10.85546875" style="148" customWidth="1"/>
    <col min="12554" max="12554" width="6.28515625" style="148" customWidth="1"/>
    <col min="12555" max="12555" width="77.28515625" style="148" customWidth="1"/>
    <col min="12556" max="12556" width="8.28515625" style="148" customWidth="1"/>
    <col min="12557" max="12557" width="8" style="148" customWidth="1"/>
    <col min="12558" max="12558" width="9.85546875" style="148" customWidth="1"/>
    <col min="12559" max="12559" width="9.140625" style="148" customWidth="1"/>
    <col min="12560" max="12560" width="9.7109375" style="148" customWidth="1"/>
    <col min="12561" max="12561" width="8.140625" style="148" customWidth="1"/>
    <col min="12562" max="12562" width="0" style="148" hidden="1" customWidth="1"/>
    <col min="12563" max="12564" width="11" style="148" customWidth="1"/>
    <col min="12565" max="12565" width="10.140625" style="148" customWidth="1"/>
    <col min="12566" max="12567" width="0" style="148" hidden="1" customWidth="1"/>
    <col min="12568" max="12568" width="11.42578125" style="148" customWidth="1"/>
    <col min="12569" max="12569" width="11.28515625" style="148" customWidth="1"/>
    <col min="12570" max="12570" width="10" style="148" customWidth="1"/>
    <col min="12571" max="12572" width="0" style="148" hidden="1" customWidth="1"/>
    <col min="12573" max="12573" width="10.85546875" style="148" customWidth="1"/>
    <col min="12574" max="12574" width="10.140625" style="148" customWidth="1"/>
    <col min="12575" max="12575" width="11.140625" style="148" customWidth="1"/>
    <col min="12576" max="12576" width="15.7109375" style="148" customWidth="1"/>
    <col min="12577" max="12577" width="2.140625" style="148" customWidth="1"/>
    <col min="12578" max="12578" width="14.42578125" style="148" customWidth="1"/>
    <col min="12579" max="12579" width="13.5703125" style="148" customWidth="1"/>
    <col min="12580" max="12580" width="13.28515625" style="148" customWidth="1"/>
    <col min="12581" max="12581" width="12.28515625" style="148" customWidth="1"/>
    <col min="12582" max="12582" width="12" style="148" customWidth="1"/>
    <col min="12583" max="12800" width="9.140625" style="148"/>
    <col min="12801" max="12801" width="0" style="148" hidden="1" customWidth="1"/>
    <col min="12802" max="12802" width="4.5703125" style="148" customWidth="1"/>
    <col min="12803" max="12803" width="56" style="148" customWidth="1"/>
    <col min="12804" max="12804" width="7.85546875" style="148" customWidth="1"/>
    <col min="12805" max="12805" width="9.28515625" style="148" customWidth="1"/>
    <col min="12806" max="12806" width="12" style="148" customWidth="1"/>
    <col min="12807" max="12807" width="16.5703125" style="148" customWidth="1"/>
    <col min="12808" max="12808" width="14.7109375" style="148" customWidth="1"/>
    <col min="12809" max="12809" width="10.85546875" style="148" customWidth="1"/>
    <col min="12810" max="12810" width="6.28515625" style="148" customWidth="1"/>
    <col min="12811" max="12811" width="77.28515625" style="148" customWidth="1"/>
    <col min="12812" max="12812" width="8.28515625" style="148" customWidth="1"/>
    <col min="12813" max="12813" width="8" style="148" customWidth="1"/>
    <col min="12814" max="12814" width="9.85546875" style="148" customWidth="1"/>
    <col min="12815" max="12815" width="9.140625" style="148" customWidth="1"/>
    <col min="12816" max="12816" width="9.7109375" style="148" customWidth="1"/>
    <col min="12817" max="12817" width="8.140625" style="148" customWidth="1"/>
    <col min="12818" max="12818" width="0" style="148" hidden="1" customWidth="1"/>
    <col min="12819" max="12820" width="11" style="148" customWidth="1"/>
    <col min="12821" max="12821" width="10.140625" style="148" customWidth="1"/>
    <col min="12822" max="12823" width="0" style="148" hidden="1" customWidth="1"/>
    <col min="12824" max="12824" width="11.42578125" style="148" customWidth="1"/>
    <col min="12825" max="12825" width="11.28515625" style="148" customWidth="1"/>
    <col min="12826" max="12826" width="10" style="148" customWidth="1"/>
    <col min="12827" max="12828" width="0" style="148" hidden="1" customWidth="1"/>
    <col min="12829" max="12829" width="10.85546875" style="148" customWidth="1"/>
    <col min="12830" max="12830" width="10.140625" style="148" customWidth="1"/>
    <col min="12831" max="12831" width="11.140625" style="148" customWidth="1"/>
    <col min="12832" max="12832" width="15.7109375" style="148" customWidth="1"/>
    <col min="12833" max="12833" width="2.140625" style="148" customWidth="1"/>
    <col min="12834" max="12834" width="14.42578125" style="148" customWidth="1"/>
    <col min="12835" max="12835" width="13.5703125" style="148" customWidth="1"/>
    <col min="12836" max="12836" width="13.28515625" style="148" customWidth="1"/>
    <col min="12837" max="12837" width="12.28515625" style="148" customWidth="1"/>
    <col min="12838" max="12838" width="12" style="148" customWidth="1"/>
    <col min="12839" max="13056" width="9.140625" style="148"/>
    <col min="13057" max="13057" width="0" style="148" hidden="1" customWidth="1"/>
    <col min="13058" max="13058" width="4.5703125" style="148" customWidth="1"/>
    <col min="13059" max="13059" width="56" style="148" customWidth="1"/>
    <col min="13060" max="13060" width="7.85546875" style="148" customWidth="1"/>
    <col min="13061" max="13061" width="9.28515625" style="148" customWidth="1"/>
    <col min="13062" max="13062" width="12" style="148" customWidth="1"/>
    <col min="13063" max="13063" width="16.5703125" style="148" customWidth="1"/>
    <col min="13064" max="13064" width="14.7109375" style="148" customWidth="1"/>
    <col min="13065" max="13065" width="10.85546875" style="148" customWidth="1"/>
    <col min="13066" max="13066" width="6.28515625" style="148" customWidth="1"/>
    <col min="13067" max="13067" width="77.28515625" style="148" customWidth="1"/>
    <col min="13068" max="13068" width="8.28515625" style="148" customWidth="1"/>
    <col min="13069" max="13069" width="8" style="148" customWidth="1"/>
    <col min="13070" max="13070" width="9.85546875" style="148" customWidth="1"/>
    <col min="13071" max="13071" width="9.140625" style="148" customWidth="1"/>
    <col min="13072" max="13072" width="9.7109375" style="148" customWidth="1"/>
    <col min="13073" max="13073" width="8.140625" style="148" customWidth="1"/>
    <col min="13074" max="13074" width="0" style="148" hidden="1" customWidth="1"/>
    <col min="13075" max="13076" width="11" style="148" customWidth="1"/>
    <col min="13077" max="13077" width="10.140625" style="148" customWidth="1"/>
    <col min="13078" max="13079" width="0" style="148" hidden="1" customWidth="1"/>
    <col min="13080" max="13080" width="11.42578125" style="148" customWidth="1"/>
    <col min="13081" max="13081" width="11.28515625" style="148" customWidth="1"/>
    <col min="13082" max="13082" width="10" style="148" customWidth="1"/>
    <col min="13083" max="13084" width="0" style="148" hidden="1" customWidth="1"/>
    <col min="13085" max="13085" width="10.85546875" style="148" customWidth="1"/>
    <col min="13086" max="13086" width="10.140625" style="148" customWidth="1"/>
    <col min="13087" max="13087" width="11.140625" style="148" customWidth="1"/>
    <col min="13088" max="13088" width="15.7109375" style="148" customWidth="1"/>
    <col min="13089" max="13089" width="2.140625" style="148" customWidth="1"/>
    <col min="13090" max="13090" width="14.42578125" style="148" customWidth="1"/>
    <col min="13091" max="13091" width="13.5703125" style="148" customWidth="1"/>
    <col min="13092" max="13092" width="13.28515625" style="148" customWidth="1"/>
    <col min="13093" max="13093" width="12.28515625" style="148" customWidth="1"/>
    <col min="13094" max="13094" width="12" style="148" customWidth="1"/>
    <col min="13095" max="13312" width="9.140625" style="148"/>
    <col min="13313" max="13313" width="0" style="148" hidden="1" customWidth="1"/>
    <col min="13314" max="13314" width="4.5703125" style="148" customWidth="1"/>
    <col min="13315" max="13315" width="56" style="148" customWidth="1"/>
    <col min="13316" max="13316" width="7.85546875" style="148" customWidth="1"/>
    <col min="13317" max="13317" width="9.28515625" style="148" customWidth="1"/>
    <col min="13318" max="13318" width="12" style="148" customWidth="1"/>
    <col min="13319" max="13319" width="16.5703125" style="148" customWidth="1"/>
    <col min="13320" max="13320" width="14.7109375" style="148" customWidth="1"/>
    <col min="13321" max="13321" width="10.85546875" style="148" customWidth="1"/>
    <col min="13322" max="13322" width="6.28515625" style="148" customWidth="1"/>
    <col min="13323" max="13323" width="77.28515625" style="148" customWidth="1"/>
    <col min="13324" max="13324" width="8.28515625" style="148" customWidth="1"/>
    <col min="13325" max="13325" width="8" style="148" customWidth="1"/>
    <col min="13326" max="13326" width="9.85546875" style="148" customWidth="1"/>
    <col min="13327" max="13327" width="9.140625" style="148" customWidth="1"/>
    <col min="13328" max="13328" width="9.7109375" style="148" customWidth="1"/>
    <col min="13329" max="13329" width="8.140625" style="148" customWidth="1"/>
    <col min="13330" max="13330" width="0" style="148" hidden="1" customWidth="1"/>
    <col min="13331" max="13332" width="11" style="148" customWidth="1"/>
    <col min="13333" max="13333" width="10.140625" style="148" customWidth="1"/>
    <col min="13334" max="13335" width="0" style="148" hidden="1" customWidth="1"/>
    <col min="13336" max="13336" width="11.42578125" style="148" customWidth="1"/>
    <col min="13337" max="13337" width="11.28515625" style="148" customWidth="1"/>
    <col min="13338" max="13338" width="10" style="148" customWidth="1"/>
    <col min="13339" max="13340" width="0" style="148" hidden="1" customWidth="1"/>
    <col min="13341" max="13341" width="10.85546875" style="148" customWidth="1"/>
    <col min="13342" max="13342" width="10.140625" style="148" customWidth="1"/>
    <col min="13343" max="13343" width="11.140625" style="148" customWidth="1"/>
    <col min="13344" max="13344" width="15.7109375" style="148" customWidth="1"/>
    <col min="13345" max="13345" width="2.140625" style="148" customWidth="1"/>
    <col min="13346" max="13346" width="14.42578125" style="148" customWidth="1"/>
    <col min="13347" max="13347" width="13.5703125" style="148" customWidth="1"/>
    <col min="13348" max="13348" width="13.28515625" style="148" customWidth="1"/>
    <col min="13349" max="13349" width="12.28515625" style="148" customWidth="1"/>
    <col min="13350" max="13350" width="12" style="148" customWidth="1"/>
    <col min="13351" max="13568" width="9.140625" style="148"/>
    <col min="13569" max="13569" width="0" style="148" hidden="1" customWidth="1"/>
    <col min="13570" max="13570" width="4.5703125" style="148" customWidth="1"/>
    <col min="13571" max="13571" width="56" style="148" customWidth="1"/>
    <col min="13572" max="13572" width="7.85546875" style="148" customWidth="1"/>
    <col min="13573" max="13573" width="9.28515625" style="148" customWidth="1"/>
    <col min="13574" max="13574" width="12" style="148" customWidth="1"/>
    <col min="13575" max="13575" width="16.5703125" style="148" customWidth="1"/>
    <col min="13576" max="13576" width="14.7109375" style="148" customWidth="1"/>
    <col min="13577" max="13577" width="10.85546875" style="148" customWidth="1"/>
    <col min="13578" max="13578" width="6.28515625" style="148" customWidth="1"/>
    <col min="13579" max="13579" width="77.28515625" style="148" customWidth="1"/>
    <col min="13580" max="13580" width="8.28515625" style="148" customWidth="1"/>
    <col min="13581" max="13581" width="8" style="148" customWidth="1"/>
    <col min="13582" max="13582" width="9.85546875" style="148" customWidth="1"/>
    <col min="13583" max="13583" width="9.140625" style="148" customWidth="1"/>
    <col min="13584" max="13584" width="9.7109375" style="148" customWidth="1"/>
    <col min="13585" max="13585" width="8.140625" style="148" customWidth="1"/>
    <col min="13586" max="13586" width="0" style="148" hidden="1" customWidth="1"/>
    <col min="13587" max="13588" width="11" style="148" customWidth="1"/>
    <col min="13589" max="13589" width="10.140625" style="148" customWidth="1"/>
    <col min="13590" max="13591" width="0" style="148" hidden="1" customWidth="1"/>
    <col min="13592" max="13592" width="11.42578125" style="148" customWidth="1"/>
    <col min="13593" max="13593" width="11.28515625" style="148" customWidth="1"/>
    <col min="13594" max="13594" width="10" style="148" customWidth="1"/>
    <col min="13595" max="13596" width="0" style="148" hidden="1" customWidth="1"/>
    <col min="13597" max="13597" width="10.85546875" style="148" customWidth="1"/>
    <col min="13598" max="13598" width="10.140625" style="148" customWidth="1"/>
    <col min="13599" max="13599" width="11.140625" style="148" customWidth="1"/>
    <col min="13600" max="13600" width="15.7109375" style="148" customWidth="1"/>
    <col min="13601" max="13601" width="2.140625" style="148" customWidth="1"/>
    <col min="13602" max="13602" width="14.42578125" style="148" customWidth="1"/>
    <col min="13603" max="13603" width="13.5703125" style="148" customWidth="1"/>
    <col min="13604" max="13604" width="13.28515625" style="148" customWidth="1"/>
    <col min="13605" max="13605" width="12.28515625" style="148" customWidth="1"/>
    <col min="13606" max="13606" width="12" style="148" customWidth="1"/>
    <col min="13607" max="13824" width="9.140625" style="148"/>
    <col min="13825" max="13825" width="0" style="148" hidden="1" customWidth="1"/>
    <col min="13826" max="13826" width="4.5703125" style="148" customWidth="1"/>
    <col min="13827" max="13827" width="56" style="148" customWidth="1"/>
    <col min="13828" max="13828" width="7.85546875" style="148" customWidth="1"/>
    <col min="13829" max="13829" width="9.28515625" style="148" customWidth="1"/>
    <col min="13830" max="13830" width="12" style="148" customWidth="1"/>
    <col min="13831" max="13831" width="16.5703125" style="148" customWidth="1"/>
    <col min="13832" max="13832" width="14.7109375" style="148" customWidth="1"/>
    <col min="13833" max="13833" width="10.85546875" style="148" customWidth="1"/>
    <col min="13834" max="13834" width="6.28515625" style="148" customWidth="1"/>
    <col min="13835" max="13835" width="77.28515625" style="148" customWidth="1"/>
    <col min="13836" max="13836" width="8.28515625" style="148" customWidth="1"/>
    <col min="13837" max="13837" width="8" style="148" customWidth="1"/>
    <col min="13838" max="13838" width="9.85546875" style="148" customWidth="1"/>
    <col min="13839" max="13839" width="9.140625" style="148" customWidth="1"/>
    <col min="13840" max="13840" width="9.7109375" style="148" customWidth="1"/>
    <col min="13841" max="13841" width="8.140625" style="148" customWidth="1"/>
    <col min="13842" max="13842" width="0" style="148" hidden="1" customWidth="1"/>
    <col min="13843" max="13844" width="11" style="148" customWidth="1"/>
    <col min="13845" max="13845" width="10.140625" style="148" customWidth="1"/>
    <col min="13846" max="13847" width="0" style="148" hidden="1" customWidth="1"/>
    <col min="13848" max="13848" width="11.42578125" style="148" customWidth="1"/>
    <col min="13849" max="13849" width="11.28515625" style="148" customWidth="1"/>
    <col min="13850" max="13850" width="10" style="148" customWidth="1"/>
    <col min="13851" max="13852" width="0" style="148" hidden="1" customWidth="1"/>
    <col min="13853" max="13853" width="10.85546875" style="148" customWidth="1"/>
    <col min="13854" max="13854" width="10.140625" style="148" customWidth="1"/>
    <col min="13855" max="13855" width="11.140625" style="148" customWidth="1"/>
    <col min="13856" max="13856" width="15.7109375" style="148" customWidth="1"/>
    <col min="13857" max="13857" width="2.140625" style="148" customWidth="1"/>
    <col min="13858" max="13858" width="14.42578125" style="148" customWidth="1"/>
    <col min="13859" max="13859" width="13.5703125" style="148" customWidth="1"/>
    <col min="13860" max="13860" width="13.28515625" style="148" customWidth="1"/>
    <col min="13861" max="13861" width="12.28515625" style="148" customWidth="1"/>
    <col min="13862" max="13862" width="12" style="148" customWidth="1"/>
    <col min="13863" max="14080" width="9.140625" style="148"/>
    <col min="14081" max="14081" width="0" style="148" hidden="1" customWidth="1"/>
    <col min="14082" max="14082" width="4.5703125" style="148" customWidth="1"/>
    <col min="14083" max="14083" width="56" style="148" customWidth="1"/>
    <col min="14084" max="14084" width="7.85546875" style="148" customWidth="1"/>
    <col min="14085" max="14085" width="9.28515625" style="148" customWidth="1"/>
    <col min="14086" max="14086" width="12" style="148" customWidth="1"/>
    <col min="14087" max="14087" width="16.5703125" style="148" customWidth="1"/>
    <col min="14088" max="14088" width="14.7109375" style="148" customWidth="1"/>
    <col min="14089" max="14089" width="10.85546875" style="148" customWidth="1"/>
    <col min="14090" max="14090" width="6.28515625" style="148" customWidth="1"/>
    <col min="14091" max="14091" width="77.28515625" style="148" customWidth="1"/>
    <col min="14092" max="14092" width="8.28515625" style="148" customWidth="1"/>
    <col min="14093" max="14093" width="8" style="148" customWidth="1"/>
    <col min="14094" max="14094" width="9.85546875" style="148" customWidth="1"/>
    <col min="14095" max="14095" width="9.140625" style="148" customWidth="1"/>
    <col min="14096" max="14096" width="9.7109375" style="148" customWidth="1"/>
    <col min="14097" max="14097" width="8.140625" style="148" customWidth="1"/>
    <col min="14098" max="14098" width="0" style="148" hidden="1" customWidth="1"/>
    <col min="14099" max="14100" width="11" style="148" customWidth="1"/>
    <col min="14101" max="14101" width="10.140625" style="148" customWidth="1"/>
    <col min="14102" max="14103" width="0" style="148" hidden="1" customWidth="1"/>
    <col min="14104" max="14104" width="11.42578125" style="148" customWidth="1"/>
    <col min="14105" max="14105" width="11.28515625" style="148" customWidth="1"/>
    <col min="14106" max="14106" width="10" style="148" customWidth="1"/>
    <col min="14107" max="14108" width="0" style="148" hidden="1" customWidth="1"/>
    <col min="14109" max="14109" width="10.85546875" style="148" customWidth="1"/>
    <col min="14110" max="14110" width="10.140625" style="148" customWidth="1"/>
    <col min="14111" max="14111" width="11.140625" style="148" customWidth="1"/>
    <col min="14112" max="14112" width="15.7109375" style="148" customWidth="1"/>
    <col min="14113" max="14113" width="2.140625" style="148" customWidth="1"/>
    <col min="14114" max="14114" width="14.42578125" style="148" customWidth="1"/>
    <col min="14115" max="14115" width="13.5703125" style="148" customWidth="1"/>
    <col min="14116" max="14116" width="13.28515625" style="148" customWidth="1"/>
    <col min="14117" max="14117" width="12.28515625" style="148" customWidth="1"/>
    <col min="14118" max="14118" width="12" style="148" customWidth="1"/>
    <col min="14119" max="14336" width="9.140625" style="148"/>
    <col min="14337" max="14337" width="0" style="148" hidden="1" customWidth="1"/>
    <col min="14338" max="14338" width="4.5703125" style="148" customWidth="1"/>
    <col min="14339" max="14339" width="56" style="148" customWidth="1"/>
    <col min="14340" max="14340" width="7.85546875" style="148" customWidth="1"/>
    <col min="14341" max="14341" width="9.28515625" style="148" customWidth="1"/>
    <col min="14342" max="14342" width="12" style="148" customWidth="1"/>
    <col min="14343" max="14343" width="16.5703125" style="148" customWidth="1"/>
    <col min="14344" max="14344" width="14.7109375" style="148" customWidth="1"/>
    <col min="14345" max="14345" width="10.85546875" style="148" customWidth="1"/>
    <col min="14346" max="14346" width="6.28515625" style="148" customWidth="1"/>
    <col min="14347" max="14347" width="77.28515625" style="148" customWidth="1"/>
    <col min="14348" max="14348" width="8.28515625" style="148" customWidth="1"/>
    <col min="14349" max="14349" width="8" style="148" customWidth="1"/>
    <col min="14350" max="14350" width="9.85546875" style="148" customWidth="1"/>
    <col min="14351" max="14351" width="9.140625" style="148" customWidth="1"/>
    <col min="14352" max="14352" width="9.7109375" style="148" customWidth="1"/>
    <col min="14353" max="14353" width="8.140625" style="148" customWidth="1"/>
    <col min="14354" max="14354" width="0" style="148" hidden="1" customWidth="1"/>
    <col min="14355" max="14356" width="11" style="148" customWidth="1"/>
    <col min="14357" max="14357" width="10.140625" style="148" customWidth="1"/>
    <col min="14358" max="14359" width="0" style="148" hidden="1" customWidth="1"/>
    <col min="14360" max="14360" width="11.42578125" style="148" customWidth="1"/>
    <col min="14361" max="14361" width="11.28515625" style="148" customWidth="1"/>
    <col min="14362" max="14362" width="10" style="148" customWidth="1"/>
    <col min="14363" max="14364" width="0" style="148" hidden="1" customWidth="1"/>
    <col min="14365" max="14365" width="10.85546875" style="148" customWidth="1"/>
    <col min="14366" max="14366" width="10.140625" style="148" customWidth="1"/>
    <col min="14367" max="14367" width="11.140625" style="148" customWidth="1"/>
    <col min="14368" max="14368" width="15.7109375" style="148" customWidth="1"/>
    <col min="14369" max="14369" width="2.140625" style="148" customWidth="1"/>
    <col min="14370" max="14370" width="14.42578125" style="148" customWidth="1"/>
    <col min="14371" max="14371" width="13.5703125" style="148" customWidth="1"/>
    <col min="14372" max="14372" width="13.28515625" style="148" customWidth="1"/>
    <col min="14373" max="14373" width="12.28515625" style="148" customWidth="1"/>
    <col min="14374" max="14374" width="12" style="148" customWidth="1"/>
    <col min="14375" max="14592" width="9.140625" style="148"/>
    <col min="14593" max="14593" width="0" style="148" hidden="1" customWidth="1"/>
    <col min="14594" max="14594" width="4.5703125" style="148" customWidth="1"/>
    <col min="14595" max="14595" width="56" style="148" customWidth="1"/>
    <col min="14596" max="14596" width="7.85546875" style="148" customWidth="1"/>
    <col min="14597" max="14597" width="9.28515625" style="148" customWidth="1"/>
    <col min="14598" max="14598" width="12" style="148" customWidth="1"/>
    <col min="14599" max="14599" width="16.5703125" style="148" customWidth="1"/>
    <col min="14600" max="14600" width="14.7109375" style="148" customWidth="1"/>
    <col min="14601" max="14601" width="10.85546875" style="148" customWidth="1"/>
    <col min="14602" max="14602" width="6.28515625" style="148" customWidth="1"/>
    <col min="14603" max="14603" width="77.28515625" style="148" customWidth="1"/>
    <col min="14604" max="14604" width="8.28515625" style="148" customWidth="1"/>
    <col min="14605" max="14605" width="8" style="148" customWidth="1"/>
    <col min="14606" max="14606" width="9.85546875" style="148" customWidth="1"/>
    <col min="14607" max="14607" width="9.140625" style="148" customWidth="1"/>
    <col min="14608" max="14608" width="9.7109375" style="148" customWidth="1"/>
    <col min="14609" max="14609" width="8.140625" style="148" customWidth="1"/>
    <col min="14610" max="14610" width="0" style="148" hidden="1" customWidth="1"/>
    <col min="14611" max="14612" width="11" style="148" customWidth="1"/>
    <col min="14613" max="14613" width="10.140625" style="148" customWidth="1"/>
    <col min="14614" max="14615" width="0" style="148" hidden="1" customWidth="1"/>
    <col min="14616" max="14616" width="11.42578125" style="148" customWidth="1"/>
    <col min="14617" max="14617" width="11.28515625" style="148" customWidth="1"/>
    <col min="14618" max="14618" width="10" style="148" customWidth="1"/>
    <col min="14619" max="14620" width="0" style="148" hidden="1" customWidth="1"/>
    <col min="14621" max="14621" width="10.85546875" style="148" customWidth="1"/>
    <col min="14622" max="14622" width="10.140625" style="148" customWidth="1"/>
    <col min="14623" max="14623" width="11.140625" style="148" customWidth="1"/>
    <col min="14624" max="14624" width="15.7109375" style="148" customWidth="1"/>
    <col min="14625" max="14625" width="2.140625" style="148" customWidth="1"/>
    <col min="14626" max="14626" width="14.42578125" style="148" customWidth="1"/>
    <col min="14627" max="14627" width="13.5703125" style="148" customWidth="1"/>
    <col min="14628" max="14628" width="13.28515625" style="148" customWidth="1"/>
    <col min="14629" max="14629" width="12.28515625" style="148" customWidth="1"/>
    <col min="14630" max="14630" width="12" style="148" customWidth="1"/>
    <col min="14631" max="14848" width="9.140625" style="148"/>
    <col min="14849" max="14849" width="0" style="148" hidden="1" customWidth="1"/>
    <col min="14850" max="14850" width="4.5703125" style="148" customWidth="1"/>
    <col min="14851" max="14851" width="56" style="148" customWidth="1"/>
    <col min="14852" max="14852" width="7.85546875" style="148" customWidth="1"/>
    <col min="14853" max="14853" width="9.28515625" style="148" customWidth="1"/>
    <col min="14854" max="14854" width="12" style="148" customWidth="1"/>
    <col min="14855" max="14855" width="16.5703125" style="148" customWidth="1"/>
    <col min="14856" max="14856" width="14.7109375" style="148" customWidth="1"/>
    <col min="14857" max="14857" width="10.85546875" style="148" customWidth="1"/>
    <col min="14858" max="14858" width="6.28515625" style="148" customWidth="1"/>
    <col min="14859" max="14859" width="77.28515625" style="148" customWidth="1"/>
    <col min="14860" max="14860" width="8.28515625" style="148" customWidth="1"/>
    <col min="14861" max="14861" width="8" style="148" customWidth="1"/>
    <col min="14862" max="14862" width="9.85546875" style="148" customWidth="1"/>
    <col min="14863" max="14863" width="9.140625" style="148" customWidth="1"/>
    <col min="14864" max="14864" width="9.7109375" style="148" customWidth="1"/>
    <col min="14865" max="14865" width="8.140625" style="148" customWidth="1"/>
    <col min="14866" max="14866" width="0" style="148" hidden="1" customWidth="1"/>
    <col min="14867" max="14868" width="11" style="148" customWidth="1"/>
    <col min="14869" max="14869" width="10.140625" style="148" customWidth="1"/>
    <col min="14870" max="14871" width="0" style="148" hidden="1" customWidth="1"/>
    <col min="14872" max="14872" width="11.42578125" style="148" customWidth="1"/>
    <col min="14873" max="14873" width="11.28515625" style="148" customWidth="1"/>
    <col min="14874" max="14874" width="10" style="148" customWidth="1"/>
    <col min="14875" max="14876" width="0" style="148" hidden="1" customWidth="1"/>
    <col min="14877" max="14877" width="10.85546875" style="148" customWidth="1"/>
    <col min="14878" max="14878" width="10.140625" style="148" customWidth="1"/>
    <col min="14879" max="14879" width="11.140625" style="148" customWidth="1"/>
    <col min="14880" max="14880" width="15.7109375" style="148" customWidth="1"/>
    <col min="14881" max="14881" width="2.140625" style="148" customWidth="1"/>
    <col min="14882" max="14882" width="14.42578125" style="148" customWidth="1"/>
    <col min="14883" max="14883" width="13.5703125" style="148" customWidth="1"/>
    <col min="14884" max="14884" width="13.28515625" style="148" customWidth="1"/>
    <col min="14885" max="14885" width="12.28515625" style="148" customWidth="1"/>
    <col min="14886" max="14886" width="12" style="148" customWidth="1"/>
    <col min="14887" max="15104" width="9.140625" style="148"/>
    <col min="15105" max="15105" width="0" style="148" hidden="1" customWidth="1"/>
    <col min="15106" max="15106" width="4.5703125" style="148" customWidth="1"/>
    <col min="15107" max="15107" width="56" style="148" customWidth="1"/>
    <col min="15108" max="15108" width="7.85546875" style="148" customWidth="1"/>
    <col min="15109" max="15109" width="9.28515625" style="148" customWidth="1"/>
    <col min="15110" max="15110" width="12" style="148" customWidth="1"/>
    <col min="15111" max="15111" width="16.5703125" style="148" customWidth="1"/>
    <col min="15112" max="15112" width="14.7109375" style="148" customWidth="1"/>
    <col min="15113" max="15113" width="10.85546875" style="148" customWidth="1"/>
    <col min="15114" max="15114" width="6.28515625" style="148" customWidth="1"/>
    <col min="15115" max="15115" width="77.28515625" style="148" customWidth="1"/>
    <col min="15116" max="15116" width="8.28515625" style="148" customWidth="1"/>
    <col min="15117" max="15117" width="8" style="148" customWidth="1"/>
    <col min="15118" max="15118" width="9.85546875" style="148" customWidth="1"/>
    <col min="15119" max="15119" width="9.140625" style="148" customWidth="1"/>
    <col min="15120" max="15120" width="9.7109375" style="148" customWidth="1"/>
    <col min="15121" max="15121" width="8.140625" style="148" customWidth="1"/>
    <col min="15122" max="15122" width="0" style="148" hidden="1" customWidth="1"/>
    <col min="15123" max="15124" width="11" style="148" customWidth="1"/>
    <col min="15125" max="15125" width="10.140625" style="148" customWidth="1"/>
    <col min="15126" max="15127" width="0" style="148" hidden="1" customWidth="1"/>
    <col min="15128" max="15128" width="11.42578125" style="148" customWidth="1"/>
    <col min="15129" max="15129" width="11.28515625" style="148" customWidth="1"/>
    <col min="15130" max="15130" width="10" style="148" customWidth="1"/>
    <col min="15131" max="15132" width="0" style="148" hidden="1" customWidth="1"/>
    <col min="15133" max="15133" width="10.85546875" style="148" customWidth="1"/>
    <col min="15134" max="15134" width="10.140625" style="148" customWidth="1"/>
    <col min="15135" max="15135" width="11.140625" style="148" customWidth="1"/>
    <col min="15136" max="15136" width="15.7109375" style="148" customWidth="1"/>
    <col min="15137" max="15137" width="2.140625" style="148" customWidth="1"/>
    <col min="15138" max="15138" width="14.42578125" style="148" customWidth="1"/>
    <col min="15139" max="15139" width="13.5703125" style="148" customWidth="1"/>
    <col min="15140" max="15140" width="13.28515625" style="148" customWidth="1"/>
    <col min="15141" max="15141" width="12.28515625" style="148" customWidth="1"/>
    <col min="15142" max="15142" width="12" style="148" customWidth="1"/>
    <col min="15143" max="15360" width="9.140625" style="148"/>
    <col min="15361" max="15361" width="0" style="148" hidden="1" customWidth="1"/>
    <col min="15362" max="15362" width="4.5703125" style="148" customWidth="1"/>
    <col min="15363" max="15363" width="56" style="148" customWidth="1"/>
    <col min="15364" max="15364" width="7.85546875" style="148" customWidth="1"/>
    <col min="15365" max="15365" width="9.28515625" style="148" customWidth="1"/>
    <col min="15366" max="15366" width="12" style="148" customWidth="1"/>
    <col min="15367" max="15367" width="16.5703125" style="148" customWidth="1"/>
    <col min="15368" max="15368" width="14.7109375" style="148" customWidth="1"/>
    <col min="15369" max="15369" width="10.85546875" style="148" customWidth="1"/>
    <col min="15370" max="15370" width="6.28515625" style="148" customWidth="1"/>
    <col min="15371" max="15371" width="77.28515625" style="148" customWidth="1"/>
    <col min="15372" max="15372" width="8.28515625" style="148" customWidth="1"/>
    <col min="15373" max="15373" width="8" style="148" customWidth="1"/>
    <col min="15374" max="15374" width="9.85546875" style="148" customWidth="1"/>
    <col min="15375" max="15375" width="9.140625" style="148" customWidth="1"/>
    <col min="15376" max="15376" width="9.7109375" style="148" customWidth="1"/>
    <col min="15377" max="15377" width="8.140625" style="148" customWidth="1"/>
    <col min="15378" max="15378" width="0" style="148" hidden="1" customWidth="1"/>
    <col min="15379" max="15380" width="11" style="148" customWidth="1"/>
    <col min="15381" max="15381" width="10.140625" style="148" customWidth="1"/>
    <col min="15382" max="15383" width="0" style="148" hidden="1" customWidth="1"/>
    <col min="15384" max="15384" width="11.42578125" style="148" customWidth="1"/>
    <col min="15385" max="15385" width="11.28515625" style="148" customWidth="1"/>
    <col min="15386" max="15386" width="10" style="148" customWidth="1"/>
    <col min="15387" max="15388" width="0" style="148" hidden="1" customWidth="1"/>
    <col min="15389" max="15389" width="10.85546875" style="148" customWidth="1"/>
    <col min="15390" max="15390" width="10.140625" style="148" customWidth="1"/>
    <col min="15391" max="15391" width="11.140625" style="148" customWidth="1"/>
    <col min="15392" max="15392" width="15.7109375" style="148" customWidth="1"/>
    <col min="15393" max="15393" width="2.140625" style="148" customWidth="1"/>
    <col min="15394" max="15394" width="14.42578125" style="148" customWidth="1"/>
    <col min="15395" max="15395" width="13.5703125" style="148" customWidth="1"/>
    <col min="15396" max="15396" width="13.28515625" style="148" customWidth="1"/>
    <col min="15397" max="15397" width="12.28515625" style="148" customWidth="1"/>
    <col min="15398" max="15398" width="12" style="148" customWidth="1"/>
    <col min="15399" max="15616" width="9.140625" style="148"/>
    <col min="15617" max="15617" width="0" style="148" hidden="1" customWidth="1"/>
    <col min="15618" max="15618" width="4.5703125" style="148" customWidth="1"/>
    <col min="15619" max="15619" width="56" style="148" customWidth="1"/>
    <col min="15620" max="15620" width="7.85546875" style="148" customWidth="1"/>
    <col min="15621" max="15621" width="9.28515625" style="148" customWidth="1"/>
    <col min="15622" max="15622" width="12" style="148" customWidth="1"/>
    <col min="15623" max="15623" width="16.5703125" style="148" customWidth="1"/>
    <col min="15624" max="15624" width="14.7109375" style="148" customWidth="1"/>
    <col min="15625" max="15625" width="10.85546875" style="148" customWidth="1"/>
    <col min="15626" max="15626" width="6.28515625" style="148" customWidth="1"/>
    <col min="15627" max="15627" width="77.28515625" style="148" customWidth="1"/>
    <col min="15628" max="15628" width="8.28515625" style="148" customWidth="1"/>
    <col min="15629" max="15629" width="8" style="148" customWidth="1"/>
    <col min="15630" max="15630" width="9.85546875" style="148" customWidth="1"/>
    <col min="15631" max="15631" width="9.140625" style="148" customWidth="1"/>
    <col min="15632" max="15632" width="9.7109375" style="148" customWidth="1"/>
    <col min="15633" max="15633" width="8.140625" style="148" customWidth="1"/>
    <col min="15634" max="15634" width="0" style="148" hidden="1" customWidth="1"/>
    <col min="15635" max="15636" width="11" style="148" customWidth="1"/>
    <col min="15637" max="15637" width="10.140625" style="148" customWidth="1"/>
    <col min="15638" max="15639" width="0" style="148" hidden="1" customWidth="1"/>
    <col min="15640" max="15640" width="11.42578125" style="148" customWidth="1"/>
    <col min="15641" max="15641" width="11.28515625" style="148" customWidth="1"/>
    <col min="15642" max="15642" width="10" style="148" customWidth="1"/>
    <col min="15643" max="15644" width="0" style="148" hidden="1" customWidth="1"/>
    <col min="15645" max="15645" width="10.85546875" style="148" customWidth="1"/>
    <col min="15646" max="15646" width="10.140625" style="148" customWidth="1"/>
    <col min="15647" max="15647" width="11.140625" style="148" customWidth="1"/>
    <col min="15648" max="15648" width="15.7109375" style="148" customWidth="1"/>
    <col min="15649" max="15649" width="2.140625" style="148" customWidth="1"/>
    <col min="15650" max="15650" width="14.42578125" style="148" customWidth="1"/>
    <col min="15651" max="15651" width="13.5703125" style="148" customWidth="1"/>
    <col min="15652" max="15652" width="13.28515625" style="148" customWidth="1"/>
    <col min="15653" max="15653" width="12.28515625" style="148" customWidth="1"/>
    <col min="15654" max="15654" width="12" style="148" customWidth="1"/>
    <col min="15655" max="15872" width="9.140625" style="148"/>
    <col min="15873" max="15873" width="0" style="148" hidden="1" customWidth="1"/>
    <col min="15874" max="15874" width="4.5703125" style="148" customWidth="1"/>
    <col min="15875" max="15875" width="56" style="148" customWidth="1"/>
    <col min="15876" max="15876" width="7.85546875" style="148" customWidth="1"/>
    <col min="15877" max="15877" width="9.28515625" style="148" customWidth="1"/>
    <col min="15878" max="15878" width="12" style="148" customWidth="1"/>
    <col min="15879" max="15879" width="16.5703125" style="148" customWidth="1"/>
    <col min="15880" max="15880" width="14.7109375" style="148" customWidth="1"/>
    <col min="15881" max="15881" width="10.85546875" style="148" customWidth="1"/>
    <col min="15882" max="15882" width="6.28515625" style="148" customWidth="1"/>
    <col min="15883" max="15883" width="77.28515625" style="148" customWidth="1"/>
    <col min="15884" max="15884" width="8.28515625" style="148" customWidth="1"/>
    <col min="15885" max="15885" width="8" style="148" customWidth="1"/>
    <col min="15886" max="15886" width="9.85546875" style="148" customWidth="1"/>
    <col min="15887" max="15887" width="9.140625" style="148" customWidth="1"/>
    <col min="15888" max="15888" width="9.7109375" style="148" customWidth="1"/>
    <col min="15889" max="15889" width="8.140625" style="148" customWidth="1"/>
    <col min="15890" max="15890" width="0" style="148" hidden="1" customWidth="1"/>
    <col min="15891" max="15892" width="11" style="148" customWidth="1"/>
    <col min="15893" max="15893" width="10.140625" style="148" customWidth="1"/>
    <col min="15894" max="15895" width="0" style="148" hidden="1" customWidth="1"/>
    <col min="15896" max="15896" width="11.42578125" style="148" customWidth="1"/>
    <col min="15897" max="15897" width="11.28515625" style="148" customWidth="1"/>
    <col min="15898" max="15898" width="10" style="148" customWidth="1"/>
    <col min="15899" max="15900" width="0" style="148" hidden="1" customWidth="1"/>
    <col min="15901" max="15901" width="10.85546875" style="148" customWidth="1"/>
    <col min="15902" max="15902" width="10.140625" style="148" customWidth="1"/>
    <col min="15903" max="15903" width="11.140625" style="148" customWidth="1"/>
    <col min="15904" max="15904" width="15.7109375" style="148" customWidth="1"/>
    <col min="15905" max="15905" width="2.140625" style="148" customWidth="1"/>
    <col min="15906" max="15906" width="14.42578125" style="148" customWidth="1"/>
    <col min="15907" max="15907" width="13.5703125" style="148" customWidth="1"/>
    <col min="15908" max="15908" width="13.28515625" style="148" customWidth="1"/>
    <col min="15909" max="15909" width="12.28515625" style="148" customWidth="1"/>
    <col min="15910" max="15910" width="12" style="148" customWidth="1"/>
    <col min="15911" max="16128" width="9.140625" style="148"/>
    <col min="16129" max="16129" width="0" style="148" hidden="1" customWidth="1"/>
    <col min="16130" max="16130" width="4.5703125" style="148" customWidth="1"/>
    <col min="16131" max="16131" width="56" style="148" customWidth="1"/>
    <col min="16132" max="16132" width="7.85546875" style="148" customWidth="1"/>
    <col min="16133" max="16133" width="9.28515625" style="148" customWidth="1"/>
    <col min="16134" max="16134" width="12" style="148" customWidth="1"/>
    <col min="16135" max="16135" width="16.5703125" style="148" customWidth="1"/>
    <col min="16136" max="16136" width="14.7109375" style="148" customWidth="1"/>
    <col min="16137" max="16137" width="10.85546875" style="148" customWidth="1"/>
    <col min="16138" max="16138" width="6.28515625" style="148" customWidth="1"/>
    <col min="16139" max="16139" width="77.28515625" style="148" customWidth="1"/>
    <col min="16140" max="16140" width="8.28515625" style="148" customWidth="1"/>
    <col min="16141" max="16141" width="8" style="148" customWidth="1"/>
    <col min="16142" max="16142" width="9.85546875" style="148" customWidth="1"/>
    <col min="16143" max="16143" width="9.140625" style="148" customWidth="1"/>
    <col min="16144" max="16144" width="9.7109375" style="148" customWidth="1"/>
    <col min="16145" max="16145" width="8.140625" style="148" customWidth="1"/>
    <col min="16146" max="16146" width="0" style="148" hidden="1" customWidth="1"/>
    <col min="16147" max="16148" width="11" style="148" customWidth="1"/>
    <col min="16149" max="16149" width="10.140625" style="148" customWidth="1"/>
    <col min="16150" max="16151" width="0" style="148" hidden="1" customWidth="1"/>
    <col min="16152" max="16152" width="11.42578125" style="148" customWidth="1"/>
    <col min="16153" max="16153" width="11.28515625" style="148" customWidth="1"/>
    <col min="16154" max="16154" width="10" style="148" customWidth="1"/>
    <col min="16155" max="16156" width="0" style="148" hidden="1" customWidth="1"/>
    <col min="16157" max="16157" width="10.85546875" style="148" customWidth="1"/>
    <col min="16158" max="16158" width="10.140625" style="148" customWidth="1"/>
    <col min="16159" max="16159" width="11.140625" style="148" customWidth="1"/>
    <col min="16160" max="16160" width="15.7109375" style="148" customWidth="1"/>
    <col min="16161" max="16161" width="2.140625" style="148" customWidth="1"/>
    <col min="16162" max="16162" width="14.42578125" style="148" customWidth="1"/>
    <col min="16163" max="16163" width="13.5703125" style="148" customWidth="1"/>
    <col min="16164" max="16164" width="13.28515625" style="148" customWidth="1"/>
    <col min="16165" max="16165" width="12.28515625" style="148" customWidth="1"/>
    <col min="16166" max="16166" width="12" style="148" customWidth="1"/>
    <col min="16167" max="16384" width="9.140625" style="148"/>
  </cols>
  <sheetData>
    <row r="1" spans="1:37" ht="30.95" hidden="1" customHeight="1" x14ac:dyDescent="0.2">
      <c r="C1" s="1693"/>
      <c r="D1" s="1693"/>
      <c r="E1" s="1693"/>
      <c r="F1" s="1693"/>
      <c r="G1" s="1693"/>
      <c r="H1" s="1694"/>
      <c r="I1" s="139">
        <f>G106</f>
        <v>1371275.9991000001</v>
      </c>
      <c r="K1" s="1695"/>
      <c r="L1" s="1693"/>
      <c r="M1" s="1693"/>
      <c r="N1" s="1693"/>
      <c r="O1" s="1693"/>
      <c r="P1" s="1693"/>
      <c r="Q1" s="1693"/>
      <c r="R1" s="1696"/>
      <c r="S1" s="1693"/>
      <c r="T1" s="1693"/>
      <c r="U1" s="1693"/>
      <c r="V1" s="1696"/>
      <c r="W1" s="1696"/>
      <c r="X1" s="1693"/>
      <c r="Y1" s="1693"/>
      <c r="Z1" s="1693"/>
      <c r="AA1" s="1696"/>
      <c r="AB1" s="1696"/>
      <c r="AC1" s="1693"/>
      <c r="AD1" s="1693"/>
      <c r="AE1" s="1693"/>
      <c r="AF1" s="1693"/>
    </row>
    <row r="2" spans="1:37" ht="27.6" hidden="1" customHeight="1" x14ac:dyDescent="0.2">
      <c r="C2" s="1697"/>
      <c r="D2" s="1697"/>
      <c r="E2" s="1698"/>
      <c r="F2" s="1698"/>
      <c r="G2" s="1698"/>
      <c r="H2" s="1699"/>
      <c r="K2" s="1700"/>
      <c r="L2" s="1697"/>
      <c r="M2" s="1698"/>
      <c r="N2" s="1698"/>
      <c r="O2" s="1698"/>
      <c r="P2" s="1698"/>
      <c r="Q2" s="1698"/>
      <c r="R2" s="1701"/>
      <c r="S2" s="1698"/>
      <c r="T2" s="1698"/>
      <c r="U2" s="1698"/>
      <c r="V2" s="1701"/>
      <c r="W2" s="1701"/>
      <c r="X2" s="1698"/>
      <c r="Y2" s="1698"/>
      <c r="Z2" s="1698"/>
      <c r="AA2" s="1701"/>
      <c r="AB2" s="1701"/>
      <c r="AC2" s="1698"/>
      <c r="AD2" s="1698"/>
      <c r="AE2" s="1698"/>
      <c r="AF2" s="1698"/>
    </row>
    <row r="3" spans="1:37" ht="12.75" hidden="1" customHeight="1" x14ac:dyDescent="0.2">
      <c r="B3" s="1702"/>
      <c r="C3" s="1702"/>
      <c r="D3" s="1702"/>
      <c r="E3" s="1702"/>
      <c r="F3" s="1693"/>
      <c r="G3" s="1703"/>
      <c r="H3" s="1704"/>
      <c r="J3" s="1702"/>
      <c r="K3" s="1705"/>
      <c r="L3" s="1702"/>
      <c r="M3" s="1702"/>
      <c r="N3" s="1693"/>
      <c r="O3" s="1693"/>
      <c r="P3" s="1693"/>
      <c r="Q3" s="1693"/>
      <c r="R3" s="1696"/>
      <c r="S3" s="1693"/>
      <c r="T3" s="1693"/>
      <c r="U3" s="1693"/>
      <c r="V3" s="1696"/>
      <c r="W3" s="1696"/>
      <c r="X3" s="1693"/>
      <c r="Y3" s="1693"/>
      <c r="Z3" s="1693"/>
      <c r="AA3" s="1696"/>
      <c r="AB3" s="1696"/>
      <c r="AC3" s="1693"/>
      <c r="AD3" s="1693"/>
      <c r="AE3" s="1693"/>
      <c r="AF3" s="1703"/>
    </row>
    <row r="4" spans="1:37" ht="15" hidden="1" customHeight="1" x14ac:dyDescent="0.2">
      <c r="A4" s="1706"/>
      <c r="B4" s="1707"/>
      <c r="C4" s="1708" t="s">
        <v>305</v>
      </c>
      <c r="D4" s="1702"/>
      <c r="E4" s="1702"/>
      <c r="G4" s="1709" t="s">
        <v>1278</v>
      </c>
      <c r="H4" s="1710"/>
      <c r="K4" s="1711" t="s">
        <v>1279</v>
      </c>
      <c r="L4" s="1702"/>
      <c r="M4" s="1702"/>
      <c r="S4" s="1702"/>
      <c r="T4" s="1702"/>
      <c r="U4" s="1702"/>
      <c r="V4" s="1713"/>
      <c r="W4" s="1713"/>
      <c r="X4" s="1702"/>
      <c r="Y4" s="1702"/>
      <c r="Z4" s="1702"/>
      <c r="AA4" s="1713"/>
      <c r="AB4" s="1713"/>
      <c r="AC4" s="1702" t="s">
        <v>1280</v>
      </c>
      <c r="AE4" s="1702"/>
      <c r="AF4" s="1702"/>
    </row>
    <row r="5" spans="1:37" ht="35.25" hidden="1" customHeight="1" x14ac:dyDescent="0.2">
      <c r="A5" s="1706"/>
      <c r="B5" s="1714"/>
      <c r="C5" s="1708" t="s">
        <v>1281</v>
      </c>
      <c r="D5" s="1702"/>
      <c r="G5" s="1709" t="s">
        <v>1282</v>
      </c>
      <c r="H5" s="1694"/>
      <c r="K5" s="1715" t="s">
        <v>1283</v>
      </c>
      <c r="L5" s="1702"/>
      <c r="N5" s="1716"/>
      <c r="O5" s="1716"/>
      <c r="P5" s="1716"/>
      <c r="Q5" s="1716"/>
      <c r="R5" s="1717"/>
      <c r="T5" s="1716"/>
      <c r="U5" s="1716"/>
      <c r="V5" s="1717"/>
      <c r="W5" s="1717"/>
      <c r="X5" s="1716"/>
      <c r="Y5" s="1716"/>
      <c r="Z5" s="1716"/>
      <c r="AA5" s="1717"/>
      <c r="AB5" s="1717"/>
      <c r="AC5" s="1693" t="s">
        <v>1282</v>
      </c>
      <c r="AE5" s="1716"/>
      <c r="AF5" s="1716"/>
    </row>
    <row r="6" spans="1:37" ht="16.7" hidden="1" customHeight="1" x14ac:dyDescent="0.2">
      <c r="A6" s="1706"/>
      <c r="B6" s="1714"/>
      <c r="C6" s="1708" t="str">
        <f>'[20]час роботи на послуг'!B10</f>
        <v xml:space="preserve">_______________ Андрій ШЕСТОВ </v>
      </c>
      <c r="D6" s="1702"/>
      <c r="G6" s="1709" t="str">
        <f>'[20]час роботи на послуг'!E10</f>
        <v>_________ Віталій РОЗМЕРІЦА</v>
      </c>
      <c r="H6" s="1694"/>
      <c r="K6" s="1715" t="str">
        <f>C6</f>
        <v xml:space="preserve">_______________ Андрій ШЕСТОВ </v>
      </c>
      <c r="L6" s="1702"/>
      <c r="N6" s="1716"/>
      <c r="O6" s="1716"/>
      <c r="P6" s="1716"/>
      <c r="Q6" s="1716"/>
      <c r="R6" s="1717"/>
      <c r="T6" s="1716"/>
      <c r="U6" s="1716"/>
      <c r="V6" s="1717"/>
      <c r="W6" s="1717"/>
      <c r="X6" s="1716"/>
      <c r="Y6" s="1716"/>
      <c r="Z6" s="1716"/>
      <c r="AA6" s="1717"/>
      <c r="AB6" s="1717"/>
      <c r="AC6" s="1693"/>
      <c r="AE6" s="1716"/>
      <c r="AF6" s="1718" t="str">
        <f>G6</f>
        <v>_________ Віталій РОЗМЕРІЦА</v>
      </c>
    </row>
    <row r="7" spans="1:37" ht="16.7" hidden="1" customHeight="1" x14ac:dyDescent="0.2">
      <c r="A7" s="1706"/>
      <c r="B7" s="1714"/>
      <c r="C7" s="1719" t="s">
        <v>1284</v>
      </c>
      <c r="D7" s="1702"/>
      <c r="G7" s="1718" t="s">
        <v>1284</v>
      </c>
      <c r="H7" s="1694"/>
      <c r="K7" s="1715" t="s">
        <v>1284</v>
      </c>
      <c r="L7" s="1702"/>
      <c r="N7" s="1716"/>
      <c r="O7" s="1716"/>
      <c r="P7" s="1716"/>
      <c r="Q7" s="1716"/>
      <c r="R7" s="1717"/>
      <c r="T7" s="1716"/>
      <c r="U7" s="1716"/>
      <c r="V7" s="1717"/>
      <c r="W7" s="1717"/>
      <c r="X7" s="1716"/>
      <c r="Y7" s="1716"/>
      <c r="Z7" s="1716"/>
      <c r="AA7" s="1717"/>
      <c r="AB7" s="1717"/>
      <c r="AC7" s="1693" t="s">
        <v>1284</v>
      </c>
      <c r="AE7" s="1716"/>
      <c r="AF7" s="1716"/>
    </row>
    <row r="8" spans="1:37" ht="12.75" customHeight="1" x14ac:dyDescent="0.2">
      <c r="B8" s="1702"/>
      <c r="C8" s="1702"/>
      <c r="D8" s="1702"/>
      <c r="E8" s="1702"/>
      <c r="F8" s="1702"/>
      <c r="G8" s="1703"/>
      <c r="H8" s="1704"/>
      <c r="J8" s="1702"/>
      <c r="K8" s="1705"/>
      <c r="L8" s="1702"/>
      <c r="M8" s="1702"/>
      <c r="N8" s="1702"/>
      <c r="O8" s="1702"/>
      <c r="P8" s="1702"/>
      <c r="Q8" s="1702"/>
      <c r="R8" s="1713"/>
      <c r="S8" s="1702"/>
      <c r="T8" s="1702"/>
      <c r="U8" s="1702"/>
      <c r="V8" s="1713"/>
      <c r="W8" s="1713"/>
      <c r="X8" s="1702"/>
      <c r="Y8" s="1702"/>
      <c r="Z8" s="1702"/>
      <c r="AA8" s="1713"/>
      <c r="AB8" s="1713"/>
      <c r="AC8" s="1702"/>
      <c r="AD8" s="1702"/>
      <c r="AE8" s="1702"/>
      <c r="AF8" s="1703"/>
    </row>
    <row r="9" spans="1:37" ht="34.9" customHeight="1" x14ac:dyDescent="0.2">
      <c r="B9" s="2092" t="s">
        <v>1285</v>
      </c>
      <c r="C9" s="2092"/>
      <c r="D9" s="2092"/>
      <c r="E9" s="2092"/>
      <c r="F9" s="2092"/>
      <c r="G9" s="2092"/>
      <c r="H9" s="1720"/>
      <c r="J9" s="2093" t="s">
        <v>1286</v>
      </c>
      <c r="K9" s="2093"/>
      <c r="L9" s="2093"/>
      <c r="M9" s="2093"/>
      <c r="N9" s="2093"/>
      <c r="O9" s="2093"/>
      <c r="P9" s="2093"/>
      <c r="Q9" s="2093"/>
      <c r="R9" s="2093"/>
      <c r="S9" s="2093"/>
      <c r="T9" s="2093"/>
      <c r="U9" s="2093"/>
      <c r="V9" s="2093"/>
      <c r="W9" s="2093"/>
      <c r="X9" s="2093"/>
      <c r="Y9" s="2093"/>
      <c r="Z9" s="2093"/>
      <c r="AA9" s="2093"/>
      <c r="AB9" s="2093"/>
      <c r="AC9" s="2093"/>
      <c r="AD9" s="2093"/>
      <c r="AE9" s="2093"/>
      <c r="AF9" s="2093"/>
    </row>
    <row r="10" spans="1:37" ht="17.649999999999999" customHeight="1" x14ac:dyDescent="0.2">
      <c r="B10" s="2092" t="s">
        <v>1287</v>
      </c>
      <c r="C10" s="2092"/>
      <c r="D10" s="2092"/>
      <c r="E10" s="2092"/>
      <c r="F10" s="2092"/>
      <c r="G10" s="2092"/>
      <c r="H10" s="1720"/>
      <c r="J10" s="2092" t="s">
        <v>1287</v>
      </c>
      <c r="K10" s="2092"/>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row>
    <row r="11" spans="1:37" ht="19.5" customHeight="1" x14ac:dyDescent="0.2">
      <c r="B11" s="2092" t="s">
        <v>1288</v>
      </c>
      <c r="C11" s="2092"/>
      <c r="D11" s="2092"/>
      <c r="E11" s="2092"/>
      <c r="F11" s="2092"/>
      <c r="G11" s="2092"/>
      <c r="H11" s="1720"/>
      <c r="J11" s="2092" t="str">
        <f>B11</f>
        <v>КПКВК 1216013  «Забезпечення діяльності водопровідно-каналізаційного господарства»</v>
      </c>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row>
    <row r="12" spans="1:37" ht="34.5" customHeight="1" x14ac:dyDescent="0.2">
      <c r="B12" s="2091" t="s">
        <v>1289</v>
      </c>
      <c r="C12" s="2091"/>
      <c r="D12" s="2091"/>
      <c r="E12" s="2091"/>
      <c r="F12" s="2091"/>
      <c r="G12" s="2091"/>
      <c r="H12" s="1694"/>
      <c r="J12" s="2091" t="s">
        <v>1289</v>
      </c>
      <c r="K12" s="2091"/>
      <c r="L12" s="2091"/>
      <c r="M12" s="2091"/>
      <c r="N12" s="2091"/>
      <c r="O12" s="2091"/>
      <c r="P12" s="2091"/>
      <c r="Q12" s="2091"/>
      <c r="R12" s="2091"/>
      <c r="S12" s="2091"/>
      <c r="T12" s="2091"/>
      <c r="U12" s="2091"/>
      <c r="V12" s="2091"/>
      <c r="W12" s="2091"/>
      <c r="X12" s="2091"/>
      <c r="Y12" s="2091"/>
      <c r="Z12" s="2091"/>
      <c r="AA12" s="2091"/>
      <c r="AB12" s="2091"/>
      <c r="AC12" s="2091"/>
      <c r="AD12" s="2091"/>
      <c r="AE12" s="2091"/>
      <c r="AF12" s="2091"/>
    </row>
    <row r="13" spans="1:37" ht="32.25" customHeight="1" x14ac:dyDescent="0.2">
      <c r="A13" s="1721"/>
      <c r="B13" s="1722" t="s">
        <v>1290</v>
      </c>
      <c r="C13" s="1723" t="s">
        <v>662</v>
      </c>
      <c r="D13" s="1722" t="s">
        <v>1291</v>
      </c>
      <c r="E13" s="1722" t="s">
        <v>1292</v>
      </c>
      <c r="F13" s="1722" t="s">
        <v>1293</v>
      </c>
      <c r="G13" s="1722" t="s">
        <v>1294</v>
      </c>
      <c r="H13" s="1724"/>
      <c r="I13" s="1725"/>
      <c r="J13" s="1722" t="s">
        <v>1290</v>
      </c>
      <c r="K13" s="1722" t="s">
        <v>662</v>
      </c>
      <c r="L13" s="1722" t="s">
        <v>1291</v>
      </c>
      <c r="M13" s="1722" t="s">
        <v>1292</v>
      </c>
      <c r="N13" s="1722" t="s">
        <v>1293</v>
      </c>
      <c r="O13" s="1722" t="s">
        <v>440</v>
      </c>
      <c r="P13" s="1722" t="s">
        <v>441</v>
      </c>
      <c r="Q13" s="1722" t="s">
        <v>442</v>
      </c>
      <c r="R13" s="1726"/>
      <c r="S13" s="1722" t="s">
        <v>444</v>
      </c>
      <c r="T13" s="1722" t="s">
        <v>445</v>
      </c>
      <c r="U13" s="1722" t="s">
        <v>446</v>
      </c>
      <c r="V13" s="1726"/>
      <c r="W13" s="1726"/>
      <c r="X13" s="1722" t="s">
        <v>448</v>
      </c>
      <c r="Y13" s="1722" t="s">
        <v>449</v>
      </c>
      <c r="Z13" s="1722" t="s">
        <v>450</v>
      </c>
      <c r="AA13" s="1726"/>
      <c r="AB13" s="1726"/>
      <c r="AC13" s="1722" t="s">
        <v>453</v>
      </c>
      <c r="AD13" s="1722" t="s">
        <v>454</v>
      </c>
      <c r="AE13" s="1722" t="s">
        <v>455</v>
      </c>
      <c r="AF13" s="1722" t="s">
        <v>1294</v>
      </c>
      <c r="AG13" s="1721"/>
      <c r="AH13" s="1727">
        <f>AF15+AF16</f>
        <v>813705</v>
      </c>
      <c r="AI13" s="564">
        <f>SUM(AH15:AH16)</f>
        <v>813705</v>
      </c>
    </row>
    <row r="14" spans="1:37" s="1740" customFormat="1" ht="28.5" customHeight="1" x14ac:dyDescent="0.25">
      <c r="A14" s="1728"/>
      <c r="B14" s="1729">
        <v>1</v>
      </c>
      <c r="C14" s="1730" t="s">
        <v>1295</v>
      </c>
      <c r="D14" s="1730"/>
      <c r="E14" s="1730"/>
      <c r="F14" s="1730"/>
      <c r="G14" s="1731">
        <f>ROUND([20]Фонд!O86,0)</f>
        <v>813705</v>
      </c>
      <c r="H14" s="1732">
        <f>G14+G17</f>
        <v>992720</v>
      </c>
      <c r="I14" s="1733"/>
      <c r="J14" s="1729">
        <v>1</v>
      </c>
      <c r="K14" s="1730" t="s">
        <v>1296</v>
      </c>
      <c r="L14" s="1730"/>
      <c r="M14" s="1730"/>
      <c r="N14" s="1730"/>
      <c r="O14" s="1734"/>
      <c r="P14" s="1734"/>
      <c r="Q14" s="1734"/>
      <c r="R14" s="1735"/>
      <c r="S14" s="1736">
        <f>S15+S16</f>
        <v>116244</v>
      </c>
      <c r="T14" s="1736">
        <f t="shared" ref="T14:AE14" si="0">T15+T16</f>
        <v>116245</v>
      </c>
      <c r="U14" s="1736">
        <f>U15+U16</f>
        <v>116245</v>
      </c>
      <c r="V14" s="1737"/>
      <c r="W14" s="1737"/>
      <c r="X14" s="1736">
        <f t="shared" si="0"/>
        <v>116243.25</v>
      </c>
      <c r="Y14" s="1736">
        <f t="shared" si="0"/>
        <v>116243.25</v>
      </c>
      <c r="Z14" s="1736">
        <f t="shared" si="0"/>
        <v>116243.25</v>
      </c>
      <c r="AA14" s="1737"/>
      <c r="AB14" s="1737"/>
      <c r="AC14" s="1736">
        <f t="shared" si="0"/>
        <v>116241.25</v>
      </c>
      <c r="AD14" s="1736">
        <f>AD15+AD16</f>
        <v>0</v>
      </c>
      <c r="AE14" s="1736">
        <f t="shared" si="0"/>
        <v>0</v>
      </c>
      <c r="AF14" s="1736">
        <f>ROUND(AF15+AF16,0)</f>
        <v>813705</v>
      </c>
      <c r="AG14" s="410"/>
      <c r="AH14" s="1738">
        <f t="shared" ref="AH14:AH19" si="1">SUM(S14:AE14)</f>
        <v>813705</v>
      </c>
      <c r="AI14" s="1738">
        <f>G14</f>
        <v>813705</v>
      </c>
      <c r="AJ14" s="1739">
        <f t="shared" ref="AJ14:AJ50" si="2">AI14-AH14</f>
        <v>0</v>
      </c>
      <c r="AK14" s="1738"/>
    </row>
    <row r="15" spans="1:37" s="820" customFormat="1" ht="17.850000000000001" customHeight="1" x14ac:dyDescent="0.25">
      <c r="B15" s="1741" t="s">
        <v>345</v>
      </c>
      <c r="C15" s="1742" t="s">
        <v>1297</v>
      </c>
      <c r="D15" s="1741" t="s">
        <v>1298</v>
      </c>
      <c r="E15" s="1722">
        <v>7</v>
      </c>
      <c r="F15" s="1723"/>
      <c r="G15" s="1743">
        <f>([20]Фонд!O82)</f>
        <v>160750</v>
      </c>
      <c r="H15" s="1744"/>
      <c r="I15" s="1509"/>
      <c r="J15" s="1741" t="s">
        <v>345</v>
      </c>
      <c r="K15" s="1742" t="s">
        <v>1297</v>
      </c>
      <c r="L15" s="1741" t="s">
        <v>1298</v>
      </c>
      <c r="M15" s="1722">
        <f>E15</f>
        <v>7</v>
      </c>
      <c r="N15" s="1723"/>
      <c r="O15" s="1745"/>
      <c r="P15" s="1745"/>
      <c r="Q15" s="1745"/>
      <c r="R15" s="1746"/>
      <c r="S15" s="1747">
        <f>ROUND(([20]Фонд!$O31)/1,2)</f>
        <v>22964</v>
      </c>
      <c r="T15" s="1747">
        <f>ROUND(([20]Фонд!$O48)/2,2)</f>
        <v>22964.5</v>
      </c>
      <c r="U15" s="1747">
        <f>ROUND(([20]Фонд!$O48)/2,2)</f>
        <v>22964.5</v>
      </c>
      <c r="V15" s="1748"/>
      <c r="W15" s="1748"/>
      <c r="X15" s="1747">
        <f>ROUND(([20]Фонд!$O65)/4,2)</f>
        <v>22964.25</v>
      </c>
      <c r="Y15" s="1747">
        <f>ROUND(([20]Фонд!$O65)/4,2)</f>
        <v>22964.25</v>
      </c>
      <c r="Z15" s="1747">
        <f>ROUND(([20]Фонд!$O65)/4,2)</f>
        <v>22964.25</v>
      </c>
      <c r="AA15" s="1747"/>
      <c r="AB15" s="1747"/>
      <c r="AC15" s="1747">
        <f>ROUND(([20]Фонд!$O65)/4,2)-0</f>
        <v>22964.25</v>
      </c>
      <c r="AD15" s="1747"/>
      <c r="AE15" s="1747"/>
      <c r="AF15" s="1747">
        <f>G15</f>
        <v>160750</v>
      </c>
      <c r="AH15" s="1738">
        <f t="shared" si="1"/>
        <v>160750</v>
      </c>
      <c r="AI15" s="1738">
        <f>G15</f>
        <v>160750</v>
      </c>
      <c r="AJ15" s="1739">
        <f t="shared" si="2"/>
        <v>0</v>
      </c>
    </row>
    <row r="16" spans="1:37" s="820" customFormat="1" ht="19.350000000000001" customHeight="1" x14ac:dyDescent="0.25">
      <c r="B16" s="1741" t="s">
        <v>347</v>
      </c>
      <c r="C16" s="1742" t="s">
        <v>1299</v>
      </c>
      <c r="D16" s="1741" t="s">
        <v>1298</v>
      </c>
      <c r="E16" s="1722">
        <f>E15</f>
        <v>7</v>
      </c>
      <c r="F16" s="1723"/>
      <c r="G16" s="1743">
        <f>([20]Фонд!O83)</f>
        <v>652955</v>
      </c>
      <c r="H16" s="1744"/>
      <c r="I16" s="1509"/>
      <c r="J16" s="1741" t="s">
        <v>347</v>
      </c>
      <c r="K16" s="1742" t="s">
        <v>1299</v>
      </c>
      <c r="L16" s="1741" t="s">
        <v>1298</v>
      </c>
      <c r="M16" s="1722">
        <f>E16</f>
        <v>7</v>
      </c>
      <c r="N16" s="1723"/>
      <c r="O16" s="1745"/>
      <c r="P16" s="1745"/>
      <c r="Q16" s="1745"/>
      <c r="R16" s="1746"/>
      <c r="S16" s="1747">
        <f>ROUND(([20]Фонд!$O32)/1,2)+1</f>
        <v>93280</v>
      </c>
      <c r="T16" s="1747">
        <f>ROUND(([20]Фонд!$O49)/2,2)+1</f>
        <v>93280.5</v>
      </c>
      <c r="U16" s="1747">
        <f>ROUND(([20]Фонд!$O49)/2,2)+1</f>
        <v>93280.5</v>
      </c>
      <c r="V16" s="1748"/>
      <c r="W16" s="1748"/>
      <c r="X16" s="1747">
        <f>ROUND(([20]Фонд!$O66)/4,2)-0.25</f>
        <v>93279</v>
      </c>
      <c r="Y16" s="1747">
        <f>ROUND(([20]Фонд!$O66)/4,2)-0.25</f>
        <v>93279</v>
      </c>
      <c r="Z16" s="1747">
        <f>ROUND(([20]Фонд!$O66)/4,2)-0.25</f>
        <v>93279</v>
      </c>
      <c r="AA16" s="1747"/>
      <c r="AB16" s="1747"/>
      <c r="AC16" s="1747">
        <f>ROUND(([20]Фонд!$O66)/4,2)-2.25</f>
        <v>93277</v>
      </c>
      <c r="AD16" s="1747"/>
      <c r="AE16" s="1747"/>
      <c r="AF16" s="1747">
        <f>G16</f>
        <v>652955</v>
      </c>
      <c r="AH16" s="1738">
        <f t="shared" si="1"/>
        <v>652955</v>
      </c>
      <c r="AI16" s="1738">
        <f t="shared" ref="AI16:AI50" si="3">G16</f>
        <v>652955</v>
      </c>
      <c r="AJ16" s="1739">
        <f t="shared" si="2"/>
        <v>0</v>
      </c>
    </row>
    <row r="17" spans="1:37" s="1740" customFormat="1" ht="20.25" customHeight="1" x14ac:dyDescent="0.25">
      <c r="A17" s="410"/>
      <c r="B17" s="1729">
        <v>2</v>
      </c>
      <c r="C17" s="1730" t="s">
        <v>1300</v>
      </c>
      <c r="D17" s="1730"/>
      <c r="E17" s="1730"/>
      <c r="F17" s="1730"/>
      <c r="G17" s="1731">
        <f>ROUND(G14*22%,0)</f>
        <v>179015</v>
      </c>
      <c r="H17" s="1732"/>
      <c r="I17" s="1749"/>
      <c r="J17" s="1729">
        <v>2</v>
      </c>
      <c r="K17" s="1730" t="s">
        <v>1300</v>
      </c>
      <c r="L17" s="1730"/>
      <c r="M17" s="1730"/>
      <c r="N17" s="1730"/>
      <c r="O17" s="1734"/>
      <c r="P17" s="1734"/>
      <c r="Q17" s="1734"/>
      <c r="R17" s="1735"/>
      <c r="S17" s="1736">
        <f>ROUND(S14*22%,0)</f>
        <v>25574</v>
      </c>
      <c r="T17" s="1736">
        <f>ROUND(T14*22%,0)</f>
        <v>25574</v>
      </c>
      <c r="U17" s="1736">
        <f>ROUND(U14*22%,0)</f>
        <v>25574</v>
      </c>
      <c r="V17" s="1736">
        <f t="shared" ref="V17:AB17" si="4">ROUND(V14*22%,0)</f>
        <v>0</v>
      </c>
      <c r="W17" s="1736">
        <f t="shared" si="4"/>
        <v>0</v>
      </c>
      <c r="X17" s="1736">
        <f t="shared" si="4"/>
        <v>25574</v>
      </c>
      <c r="Y17" s="1736">
        <f t="shared" si="4"/>
        <v>25574</v>
      </c>
      <c r="Z17" s="1736">
        <f t="shared" si="4"/>
        <v>25574</v>
      </c>
      <c r="AA17" s="1736">
        <f>ROUND(AA14*22%,0)</f>
        <v>0</v>
      </c>
      <c r="AB17" s="1736">
        <f t="shared" si="4"/>
        <v>0</v>
      </c>
      <c r="AC17" s="1736">
        <f>ROUND(AC14*22%,0)-2</f>
        <v>25571</v>
      </c>
      <c r="AD17" s="1736">
        <f>ROUND(AD14*22%,2)</f>
        <v>0</v>
      </c>
      <c r="AE17" s="1736"/>
      <c r="AF17" s="1736">
        <f>ROUND(AF14*22%,0)</f>
        <v>179015</v>
      </c>
      <c r="AG17" s="410"/>
      <c r="AH17" s="1738">
        <f>SUM(S17:AE17)</f>
        <v>179015</v>
      </c>
      <c r="AI17" s="1738">
        <f>G17</f>
        <v>179015</v>
      </c>
      <c r="AJ17" s="1739">
        <f t="shared" si="2"/>
        <v>0</v>
      </c>
    </row>
    <row r="18" spans="1:37" s="1740" customFormat="1" ht="24" customHeight="1" x14ac:dyDescent="0.25">
      <c r="A18" s="410"/>
      <c r="B18" s="1729" t="s">
        <v>258</v>
      </c>
      <c r="C18" s="1730" t="s">
        <v>1301</v>
      </c>
      <c r="D18" s="1730"/>
      <c r="E18" s="1730"/>
      <c r="F18" s="1730"/>
      <c r="G18" s="1731">
        <f>(G19+G63+G68+G73)</f>
        <v>298987.99950000003</v>
      </c>
      <c r="H18" s="1732">
        <f>H19+G63+G68+G73</f>
        <v>298987.99950000003</v>
      </c>
      <c r="I18" s="1749"/>
      <c r="J18" s="1729" t="s">
        <v>258</v>
      </c>
      <c r="K18" s="1730" t="s">
        <v>1301</v>
      </c>
      <c r="L18" s="1730"/>
      <c r="M18" s="1730"/>
      <c r="N18" s="1730"/>
      <c r="O18" s="1734"/>
      <c r="P18" s="1734"/>
      <c r="Q18" s="1734"/>
      <c r="R18" s="1735"/>
      <c r="S18" s="1736">
        <f t="shared" ref="S18:AC18" si="5">S19+S63+S68+S73</f>
        <v>144126.8395</v>
      </c>
      <c r="T18" s="1736">
        <f t="shared" si="5"/>
        <v>22801.550000000003</v>
      </c>
      <c r="U18" s="1736">
        <f t="shared" si="5"/>
        <v>23256.97</v>
      </c>
      <c r="V18" s="1736">
        <f t="shared" si="5"/>
        <v>0</v>
      </c>
      <c r="W18" s="1736">
        <f t="shared" si="5"/>
        <v>0</v>
      </c>
      <c r="X18" s="1736">
        <f t="shared" si="5"/>
        <v>27692.7</v>
      </c>
      <c r="Y18" s="1736">
        <f t="shared" si="5"/>
        <v>28890.990000000005</v>
      </c>
      <c r="Z18" s="1736">
        <f t="shared" si="5"/>
        <v>24411.270000000004</v>
      </c>
      <c r="AA18" s="1736">
        <f t="shared" si="5"/>
        <v>0</v>
      </c>
      <c r="AB18" s="1736">
        <f t="shared" si="5"/>
        <v>0</v>
      </c>
      <c r="AC18" s="1736">
        <f t="shared" si="5"/>
        <v>27807.68</v>
      </c>
      <c r="AD18" s="1736">
        <f>AD19+AD63+AD68+AD73+AD103</f>
        <v>0</v>
      </c>
      <c r="AE18" s="1736">
        <f>AE19+AE63+AE68+AE73+AE103</f>
        <v>0</v>
      </c>
      <c r="AF18" s="1736">
        <f>(AF19+AF63+AF68+AF73)</f>
        <v>298987.99949999998</v>
      </c>
      <c r="AG18" s="410"/>
      <c r="AH18" s="1738">
        <f t="shared" si="1"/>
        <v>298987.99950000003</v>
      </c>
      <c r="AI18" s="1738">
        <f>G18</f>
        <v>298987.99950000003</v>
      </c>
      <c r="AJ18" s="1739">
        <f t="shared" si="2"/>
        <v>0</v>
      </c>
      <c r="AK18" s="1738"/>
    </row>
    <row r="19" spans="1:37" s="1760" customFormat="1" ht="25.5" customHeight="1" x14ac:dyDescent="0.25">
      <c r="A19" s="1750"/>
      <c r="B19" s="1751" t="s">
        <v>410</v>
      </c>
      <c r="C19" s="1752" t="s">
        <v>1302</v>
      </c>
      <c r="D19" s="1752"/>
      <c r="E19" s="1752"/>
      <c r="F19" s="1752"/>
      <c r="G19" s="1753">
        <f>SUM(G20:G62)</f>
        <v>62481.449500000002</v>
      </c>
      <c r="H19" s="1754">
        <f>G19</f>
        <v>62481.449500000002</v>
      </c>
      <c r="I19" s="1755"/>
      <c r="J19" s="1751" t="s">
        <v>410</v>
      </c>
      <c r="K19" s="1756" t="s">
        <v>1303</v>
      </c>
      <c r="L19" s="1752"/>
      <c r="M19" s="1752"/>
      <c r="N19" s="1752"/>
      <c r="O19" s="1757"/>
      <c r="P19" s="1757"/>
      <c r="Q19" s="1757"/>
      <c r="R19" s="1758"/>
      <c r="S19" s="1759">
        <f>SUM(S20:S62)</f>
        <v>62481.449500000002</v>
      </c>
      <c r="T19" s="1759">
        <f>SUM(T20:T52)</f>
        <v>0</v>
      </c>
      <c r="U19" s="1759">
        <f>SUM(U20:U52)</f>
        <v>0</v>
      </c>
      <c r="V19" s="1737"/>
      <c r="W19" s="1737"/>
      <c r="X19" s="1759">
        <f>SUM(X20:X52)</f>
        <v>0</v>
      </c>
      <c r="Y19" s="1759">
        <f>SUM(Y20:Y52)</f>
        <v>0</v>
      </c>
      <c r="Z19" s="1759">
        <f>SUM(Z20:Z52)</f>
        <v>0</v>
      </c>
      <c r="AA19" s="1737"/>
      <c r="AB19" s="1737"/>
      <c r="AC19" s="1759">
        <f>SUM(AC20:AC52)</f>
        <v>0</v>
      </c>
      <c r="AD19" s="1759">
        <f>SUM(AD20:AD52)</f>
        <v>0</v>
      </c>
      <c r="AE19" s="1759">
        <f>SUM(AE20:AE52)</f>
        <v>0</v>
      </c>
      <c r="AF19" s="1759">
        <f>SUM(AF20:AF62)</f>
        <v>62481.449500000002</v>
      </c>
      <c r="AG19" s="1750"/>
      <c r="AH19" s="1738">
        <f t="shared" si="1"/>
        <v>62481.449500000002</v>
      </c>
      <c r="AI19" s="1738">
        <f t="shared" si="3"/>
        <v>62481.449500000002</v>
      </c>
      <c r="AJ19" s="1739">
        <f t="shared" si="2"/>
        <v>0</v>
      </c>
    </row>
    <row r="20" spans="1:37" s="820" customFormat="1" ht="16.5" x14ac:dyDescent="0.25">
      <c r="B20" s="1741"/>
      <c r="C20" s="1742" t="str">
        <f>[20]матеріали!C20</f>
        <v xml:space="preserve">Люк зелений </v>
      </c>
      <c r="D20" s="1723" t="str">
        <f>[20]матеріали!D20</f>
        <v>шт</v>
      </c>
      <c r="E20" s="1761">
        <f>[20]матеріали!G20</f>
        <v>10</v>
      </c>
      <c r="F20" s="1743">
        <f>[20]матеріали!J20</f>
        <v>1650</v>
      </c>
      <c r="G20" s="1743">
        <f t="shared" ref="G20:G29" si="6">E20*F20</f>
        <v>16500</v>
      </c>
      <c r="H20" s="1744">
        <f>[20]матеріали!K20-G20</f>
        <v>0</v>
      </c>
      <c r="I20" s="1509"/>
      <c r="J20" s="1741"/>
      <c r="K20" s="1742" t="str">
        <f>C20</f>
        <v xml:space="preserve">Люк зелений </v>
      </c>
      <c r="L20" s="1723" t="str">
        <f>D20</f>
        <v>шт</v>
      </c>
      <c r="M20" s="1762">
        <f>E20</f>
        <v>10</v>
      </c>
      <c r="N20" s="1743">
        <f>F20</f>
        <v>1650</v>
      </c>
      <c r="O20" s="1747"/>
      <c r="P20" s="1747"/>
      <c r="Q20" s="1747"/>
      <c r="R20" s="1748"/>
      <c r="S20" s="1747">
        <f>$G20</f>
        <v>16500</v>
      </c>
      <c r="T20" s="1747"/>
      <c r="U20" s="1747"/>
      <c r="V20" s="1748"/>
      <c r="W20" s="1748"/>
      <c r="X20" s="1747"/>
      <c r="Y20" s="1747"/>
      <c r="Z20" s="1747"/>
      <c r="AA20" s="1748"/>
      <c r="AB20" s="1748"/>
      <c r="AC20" s="1747"/>
      <c r="AD20" s="1747"/>
      <c r="AE20" s="1747"/>
      <c r="AF20" s="1747">
        <f t="shared" ref="AF20:AF62" si="7">G20</f>
        <v>16500</v>
      </c>
      <c r="AH20" s="1738">
        <f t="shared" ref="AH20:AH25" si="8">SUM(S20:AE20)</f>
        <v>16500</v>
      </c>
      <c r="AI20" s="1738">
        <f t="shared" si="3"/>
        <v>16500</v>
      </c>
      <c r="AJ20" s="1739">
        <f t="shared" si="2"/>
        <v>0</v>
      </c>
    </row>
    <row r="21" spans="1:37" s="824" customFormat="1" ht="16.5" hidden="1" x14ac:dyDescent="0.25">
      <c r="B21" s="1763"/>
      <c r="C21" s="1764" t="str">
        <f>[20]матеріали!C21</f>
        <v>Люк чорний</v>
      </c>
      <c r="D21" s="1765" t="str">
        <f>[20]матеріали!D21</f>
        <v>шт</v>
      </c>
      <c r="E21" s="1766">
        <f>[20]матеріали!G21</f>
        <v>0</v>
      </c>
      <c r="F21" s="1767">
        <f>[20]матеріали!J21</f>
        <v>2850</v>
      </c>
      <c r="G21" s="1767">
        <f t="shared" si="6"/>
        <v>0</v>
      </c>
      <c r="H21" s="1744">
        <f>[20]матеріали!K21-G21</f>
        <v>0</v>
      </c>
      <c r="J21" s="1763"/>
      <c r="K21" s="1764" t="str">
        <f t="shared" ref="K21:N62" si="9">C21</f>
        <v>Люк чорний</v>
      </c>
      <c r="L21" s="1765" t="str">
        <f t="shared" si="9"/>
        <v>шт</v>
      </c>
      <c r="M21" s="1768">
        <f t="shared" si="9"/>
        <v>0</v>
      </c>
      <c r="N21" s="1767">
        <f t="shared" si="9"/>
        <v>2850</v>
      </c>
      <c r="O21" s="1769"/>
      <c r="P21" s="1769"/>
      <c r="Q21" s="1769"/>
      <c r="R21" s="1770"/>
      <c r="S21" s="1769">
        <f t="shared" ref="S21:S62" si="10">$G21</f>
        <v>0</v>
      </c>
      <c r="T21" s="1769"/>
      <c r="U21" s="1769"/>
      <c r="V21" s="1770"/>
      <c r="W21" s="1770"/>
      <c r="X21" s="1769"/>
      <c r="Y21" s="1769"/>
      <c r="Z21" s="1769"/>
      <c r="AA21" s="1770"/>
      <c r="AB21" s="1770"/>
      <c r="AC21" s="1769"/>
      <c r="AD21" s="1769"/>
      <c r="AE21" s="1769"/>
      <c r="AF21" s="1769">
        <f t="shared" si="7"/>
        <v>0</v>
      </c>
      <c r="AH21" s="1771">
        <f t="shared" si="8"/>
        <v>0</v>
      </c>
      <c r="AI21" s="1771">
        <f t="shared" si="3"/>
        <v>0</v>
      </c>
      <c r="AJ21" s="1772">
        <f t="shared" si="2"/>
        <v>0</v>
      </c>
    </row>
    <row r="22" spans="1:37" s="820" customFormat="1" ht="16.5" x14ac:dyDescent="0.25">
      <c r="B22" s="1741"/>
      <c r="C22" s="1742" t="str">
        <f>[20]матеріали!C22</f>
        <v>Дюбель пластмасовий14*80 (4 шт. на люк)</v>
      </c>
      <c r="D22" s="1723" t="str">
        <f>[20]матеріали!D22</f>
        <v>шт</v>
      </c>
      <c r="E22" s="1761">
        <f>[20]матеріали!G22</f>
        <v>40</v>
      </c>
      <c r="F22" s="1743">
        <f>[20]матеріали!J22</f>
        <v>4.0999999999999996</v>
      </c>
      <c r="G22" s="1743">
        <f t="shared" si="6"/>
        <v>164</v>
      </c>
      <c r="H22" s="1744">
        <f>[20]матеріали!K22-G22</f>
        <v>0</v>
      </c>
      <c r="I22" s="1509"/>
      <c r="J22" s="1741"/>
      <c r="K22" s="1742" t="str">
        <f t="shared" si="9"/>
        <v>Дюбель пластмасовий14*80 (4 шт. на люк)</v>
      </c>
      <c r="L22" s="1723" t="str">
        <f t="shared" si="9"/>
        <v>шт</v>
      </c>
      <c r="M22" s="1762">
        <f t="shared" si="9"/>
        <v>40</v>
      </c>
      <c r="N22" s="1743">
        <f t="shared" si="9"/>
        <v>4.0999999999999996</v>
      </c>
      <c r="O22" s="1747"/>
      <c r="P22" s="1747"/>
      <c r="Q22" s="1747"/>
      <c r="R22" s="1748"/>
      <c r="S22" s="1747">
        <f t="shared" si="10"/>
        <v>164</v>
      </c>
      <c r="T22" s="1747"/>
      <c r="U22" s="1747"/>
      <c r="V22" s="1748"/>
      <c r="W22" s="1748"/>
      <c r="X22" s="1747"/>
      <c r="Y22" s="1747"/>
      <c r="Z22" s="1747"/>
      <c r="AA22" s="1748"/>
      <c r="AB22" s="1748"/>
      <c r="AC22" s="1747"/>
      <c r="AD22" s="1747"/>
      <c r="AE22" s="1747"/>
      <c r="AF22" s="1747">
        <f t="shared" si="7"/>
        <v>164</v>
      </c>
      <c r="AH22" s="1738">
        <f t="shared" si="8"/>
        <v>164</v>
      </c>
      <c r="AI22" s="1738">
        <f t="shared" si="3"/>
        <v>164</v>
      </c>
      <c r="AJ22" s="1739">
        <f t="shared" si="2"/>
        <v>0</v>
      </c>
    </row>
    <row r="23" spans="1:37" s="820" customFormat="1" ht="16.5" x14ac:dyDescent="0.25">
      <c r="B23" s="1741"/>
      <c r="C23" s="1742" t="str">
        <f>[20]матеріали!C23</f>
        <v>Саморізи під ключ 8*90 (4 шт. на люк)</v>
      </c>
      <c r="D23" s="1723" t="str">
        <f>[20]матеріали!D23</f>
        <v>шт</v>
      </c>
      <c r="E23" s="1761">
        <f>[20]матеріали!G23</f>
        <v>40</v>
      </c>
      <c r="F23" s="1743">
        <f>[20]матеріали!J23</f>
        <v>8.1999999999999993</v>
      </c>
      <c r="G23" s="1743">
        <f t="shared" si="6"/>
        <v>328</v>
      </c>
      <c r="H23" s="1744">
        <f>[20]матеріали!K23-G23</f>
        <v>0</v>
      </c>
      <c r="I23" s="1509"/>
      <c r="J23" s="1741"/>
      <c r="K23" s="1742" t="str">
        <f t="shared" si="9"/>
        <v>Саморізи під ключ 8*90 (4 шт. на люк)</v>
      </c>
      <c r="L23" s="1723" t="str">
        <f t="shared" si="9"/>
        <v>шт</v>
      </c>
      <c r="M23" s="1762">
        <f t="shared" si="9"/>
        <v>40</v>
      </c>
      <c r="N23" s="1743">
        <f t="shared" si="9"/>
        <v>8.1999999999999993</v>
      </c>
      <c r="O23" s="1747"/>
      <c r="P23" s="1747"/>
      <c r="Q23" s="1747"/>
      <c r="R23" s="1748"/>
      <c r="S23" s="1747">
        <f t="shared" si="10"/>
        <v>328</v>
      </c>
      <c r="T23" s="1747"/>
      <c r="U23" s="1747"/>
      <c r="V23" s="1748"/>
      <c r="W23" s="1748"/>
      <c r="X23" s="1747"/>
      <c r="Y23" s="1747"/>
      <c r="Z23" s="1747"/>
      <c r="AA23" s="1748"/>
      <c r="AB23" s="1748"/>
      <c r="AC23" s="1747"/>
      <c r="AD23" s="1747"/>
      <c r="AE23" s="1747"/>
      <c r="AF23" s="1747">
        <f t="shared" si="7"/>
        <v>328</v>
      </c>
      <c r="AH23" s="1738">
        <f t="shared" si="8"/>
        <v>328</v>
      </c>
      <c r="AI23" s="1738">
        <f t="shared" si="3"/>
        <v>328</v>
      </c>
      <c r="AJ23" s="1739">
        <f t="shared" si="2"/>
        <v>0</v>
      </c>
    </row>
    <row r="24" spans="1:37" s="820" customFormat="1" ht="16.5" x14ac:dyDescent="0.25">
      <c r="B24" s="1741"/>
      <c r="C24" s="1742" t="str">
        <f>[20]матеріали!C24</f>
        <v>Шайба 8*24 (4 шт. на люк)</v>
      </c>
      <c r="D24" s="1723" t="str">
        <f>[20]матеріали!D24</f>
        <v>шт</v>
      </c>
      <c r="E24" s="1761">
        <f>[20]матеріали!G24</f>
        <v>40</v>
      </c>
      <c r="F24" s="1743">
        <f>[20]матеріали!J24</f>
        <v>2</v>
      </c>
      <c r="G24" s="1743">
        <f t="shared" si="6"/>
        <v>80</v>
      </c>
      <c r="H24" s="1744">
        <f>[20]матеріали!K24-G24</f>
        <v>0</v>
      </c>
      <c r="I24" s="1509"/>
      <c r="J24" s="1741"/>
      <c r="K24" s="1742" t="str">
        <f t="shared" si="9"/>
        <v>Шайба 8*24 (4 шт. на люк)</v>
      </c>
      <c r="L24" s="1723" t="str">
        <f t="shared" si="9"/>
        <v>шт</v>
      </c>
      <c r="M24" s="1762">
        <f t="shared" si="9"/>
        <v>40</v>
      </c>
      <c r="N24" s="1743">
        <f t="shared" si="9"/>
        <v>2</v>
      </c>
      <c r="O24" s="1747"/>
      <c r="P24" s="1747"/>
      <c r="Q24" s="1747"/>
      <c r="R24" s="1748"/>
      <c r="S24" s="1747">
        <f t="shared" si="10"/>
        <v>80</v>
      </c>
      <c r="T24" s="1747"/>
      <c r="U24" s="1747"/>
      <c r="V24" s="1748"/>
      <c r="W24" s="1748"/>
      <c r="X24" s="1747"/>
      <c r="Y24" s="1747"/>
      <c r="Z24" s="1747"/>
      <c r="AA24" s="1748"/>
      <c r="AB24" s="1748"/>
      <c r="AC24" s="1747"/>
      <c r="AD24" s="1747"/>
      <c r="AE24" s="1747"/>
      <c r="AF24" s="1747">
        <f t="shared" si="7"/>
        <v>80</v>
      </c>
      <c r="AH24" s="1738">
        <f t="shared" si="8"/>
        <v>80</v>
      </c>
      <c r="AI24" s="1738">
        <f t="shared" si="3"/>
        <v>80</v>
      </c>
      <c r="AJ24" s="1739">
        <f t="shared" si="2"/>
        <v>0</v>
      </c>
    </row>
    <row r="25" spans="1:37" s="820" customFormat="1" ht="16.5" x14ac:dyDescent="0.25">
      <c r="B25" s="1741"/>
      <c r="C25" s="1742" t="str">
        <f>[20]матеріали!C25</f>
        <v>Цемент (міш. 25 кг) (0,04м3*0,418т)</v>
      </c>
      <c r="D25" s="1723" t="str">
        <f>[20]матеріали!D25</f>
        <v xml:space="preserve">міш </v>
      </c>
      <c r="E25" s="1761">
        <f>[20]матеріали!G25</f>
        <v>7</v>
      </c>
      <c r="F25" s="1743">
        <f>[20]матеріали!J25</f>
        <v>210</v>
      </c>
      <c r="G25" s="1743">
        <f t="shared" si="6"/>
        <v>1470</v>
      </c>
      <c r="H25" s="1744">
        <f>[20]матеріали!K25-G25</f>
        <v>0</v>
      </c>
      <c r="I25" s="1509"/>
      <c r="J25" s="1741"/>
      <c r="K25" s="1742" t="str">
        <f t="shared" si="9"/>
        <v>Цемент (міш. 25 кг) (0,04м3*0,418т)</v>
      </c>
      <c r="L25" s="1723" t="str">
        <f t="shared" si="9"/>
        <v xml:space="preserve">міш </v>
      </c>
      <c r="M25" s="1762">
        <f t="shared" si="9"/>
        <v>7</v>
      </c>
      <c r="N25" s="1743">
        <f t="shared" si="9"/>
        <v>210</v>
      </c>
      <c r="O25" s="1747"/>
      <c r="P25" s="1747"/>
      <c r="Q25" s="1747"/>
      <c r="R25" s="1748"/>
      <c r="S25" s="1747">
        <f t="shared" si="10"/>
        <v>1470</v>
      </c>
      <c r="T25" s="1747"/>
      <c r="U25" s="1747"/>
      <c r="V25" s="1748"/>
      <c r="W25" s="1748"/>
      <c r="X25" s="1747"/>
      <c r="Y25" s="1747"/>
      <c r="Z25" s="1747"/>
      <c r="AA25" s="1748"/>
      <c r="AB25" s="1748"/>
      <c r="AC25" s="1747"/>
      <c r="AD25" s="1747"/>
      <c r="AE25" s="1747"/>
      <c r="AF25" s="1747">
        <f t="shared" si="7"/>
        <v>1470</v>
      </c>
      <c r="AH25" s="1738">
        <f t="shared" si="8"/>
        <v>1470</v>
      </c>
      <c r="AI25" s="1738">
        <f t="shared" si="3"/>
        <v>1470</v>
      </c>
      <c r="AJ25" s="1739">
        <f t="shared" si="2"/>
        <v>0</v>
      </c>
    </row>
    <row r="26" spans="1:37" s="820" customFormat="1" ht="16.5" x14ac:dyDescent="0.25">
      <c r="B26" s="1741"/>
      <c r="C26" s="1742" t="str">
        <f>[20]матеріали!C26</f>
        <v>Пісок, кг (0,04м3*1,11т*1,5)</v>
      </c>
      <c r="D26" s="1723" t="str">
        <f>[20]матеріали!D26</f>
        <v>кг</v>
      </c>
      <c r="E26" s="1761">
        <f>[20]матеріали!G26</f>
        <v>666</v>
      </c>
      <c r="F26" s="1743">
        <f>[20]матеріали!J26</f>
        <v>3</v>
      </c>
      <c r="G26" s="1743">
        <f t="shared" si="6"/>
        <v>1998</v>
      </c>
      <c r="H26" s="1744">
        <f>[20]матеріали!K26-G26</f>
        <v>0</v>
      </c>
      <c r="I26" s="1509"/>
      <c r="J26" s="1741"/>
      <c r="K26" s="1742" t="str">
        <f t="shared" si="9"/>
        <v>Пісок, кг (0,04м3*1,11т*1,5)</v>
      </c>
      <c r="L26" s="1723" t="str">
        <f t="shared" si="9"/>
        <v>кг</v>
      </c>
      <c r="M26" s="1762">
        <f t="shared" si="9"/>
        <v>666</v>
      </c>
      <c r="N26" s="1743">
        <f t="shared" si="9"/>
        <v>3</v>
      </c>
      <c r="O26" s="1747"/>
      <c r="P26" s="1747"/>
      <c r="Q26" s="1747"/>
      <c r="R26" s="1748"/>
      <c r="S26" s="1747">
        <f t="shared" si="10"/>
        <v>1998</v>
      </c>
      <c r="T26" s="1747"/>
      <c r="U26" s="1747"/>
      <c r="V26" s="1748"/>
      <c r="W26" s="1748"/>
      <c r="X26" s="1747"/>
      <c r="Y26" s="1747"/>
      <c r="Z26" s="1747"/>
      <c r="AA26" s="1748"/>
      <c r="AB26" s="1748"/>
      <c r="AC26" s="1747"/>
      <c r="AD26" s="1747"/>
      <c r="AE26" s="1747"/>
      <c r="AF26" s="1747">
        <f t="shared" si="7"/>
        <v>1998</v>
      </c>
      <c r="AH26" s="1738">
        <f>SUM(S26:AE26)</f>
        <v>1998</v>
      </c>
      <c r="AI26" s="1738">
        <f t="shared" si="3"/>
        <v>1998</v>
      </c>
      <c r="AJ26" s="1739">
        <f t="shared" si="2"/>
        <v>0</v>
      </c>
    </row>
    <row r="27" spans="1:37" s="820" customFormat="1" ht="16.5" hidden="1" x14ac:dyDescent="0.25">
      <c r="B27" s="1741"/>
      <c r="C27" s="1764" t="str">
        <f>[20]матеріали!C27</f>
        <v xml:space="preserve">Решітка дощоприймальна (дорожна) в комплекті </v>
      </c>
      <c r="D27" s="1765" t="str">
        <f>[20]матеріали!D27</f>
        <v>шт</v>
      </c>
      <c r="E27" s="1766">
        <f>[20]матеріали!G27</f>
        <v>0</v>
      </c>
      <c r="F27" s="1767">
        <f>[20]матеріали!J27</f>
        <v>7250</v>
      </c>
      <c r="G27" s="1767">
        <f t="shared" si="6"/>
        <v>0</v>
      </c>
      <c r="H27" s="1744">
        <f>[20]матеріали!K27-G27</f>
        <v>0</v>
      </c>
      <c r="I27" s="1509"/>
      <c r="J27" s="1741"/>
      <c r="K27" s="1742" t="str">
        <f t="shared" si="9"/>
        <v xml:space="preserve">Решітка дощоприймальна (дорожна) в комплекті </v>
      </c>
      <c r="L27" s="1723" t="str">
        <f t="shared" si="9"/>
        <v>шт</v>
      </c>
      <c r="M27" s="1762">
        <f t="shared" si="9"/>
        <v>0</v>
      </c>
      <c r="N27" s="1743">
        <f t="shared" si="9"/>
        <v>7250</v>
      </c>
      <c r="O27" s="1747"/>
      <c r="P27" s="1747"/>
      <c r="Q27" s="1747"/>
      <c r="R27" s="1748"/>
      <c r="S27" s="1747">
        <f t="shared" si="10"/>
        <v>0</v>
      </c>
      <c r="T27" s="1747"/>
      <c r="U27" s="1747"/>
      <c r="V27" s="1748"/>
      <c r="W27" s="1748"/>
      <c r="X27" s="1747"/>
      <c r="Y27" s="1747"/>
      <c r="Z27" s="1747"/>
      <c r="AA27" s="1748"/>
      <c r="AB27" s="1748"/>
      <c r="AC27" s="1747"/>
      <c r="AD27" s="1747"/>
      <c r="AE27" s="1747"/>
      <c r="AF27" s="1747">
        <f t="shared" si="7"/>
        <v>0</v>
      </c>
      <c r="AH27" s="1738">
        <f>SUM(S27:AE27)</f>
        <v>0</v>
      </c>
      <c r="AI27" s="1738">
        <f t="shared" si="3"/>
        <v>0</v>
      </c>
      <c r="AJ27" s="1739">
        <f t="shared" si="2"/>
        <v>0</v>
      </c>
    </row>
    <row r="28" spans="1:37" s="820" customFormat="1" ht="16.5" x14ac:dyDescent="0.25">
      <c r="B28" s="1741"/>
      <c r="C28" s="1742" t="str">
        <f>[20]матеріали!C28</f>
        <v>Цемент (міш. 25 кг) (0,055м3*0,382т)</v>
      </c>
      <c r="D28" s="1723" t="str">
        <f>[20]матеріали!D28</f>
        <v xml:space="preserve">міш </v>
      </c>
      <c r="E28" s="1761">
        <f>[20]матеріали!G28</f>
        <v>8</v>
      </c>
      <c r="F28" s="1743">
        <f>[20]матеріали!J28</f>
        <v>210</v>
      </c>
      <c r="G28" s="1743">
        <f t="shared" si="6"/>
        <v>1680</v>
      </c>
      <c r="H28" s="1744">
        <f>[20]матеріали!K28-G28</f>
        <v>0</v>
      </c>
      <c r="I28" s="1509"/>
      <c r="J28" s="1741"/>
      <c r="K28" s="1742" t="str">
        <f t="shared" si="9"/>
        <v>Цемент (міш. 25 кг) (0,055м3*0,382т)</v>
      </c>
      <c r="L28" s="1723" t="str">
        <f t="shared" si="9"/>
        <v xml:space="preserve">міш </v>
      </c>
      <c r="M28" s="1762">
        <f t="shared" si="9"/>
        <v>8</v>
      </c>
      <c r="N28" s="1743">
        <f t="shared" si="9"/>
        <v>210</v>
      </c>
      <c r="O28" s="1747"/>
      <c r="P28" s="1747"/>
      <c r="Q28" s="1747"/>
      <c r="R28" s="1748"/>
      <c r="S28" s="1747">
        <f t="shared" si="10"/>
        <v>1680</v>
      </c>
      <c r="T28" s="1747"/>
      <c r="U28" s="1747"/>
      <c r="V28" s="1748"/>
      <c r="W28" s="1748"/>
      <c r="X28" s="1747"/>
      <c r="Y28" s="1747"/>
      <c r="Z28" s="1747"/>
      <c r="AA28" s="1748"/>
      <c r="AB28" s="1748"/>
      <c r="AC28" s="1747"/>
      <c r="AD28" s="1747"/>
      <c r="AE28" s="1747"/>
      <c r="AF28" s="1747">
        <f t="shared" si="7"/>
        <v>1680</v>
      </c>
      <c r="AH28" s="1738">
        <f>SUM(S28:AE28)</f>
        <v>1680</v>
      </c>
      <c r="AI28" s="1738">
        <f t="shared" si="3"/>
        <v>1680</v>
      </c>
      <c r="AJ28" s="1739">
        <f t="shared" si="2"/>
        <v>0</v>
      </c>
    </row>
    <row r="29" spans="1:37" s="820" customFormat="1" ht="16.5" x14ac:dyDescent="0.25">
      <c r="B29" s="1741"/>
      <c r="C29" s="1742" t="str">
        <f>[20]матеріали!C29</f>
        <v>Пісок, кг (0,055м3*0,43т*1,5)</v>
      </c>
      <c r="D29" s="1723" t="str">
        <f>[20]матеріали!D29</f>
        <v>кг</v>
      </c>
      <c r="E29" s="1761">
        <f>[20]матеріали!G29</f>
        <v>319</v>
      </c>
      <c r="F29" s="1743">
        <f>[20]матеріали!J29</f>
        <v>3</v>
      </c>
      <c r="G29" s="1743">
        <f t="shared" si="6"/>
        <v>957</v>
      </c>
      <c r="H29" s="1744">
        <f>[20]матеріали!K29-G29</f>
        <v>0</v>
      </c>
      <c r="I29" s="1509"/>
      <c r="J29" s="1741"/>
      <c r="K29" s="1742" t="str">
        <f t="shared" si="9"/>
        <v>Пісок, кг (0,055м3*0,43т*1,5)</v>
      </c>
      <c r="L29" s="1723" t="str">
        <f t="shared" si="9"/>
        <v>кг</v>
      </c>
      <c r="M29" s="1762">
        <f t="shared" si="9"/>
        <v>319</v>
      </c>
      <c r="N29" s="1743">
        <f t="shared" si="9"/>
        <v>3</v>
      </c>
      <c r="O29" s="1747"/>
      <c r="P29" s="1747"/>
      <c r="Q29" s="1747"/>
      <c r="R29" s="1748"/>
      <c r="S29" s="1747">
        <f t="shared" si="10"/>
        <v>957</v>
      </c>
      <c r="T29" s="1747"/>
      <c r="U29" s="1747"/>
      <c r="V29" s="1748"/>
      <c r="W29" s="1748"/>
      <c r="X29" s="1747"/>
      <c r="Y29" s="1747"/>
      <c r="Z29" s="1747"/>
      <c r="AA29" s="1748"/>
      <c r="AB29" s="1748"/>
      <c r="AC29" s="1747"/>
      <c r="AD29" s="1747"/>
      <c r="AE29" s="1747"/>
      <c r="AF29" s="1747">
        <f t="shared" si="7"/>
        <v>957</v>
      </c>
      <c r="AH29" s="1738">
        <f>SUM(S29:AE29)</f>
        <v>957</v>
      </c>
      <c r="AI29" s="1738">
        <f t="shared" si="3"/>
        <v>957</v>
      </c>
      <c r="AJ29" s="1739">
        <f t="shared" si="2"/>
        <v>0</v>
      </c>
    </row>
    <row r="30" spans="1:37" s="820" customFormat="1" ht="16.5" x14ac:dyDescent="0.25">
      <c r="B30" s="1741"/>
      <c r="C30" s="1742" t="str">
        <f>[20]матеріали!C30</f>
        <v>Щебінь (0,055м3*0,76т*1,35)</v>
      </c>
      <c r="D30" s="1723" t="str">
        <f>[20]матеріали!D30</f>
        <v>кг</v>
      </c>
      <c r="E30" s="1773">
        <f>[20]матеріали!G30</f>
        <v>505.81650000000002</v>
      </c>
      <c r="F30" s="1743">
        <f>[20]матеріали!J30</f>
        <v>3</v>
      </c>
      <c r="G30" s="1767">
        <f>E30*F30</f>
        <v>1517.4495000000002</v>
      </c>
      <c r="H30" s="1744">
        <f>[20]матеріали!K30-G30</f>
        <v>0</v>
      </c>
      <c r="I30" s="1509"/>
      <c r="J30" s="1741"/>
      <c r="K30" s="1742" t="str">
        <f t="shared" si="9"/>
        <v>Щебінь (0,055м3*0,76т*1,35)</v>
      </c>
      <c r="L30" s="1723" t="str">
        <f t="shared" si="9"/>
        <v>кг</v>
      </c>
      <c r="M30" s="1762">
        <f t="shared" si="9"/>
        <v>505.81650000000002</v>
      </c>
      <c r="N30" s="1743">
        <f t="shared" si="9"/>
        <v>3</v>
      </c>
      <c r="O30" s="1747"/>
      <c r="P30" s="1747"/>
      <c r="Q30" s="1747"/>
      <c r="R30" s="1748"/>
      <c r="S30" s="1747">
        <f t="shared" si="10"/>
        <v>1517.4495000000002</v>
      </c>
      <c r="T30" s="1747"/>
      <c r="U30" s="1747"/>
      <c r="V30" s="1748"/>
      <c r="W30" s="1748"/>
      <c r="X30" s="1747"/>
      <c r="Y30" s="1747"/>
      <c r="Z30" s="1747"/>
      <c r="AA30" s="1748"/>
      <c r="AB30" s="1748"/>
      <c r="AC30" s="1747"/>
      <c r="AD30" s="1747"/>
      <c r="AE30" s="1747"/>
      <c r="AF30" s="1747">
        <f t="shared" si="7"/>
        <v>1517.4495000000002</v>
      </c>
      <c r="AH30" s="1738">
        <f t="shared" ref="AH30:AH50" si="11">SUM(S30:AE30)</f>
        <v>1517.4495000000002</v>
      </c>
      <c r="AI30" s="1738">
        <f t="shared" si="3"/>
        <v>1517.4495000000002</v>
      </c>
      <c r="AJ30" s="1739">
        <f t="shared" si="2"/>
        <v>0</v>
      </c>
    </row>
    <row r="31" spans="1:37" s="820" customFormat="1" ht="16.5" x14ac:dyDescent="0.25">
      <c r="B31" s="1741"/>
      <c r="C31" s="1742" t="str">
        <f>[20]матеріали!C31</f>
        <v>Рідке скло,  кг (люки 0,81, решітки 0,91)</v>
      </c>
      <c r="D31" s="1723" t="str">
        <f>[20]матеріали!D31</f>
        <v>кг</v>
      </c>
      <c r="E31" s="1761">
        <f>[20]матеріали!G31</f>
        <v>12</v>
      </c>
      <c r="F31" s="1743">
        <f>[20]матеріали!J31</f>
        <v>85</v>
      </c>
      <c r="G31" s="1743">
        <f>E31*F31-0</f>
        <v>1020</v>
      </c>
      <c r="H31" s="1774">
        <f>[20]матеріали!K31-G31</f>
        <v>0</v>
      </c>
      <c r="J31" s="1741"/>
      <c r="K31" s="1742" t="str">
        <f t="shared" si="9"/>
        <v>Рідке скло,  кг (люки 0,81, решітки 0,91)</v>
      </c>
      <c r="L31" s="1723" t="str">
        <f t="shared" si="9"/>
        <v>кг</v>
      </c>
      <c r="M31" s="1762">
        <f t="shared" si="9"/>
        <v>12</v>
      </c>
      <c r="N31" s="1743">
        <f t="shared" si="9"/>
        <v>85</v>
      </c>
      <c r="O31" s="1747"/>
      <c r="P31" s="1747"/>
      <c r="Q31" s="1747"/>
      <c r="R31" s="1748"/>
      <c r="S31" s="1747">
        <f t="shared" si="10"/>
        <v>1020</v>
      </c>
      <c r="T31" s="1747"/>
      <c r="U31" s="1747"/>
      <c r="V31" s="1748"/>
      <c r="W31" s="1748"/>
      <c r="X31" s="1747"/>
      <c r="Y31" s="1747"/>
      <c r="Z31" s="1747"/>
      <c r="AA31" s="1748"/>
      <c r="AB31" s="1748"/>
      <c r="AC31" s="1747"/>
      <c r="AD31" s="1747"/>
      <c r="AE31" s="1747"/>
      <c r="AF31" s="1747">
        <f t="shared" si="7"/>
        <v>1020</v>
      </c>
      <c r="AH31" s="1738">
        <f t="shared" si="11"/>
        <v>1020</v>
      </c>
      <c r="AI31" s="1738">
        <f t="shared" si="3"/>
        <v>1020</v>
      </c>
      <c r="AJ31" s="1739">
        <f t="shared" si="2"/>
        <v>0</v>
      </c>
    </row>
    <row r="32" spans="1:37" s="824" customFormat="1" ht="16.5" hidden="1" x14ac:dyDescent="0.25">
      <c r="B32" s="1763"/>
      <c r="C32" s="1764" t="str">
        <f>[20]матеріали!C32</f>
        <v>Вода (люки 0,04 х 0,32, решітки 0,055х0,21 )</v>
      </c>
      <c r="D32" s="1765" t="str">
        <f>[20]матеріали!D32</f>
        <v>м3</v>
      </c>
      <c r="E32" s="1766">
        <f>[20]матеріали!G32</f>
        <v>0</v>
      </c>
      <c r="F32" s="1767">
        <f>[20]матеріали!J32</f>
        <v>0</v>
      </c>
      <c r="G32" s="1767">
        <f>E32*F32-0</f>
        <v>0</v>
      </c>
      <c r="H32" s="1744">
        <f>[20]матеріали!K32-G32</f>
        <v>0</v>
      </c>
      <c r="J32" s="1763"/>
      <c r="K32" s="1764" t="str">
        <f t="shared" si="9"/>
        <v>Вода (люки 0,04 х 0,32, решітки 0,055х0,21 )</v>
      </c>
      <c r="L32" s="1765" t="str">
        <f t="shared" si="9"/>
        <v>м3</v>
      </c>
      <c r="M32" s="1768">
        <f t="shared" si="9"/>
        <v>0</v>
      </c>
      <c r="N32" s="1767">
        <f t="shared" si="9"/>
        <v>0</v>
      </c>
      <c r="O32" s="1769"/>
      <c r="P32" s="1769"/>
      <c r="Q32" s="1769"/>
      <c r="R32" s="1770"/>
      <c r="S32" s="1769">
        <f t="shared" si="10"/>
        <v>0</v>
      </c>
      <c r="T32" s="1769"/>
      <c r="U32" s="1769"/>
      <c r="V32" s="1770"/>
      <c r="W32" s="1770"/>
      <c r="X32" s="1769"/>
      <c r="Y32" s="1769"/>
      <c r="Z32" s="1769"/>
      <c r="AA32" s="1770"/>
      <c r="AB32" s="1770"/>
      <c r="AC32" s="1769"/>
      <c r="AD32" s="1769"/>
      <c r="AE32" s="1769"/>
      <c r="AF32" s="1769">
        <f t="shared" si="7"/>
        <v>0</v>
      </c>
      <c r="AH32" s="1771">
        <f t="shared" si="11"/>
        <v>0</v>
      </c>
      <c r="AI32" s="1771">
        <f t="shared" si="3"/>
        <v>0</v>
      </c>
      <c r="AJ32" s="1772">
        <f t="shared" si="2"/>
        <v>0</v>
      </c>
    </row>
    <row r="33" spans="2:36" s="820" customFormat="1" ht="16.5" x14ac:dyDescent="0.25">
      <c r="B33" s="1741"/>
      <c r="C33" s="1742" t="str">
        <f>[20]матеріали!C33</f>
        <v xml:space="preserve">Цемент (міш. 25 кг) </v>
      </c>
      <c r="D33" s="1723" t="str">
        <f>[20]матеріали!D33</f>
        <v xml:space="preserve">міш </v>
      </c>
      <c r="E33" s="1761">
        <f>[20]матеріали!G33</f>
        <v>38</v>
      </c>
      <c r="F33" s="1743">
        <f>[20]матеріали!J33</f>
        <v>210</v>
      </c>
      <c r="G33" s="1743">
        <f>E33*F33-0</f>
        <v>7980</v>
      </c>
      <c r="H33" s="1744">
        <f>[20]матеріали!K33-G33</f>
        <v>0</v>
      </c>
      <c r="I33" s="1509"/>
      <c r="J33" s="1741"/>
      <c r="K33" s="1742" t="str">
        <f>C33</f>
        <v xml:space="preserve">Цемент (міш. 25 кг) </v>
      </c>
      <c r="L33" s="1723" t="str">
        <f>D33</f>
        <v xml:space="preserve">міш </v>
      </c>
      <c r="M33" s="1762">
        <f>E33</f>
        <v>38</v>
      </c>
      <c r="N33" s="1743">
        <f>F33</f>
        <v>210</v>
      </c>
      <c r="O33" s="1747"/>
      <c r="P33" s="1747"/>
      <c r="Q33" s="1747"/>
      <c r="R33" s="1748"/>
      <c r="S33" s="1747">
        <f t="shared" si="10"/>
        <v>7980</v>
      </c>
      <c r="T33" s="1747"/>
      <c r="U33" s="1747"/>
      <c r="V33" s="1748"/>
      <c r="W33" s="1748"/>
      <c r="X33" s="1747"/>
      <c r="Y33" s="1747"/>
      <c r="Z33" s="1747"/>
      <c r="AA33" s="1748"/>
      <c r="AB33" s="1748"/>
      <c r="AC33" s="1747"/>
      <c r="AD33" s="1747"/>
      <c r="AE33" s="1747"/>
      <c r="AF33" s="1747">
        <f>G33</f>
        <v>7980</v>
      </c>
      <c r="AH33" s="1738">
        <f>SUM(S33:AE33)</f>
        <v>7980</v>
      </c>
      <c r="AI33" s="1738">
        <f>G33</f>
        <v>7980</v>
      </c>
      <c r="AJ33" s="1739">
        <f>AI33-AH33</f>
        <v>0</v>
      </c>
    </row>
    <row r="34" spans="2:36" s="820" customFormat="1" ht="16.5" x14ac:dyDescent="0.25">
      <c r="B34" s="1741"/>
      <c r="C34" s="1742" t="str">
        <f>[20]матеріали!C34</f>
        <v>Пісок, кг</v>
      </c>
      <c r="D34" s="1723" t="str">
        <f>[20]матеріали!D34</f>
        <v>кг</v>
      </c>
      <c r="E34" s="1761">
        <f>[20]матеріали!G34</f>
        <v>2221</v>
      </c>
      <c r="F34" s="1743">
        <f>[20]матеріали!J34</f>
        <v>3</v>
      </c>
      <c r="G34" s="1743">
        <f>E34*F34-0</f>
        <v>6663</v>
      </c>
      <c r="H34" s="1744">
        <f>[20]матеріали!K34-G34</f>
        <v>0</v>
      </c>
      <c r="I34" s="1683">
        <f>H107</f>
        <v>0</v>
      </c>
      <c r="J34" s="1741"/>
      <c r="K34" s="1742" t="str">
        <f t="shared" si="9"/>
        <v>Пісок, кг</v>
      </c>
      <c r="L34" s="1723" t="str">
        <f t="shared" si="9"/>
        <v>кг</v>
      </c>
      <c r="M34" s="1762">
        <f t="shared" si="9"/>
        <v>2221</v>
      </c>
      <c r="N34" s="1743">
        <f t="shared" si="9"/>
        <v>3</v>
      </c>
      <c r="O34" s="1747"/>
      <c r="P34" s="1747"/>
      <c r="Q34" s="1747"/>
      <c r="R34" s="1748"/>
      <c r="S34" s="1747">
        <f t="shared" si="10"/>
        <v>6663</v>
      </c>
      <c r="T34" s="1747"/>
      <c r="U34" s="1747"/>
      <c r="V34" s="1748"/>
      <c r="W34" s="1748"/>
      <c r="X34" s="1747"/>
      <c r="Y34" s="1747"/>
      <c r="Z34" s="1747"/>
      <c r="AA34" s="1748"/>
      <c r="AB34" s="1748"/>
      <c r="AC34" s="1747"/>
      <c r="AD34" s="1747"/>
      <c r="AE34" s="1747"/>
      <c r="AF34" s="1747">
        <f t="shared" si="7"/>
        <v>6663</v>
      </c>
      <c r="AH34" s="1738">
        <f t="shared" si="11"/>
        <v>6663</v>
      </c>
      <c r="AI34" s="1738">
        <f t="shared" si="3"/>
        <v>6663</v>
      </c>
      <c r="AJ34" s="1739">
        <f t="shared" si="2"/>
        <v>0</v>
      </c>
    </row>
    <row r="35" spans="2:36" s="820" customFormat="1" ht="16.5" x14ac:dyDescent="0.25">
      <c r="B35" s="1741"/>
      <c r="C35" s="1742" t="str">
        <f>[20]матеріали!C35</f>
        <v>Лопати штикові , шт (1 шт на 1 особу)</v>
      </c>
      <c r="D35" s="1723" t="str">
        <f>[20]матеріали!D35</f>
        <v>шт</v>
      </c>
      <c r="E35" s="1761">
        <f>[20]матеріали!G35</f>
        <v>5</v>
      </c>
      <c r="F35" s="1743">
        <f>[20]матеріали!J35</f>
        <v>350</v>
      </c>
      <c r="G35" s="1743">
        <f t="shared" ref="G35:G62" si="12">E35*F35</f>
        <v>1750</v>
      </c>
      <c r="H35" s="1744">
        <f>[20]матеріали!K35-G35</f>
        <v>0</v>
      </c>
      <c r="I35" s="1775"/>
      <c r="J35" s="1741"/>
      <c r="K35" s="1742" t="str">
        <f t="shared" si="9"/>
        <v>Лопати штикові , шт (1 шт на 1 особу)</v>
      </c>
      <c r="L35" s="1723" t="str">
        <f t="shared" si="9"/>
        <v>шт</v>
      </c>
      <c r="M35" s="1762">
        <f t="shared" si="9"/>
        <v>5</v>
      </c>
      <c r="N35" s="1743">
        <f t="shared" si="9"/>
        <v>350</v>
      </c>
      <c r="O35" s="1747"/>
      <c r="P35" s="1747"/>
      <c r="Q35" s="1747"/>
      <c r="R35" s="1748"/>
      <c r="S35" s="1747">
        <f t="shared" si="10"/>
        <v>1750</v>
      </c>
      <c r="T35" s="1747"/>
      <c r="U35" s="1747"/>
      <c r="V35" s="1748"/>
      <c r="W35" s="1748"/>
      <c r="X35" s="1747"/>
      <c r="Y35" s="1747"/>
      <c r="Z35" s="1747"/>
      <c r="AA35" s="1748"/>
      <c r="AB35" s="1748"/>
      <c r="AC35" s="1747"/>
      <c r="AD35" s="1747"/>
      <c r="AE35" s="1747"/>
      <c r="AF35" s="1747">
        <f t="shared" si="7"/>
        <v>1750</v>
      </c>
      <c r="AH35" s="1738">
        <f t="shared" si="11"/>
        <v>1750</v>
      </c>
      <c r="AI35" s="1738">
        <f t="shared" si="3"/>
        <v>1750</v>
      </c>
      <c r="AJ35" s="1739">
        <f t="shared" si="2"/>
        <v>0</v>
      </c>
    </row>
    <row r="36" spans="2:36" s="820" customFormat="1" ht="16.5" x14ac:dyDescent="0.25">
      <c r="B36" s="1741"/>
      <c r="C36" s="1742" t="str">
        <f>[20]матеріали!C36</f>
        <v>Лопати совкові, шт (1 шт на 1 особу)</v>
      </c>
      <c r="D36" s="1723" t="str">
        <f>[20]матеріали!D36</f>
        <v>шт</v>
      </c>
      <c r="E36" s="1761">
        <f>[20]матеріали!G36</f>
        <v>5</v>
      </c>
      <c r="F36" s="1743">
        <f>[20]матеріали!J36</f>
        <v>310</v>
      </c>
      <c r="G36" s="1743">
        <f t="shared" si="12"/>
        <v>1550</v>
      </c>
      <c r="H36" s="1744">
        <f>[20]матеріали!K36-G36</f>
        <v>0</v>
      </c>
      <c r="I36" s="1509"/>
      <c r="J36" s="1741"/>
      <c r="K36" s="1742" t="str">
        <f t="shared" si="9"/>
        <v>Лопати совкові, шт (1 шт на 1 особу)</v>
      </c>
      <c r="L36" s="1723" t="str">
        <f t="shared" si="9"/>
        <v>шт</v>
      </c>
      <c r="M36" s="1762">
        <f t="shared" si="9"/>
        <v>5</v>
      </c>
      <c r="N36" s="1743">
        <f t="shared" si="9"/>
        <v>310</v>
      </c>
      <c r="O36" s="1747"/>
      <c r="P36" s="1747"/>
      <c r="Q36" s="1747"/>
      <c r="R36" s="1748"/>
      <c r="S36" s="1747">
        <f t="shared" si="10"/>
        <v>1550</v>
      </c>
      <c r="T36" s="1747"/>
      <c r="U36" s="1747"/>
      <c r="V36" s="1748"/>
      <c r="W36" s="1748"/>
      <c r="X36" s="1747"/>
      <c r="Y36" s="1747"/>
      <c r="Z36" s="1747"/>
      <c r="AA36" s="1748"/>
      <c r="AB36" s="1748"/>
      <c r="AC36" s="1747"/>
      <c r="AD36" s="1747"/>
      <c r="AE36" s="1747"/>
      <c r="AF36" s="1747">
        <f t="shared" si="7"/>
        <v>1550</v>
      </c>
      <c r="AH36" s="1738">
        <f t="shared" si="11"/>
        <v>1550</v>
      </c>
      <c r="AI36" s="1738">
        <f t="shared" si="3"/>
        <v>1550</v>
      </c>
      <c r="AJ36" s="1739">
        <f t="shared" si="2"/>
        <v>0</v>
      </c>
    </row>
    <row r="37" spans="2:36" s="820" customFormat="1" ht="16.5" x14ac:dyDescent="0.25">
      <c r="B37" s="1741"/>
      <c r="C37" s="1742" t="str">
        <f>[20]матеріали!C37</f>
        <v>Держак для лопати , шт (1 шт на 1 лопату)</v>
      </c>
      <c r="D37" s="1723" t="str">
        <f>[20]матеріали!D37</f>
        <v>шт</v>
      </c>
      <c r="E37" s="1761">
        <f>[20]матеріали!G37</f>
        <v>10</v>
      </c>
      <c r="F37" s="1743">
        <f>[20]матеріали!J37</f>
        <v>65</v>
      </c>
      <c r="G37" s="1743">
        <f t="shared" si="12"/>
        <v>650</v>
      </c>
      <c r="H37" s="1744">
        <f>[20]матеріали!K37-G37</f>
        <v>0</v>
      </c>
      <c r="I37" s="1509"/>
      <c r="J37" s="1741"/>
      <c r="K37" s="1742" t="str">
        <f t="shared" si="9"/>
        <v>Держак для лопати , шт (1 шт на 1 лопату)</v>
      </c>
      <c r="L37" s="1723" t="str">
        <f t="shared" si="9"/>
        <v>шт</v>
      </c>
      <c r="M37" s="1762">
        <f t="shared" si="9"/>
        <v>10</v>
      </c>
      <c r="N37" s="1743">
        <f t="shared" si="9"/>
        <v>65</v>
      </c>
      <c r="O37" s="1747"/>
      <c r="P37" s="1747"/>
      <c r="Q37" s="1747"/>
      <c r="R37" s="1748"/>
      <c r="S37" s="1747">
        <f t="shared" si="10"/>
        <v>650</v>
      </c>
      <c r="T37" s="1747"/>
      <c r="U37" s="1747"/>
      <c r="V37" s="1748"/>
      <c r="W37" s="1748"/>
      <c r="X37" s="1747"/>
      <c r="Y37" s="1747"/>
      <c r="Z37" s="1747"/>
      <c r="AA37" s="1748"/>
      <c r="AB37" s="1748"/>
      <c r="AC37" s="1747"/>
      <c r="AD37" s="1747"/>
      <c r="AE37" s="1747"/>
      <c r="AF37" s="1747">
        <f t="shared" si="7"/>
        <v>650</v>
      </c>
      <c r="AH37" s="1738">
        <f t="shared" si="11"/>
        <v>650</v>
      </c>
      <c r="AI37" s="1738">
        <f t="shared" si="3"/>
        <v>650</v>
      </c>
      <c r="AJ37" s="1739">
        <f t="shared" si="2"/>
        <v>0</v>
      </c>
    </row>
    <row r="38" spans="2:36" s="820" customFormat="1" ht="14.25" customHeight="1" x14ac:dyDescent="0.25">
      <c r="B38" s="1741"/>
      <c r="C38" s="1776" t="str">
        <f>[20]матеріали!C38</f>
        <v>Лопати мала саперна складна під кутом 900, шт (1 шт на 0,5 ос.)</v>
      </c>
      <c r="D38" s="1723" t="str">
        <f>[20]матеріали!D38</f>
        <v>шт</v>
      </c>
      <c r="E38" s="1761">
        <f>[20]матеріали!G38</f>
        <v>3</v>
      </c>
      <c r="F38" s="1743">
        <f>[20]матеріали!J38</f>
        <v>520</v>
      </c>
      <c r="G38" s="1743">
        <f t="shared" si="12"/>
        <v>1560</v>
      </c>
      <c r="H38" s="1744">
        <f>[20]матеріали!K38-G38</f>
        <v>0</v>
      </c>
      <c r="I38" s="1509"/>
      <c r="J38" s="1741"/>
      <c r="K38" s="1742" t="str">
        <f t="shared" si="9"/>
        <v>Лопати мала саперна складна під кутом 900, шт (1 шт на 0,5 ос.)</v>
      </c>
      <c r="L38" s="1723" t="str">
        <f t="shared" si="9"/>
        <v>шт</v>
      </c>
      <c r="M38" s="1762">
        <f t="shared" si="9"/>
        <v>3</v>
      </c>
      <c r="N38" s="1743">
        <f t="shared" si="9"/>
        <v>520</v>
      </c>
      <c r="O38" s="1747"/>
      <c r="P38" s="1747"/>
      <c r="Q38" s="1747"/>
      <c r="R38" s="1748"/>
      <c r="S38" s="1747">
        <f t="shared" si="10"/>
        <v>1560</v>
      </c>
      <c r="T38" s="1747"/>
      <c r="U38" s="1747"/>
      <c r="V38" s="1748"/>
      <c r="W38" s="1748"/>
      <c r="X38" s="1747"/>
      <c r="Y38" s="1747"/>
      <c r="Z38" s="1747"/>
      <c r="AA38" s="1748"/>
      <c r="AB38" s="1748"/>
      <c r="AC38" s="1747"/>
      <c r="AD38" s="1747"/>
      <c r="AE38" s="1747"/>
      <c r="AF38" s="1747">
        <f t="shared" si="7"/>
        <v>1560</v>
      </c>
      <c r="AH38" s="1738">
        <f t="shared" si="11"/>
        <v>1560</v>
      </c>
      <c r="AI38" s="1738">
        <f t="shared" si="3"/>
        <v>1560</v>
      </c>
      <c r="AJ38" s="1739">
        <f t="shared" si="2"/>
        <v>0</v>
      </c>
    </row>
    <row r="39" spans="2:36" s="820" customFormat="1" ht="16.5" x14ac:dyDescent="0.25">
      <c r="B39" s="1741"/>
      <c r="C39" s="1742" t="str">
        <f>[20]матеріали!C39</f>
        <v>Кельма, шт (1 шт на 1 особу)</v>
      </c>
      <c r="D39" s="1723" t="str">
        <f>[20]матеріали!D39</f>
        <v>шт</v>
      </c>
      <c r="E39" s="1761">
        <f>[20]матеріали!G39</f>
        <v>5</v>
      </c>
      <c r="F39" s="1743">
        <f>[20]матеріали!J39</f>
        <v>120</v>
      </c>
      <c r="G39" s="1743">
        <f t="shared" si="12"/>
        <v>600</v>
      </c>
      <c r="H39" s="1744">
        <f>[20]матеріали!K39-G39</f>
        <v>0</v>
      </c>
      <c r="I39" s="1509"/>
      <c r="J39" s="1741"/>
      <c r="K39" s="1742" t="str">
        <f t="shared" si="9"/>
        <v>Кельма, шт (1 шт на 1 особу)</v>
      </c>
      <c r="L39" s="1723" t="str">
        <f t="shared" si="9"/>
        <v>шт</v>
      </c>
      <c r="M39" s="1762">
        <f t="shared" si="9"/>
        <v>5</v>
      </c>
      <c r="N39" s="1743">
        <f t="shared" si="9"/>
        <v>120</v>
      </c>
      <c r="O39" s="1747"/>
      <c r="P39" s="1747"/>
      <c r="Q39" s="1747"/>
      <c r="R39" s="1748"/>
      <c r="S39" s="1747">
        <f t="shared" si="10"/>
        <v>600</v>
      </c>
      <c r="T39" s="1747"/>
      <c r="U39" s="1747"/>
      <c r="V39" s="1748"/>
      <c r="W39" s="1748"/>
      <c r="X39" s="1747"/>
      <c r="Y39" s="1747"/>
      <c r="Z39" s="1747"/>
      <c r="AA39" s="1748"/>
      <c r="AB39" s="1748"/>
      <c r="AC39" s="1747"/>
      <c r="AD39" s="1747"/>
      <c r="AE39" s="1747"/>
      <c r="AF39" s="1747">
        <f t="shared" si="7"/>
        <v>600</v>
      </c>
      <c r="AH39" s="1738">
        <f t="shared" si="11"/>
        <v>600</v>
      </c>
      <c r="AI39" s="1738">
        <f t="shared" si="3"/>
        <v>600</v>
      </c>
      <c r="AJ39" s="1739">
        <f t="shared" si="2"/>
        <v>0</v>
      </c>
    </row>
    <row r="40" spans="2:36" s="820" customFormat="1" ht="16.5" x14ac:dyDescent="0.25">
      <c r="B40" s="1741"/>
      <c r="C40" s="1742" t="str">
        <f>[20]матеріали!C40</f>
        <v>Черпак штукатурний малий, шт (1 шт на 0,5 ос.)</v>
      </c>
      <c r="D40" s="1723" t="str">
        <f>[20]матеріали!D40</f>
        <v>шт</v>
      </c>
      <c r="E40" s="1761">
        <f>[20]матеріали!G40</f>
        <v>3</v>
      </c>
      <c r="F40" s="1743">
        <f>[20]матеріали!J40</f>
        <v>120</v>
      </c>
      <c r="G40" s="1743">
        <f t="shared" si="12"/>
        <v>360</v>
      </c>
      <c r="H40" s="1744">
        <f>[20]матеріали!K40-G40</f>
        <v>0</v>
      </c>
      <c r="I40" s="1509"/>
      <c r="J40" s="1741"/>
      <c r="K40" s="1742" t="str">
        <f t="shared" si="9"/>
        <v>Черпак штукатурний малий, шт (1 шт на 0,5 ос.)</v>
      </c>
      <c r="L40" s="1723" t="str">
        <f t="shared" si="9"/>
        <v>шт</v>
      </c>
      <c r="M40" s="1762">
        <f t="shared" si="9"/>
        <v>3</v>
      </c>
      <c r="N40" s="1743">
        <f t="shared" si="9"/>
        <v>120</v>
      </c>
      <c r="O40" s="1747"/>
      <c r="P40" s="1747"/>
      <c r="Q40" s="1747"/>
      <c r="R40" s="1748"/>
      <c r="S40" s="1747">
        <f t="shared" si="10"/>
        <v>360</v>
      </c>
      <c r="T40" s="1747"/>
      <c r="U40" s="1747"/>
      <c r="V40" s="1748"/>
      <c r="W40" s="1748"/>
      <c r="X40" s="1747"/>
      <c r="Y40" s="1747"/>
      <c r="Z40" s="1747"/>
      <c r="AA40" s="1748"/>
      <c r="AB40" s="1748"/>
      <c r="AC40" s="1747"/>
      <c r="AD40" s="1747"/>
      <c r="AE40" s="1747"/>
      <c r="AF40" s="1747">
        <f t="shared" si="7"/>
        <v>360</v>
      </c>
      <c r="AH40" s="1738">
        <f t="shared" si="11"/>
        <v>360</v>
      </c>
      <c r="AI40" s="1738">
        <f t="shared" si="3"/>
        <v>360</v>
      </c>
      <c r="AJ40" s="1739">
        <f t="shared" si="2"/>
        <v>0</v>
      </c>
    </row>
    <row r="41" spans="2:36" s="820" customFormat="1" ht="16.5" x14ac:dyDescent="0.25">
      <c r="B41" s="1741"/>
      <c r="C41" s="1742" t="str">
        <f>[20]матеріали!C41</f>
        <v>Шпатель штукатурний, шт (1 шт на 0,5 ос.)</v>
      </c>
      <c r="D41" s="1723" t="str">
        <f>[20]матеріали!D41</f>
        <v>шт</v>
      </c>
      <c r="E41" s="1761">
        <f>[20]матеріали!G41</f>
        <v>3</v>
      </c>
      <c r="F41" s="1743">
        <f>[20]матеріали!J41</f>
        <v>120</v>
      </c>
      <c r="G41" s="1743">
        <f t="shared" si="12"/>
        <v>360</v>
      </c>
      <c r="H41" s="1744">
        <f>[20]матеріали!K41-G41</f>
        <v>0</v>
      </c>
      <c r="I41" s="1509"/>
      <c r="J41" s="1741"/>
      <c r="K41" s="1742" t="str">
        <f t="shared" si="9"/>
        <v>Шпатель штукатурний, шт (1 шт на 0,5 ос.)</v>
      </c>
      <c r="L41" s="1723" t="str">
        <f t="shared" si="9"/>
        <v>шт</v>
      </c>
      <c r="M41" s="1762">
        <f t="shared" si="9"/>
        <v>3</v>
      </c>
      <c r="N41" s="1743">
        <f t="shared" si="9"/>
        <v>120</v>
      </c>
      <c r="O41" s="1747"/>
      <c r="P41" s="1747"/>
      <c r="Q41" s="1747"/>
      <c r="R41" s="1748"/>
      <c r="S41" s="1747">
        <f t="shared" si="10"/>
        <v>360</v>
      </c>
      <c r="T41" s="1747"/>
      <c r="U41" s="1747"/>
      <c r="V41" s="1748"/>
      <c r="W41" s="1748"/>
      <c r="X41" s="1747"/>
      <c r="Y41" s="1747"/>
      <c r="Z41" s="1747"/>
      <c r="AA41" s="1748"/>
      <c r="AB41" s="1748"/>
      <c r="AC41" s="1747"/>
      <c r="AD41" s="1747"/>
      <c r="AE41" s="1747"/>
      <c r="AF41" s="1747">
        <f t="shared" si="7"/>
        <v>360</v>
      </c>
      <c r="AH41" s="1738">
        <f t="shared" si="11"/>
        <v>360</v>
      </c>
      <c r="AI41" s="1738">
        <f t="shared" si="3"/>
        <v>360</v>
      </c>
      <c r="AJ41" s="1739">
        <f t="shared" si="2"/>
        <v>0</v>
      </c>
    </row>
    <row r="42" spans="2:36" s="820" customFormat="1" ht="16.5" x14ac:dyDescent="0.25">
      <c r="B42" s="1741"/>
      <c r="C42" s="1742" t="str">
        <f>[20]матеріали!C42</f>
        <v>Відро пластик 10л, шт (1 шт на 1 особу)</v>
      </c>
      <c r="D42" s="1723" t="str">
        <f>[20]матеріали!D42</f>
        <v>шт</v>
      </c>
      <c r="E42" s="1761">
        <f>[20]матеріали!G42</f>
        <v>5</v>
      </c>
      <c r="F42" s="1743">
        <f>[20]матеріали!J42</f>
        <v>100</v>
      </c>
      <c r="G42" s="1743">
        <f t="shared" si="12"/>
        <v>500</v>
      </c>
      <c r="H42" s="1744">
        <f>[20]матеріали!K42-G42</f>
        <v>0</v>
      </c>
      <c r="I42" s="1509"/>
      <c r="J42" s="1741"/>
      <c r="K42" s="1742" t="str">
        <f t="shared" si="9"/>
        <v>Відро пластик 10л, шт (1 шт на 1 особу)</v>
      </c>
      <c r="L42" s="1723" t="str">
        <f t="shared" si="9"/>
        <v>шт</v>
      </c>
      <c r="M42" s="1762">
        <f t="shared" si="9"/>
        <v>5</v>
      </c>
      <c r="N42" s="1743">
        <f t="shared" si="9"/>
        <v>100</v>
      </c>
      <c r="O42" s="1747"/>
      <c r="P42" s="1747"/>
      <c r="Q42" s="1747"/>
      <c r="R42" s="1748"/>
      <c r="S42" s="1747">
        <f t="shared" si="10"/>
        <v>500</v>
      </c>
      <c r="T42" s="1747"/>
      <c r="U42" s="1747"/>
      <c r="V42" s="1748"/>
      <c r="W42" s="1748"/>
      <c r="X42" s="1747"/>
      <c r="Y42" s="1747"/>
      <c r="Z42" s="1747"/>
      <c r="AA42" s="1748"/>
      <c r="AB42" s="1748"/>
      <c r="AC42" s="1747"/>
      <c r="AD42" s="1747"/>
      <c r="AE42" s="1747"/>
      <c r="AF42" s="1747">
        <f t="shared" si="7"/>
        <v>500</v>
      </c>
      <c r="AH42" s="1738">
        <f t="shared" si="11"/>
        <v>500</v>
      </c>
      <c r="AI42" s="1738">
        <f t="shared" si="3"/>
        <v>500</v>
      </c>
      <c r="AJ42" s="1739">
        <f t="shared" si="2"/>
        <v>0</v>
      </c>
    </row>
    <row r="43" spans="2:36" s="820" customFormat="1" ht="16.5" x14ac:dyDescent="0.25">
      <c r="B43" s="1741"/>
      <c r="C43" s="1742" t="str">
        <f>[20]матеріали!C43</f>
        <v>Відро оцинковане 12л, шт (1 шт на 1 особу)</v>
      </c>
      <c r="D43" s="1723" t="str">
        <f>[20]матеріали!D43</f>
        <v>шт</v>
      </c>
      <c r="E43" s="1761">
        <f>[20]матеріали!G43</f>
        <v>5</v>
      </c>
      <c r="F43" s="1743">
        <f>[20]матеріали!J43</f>
        <v>250</v>
      </c>
      <c r="G43" s="1743">
        <f t="shared" si="12"/>
        <v>1250</v>
      </c>
      <c r="H43" s="1744">
        <f>[20]матеріали!K43-G43</f>
        <v>0</v>
      </c>
      <c r="I43" s="1509"/>
      <c r="J43" s="1741"/>
      <c r="K43" s="1742" t="str">
        <f t="shared" si="9"/>
        <v>Відро оцинковане 12л, шт (1 шт на 1 особу)</v>
      </c>
      <c r="L43" s="1723" t="str">
        <f t="shared" si="9"/>
        <v>шт</v>
      </c>
      <c r="M43" s="1762">
        <f t="shared" si="9"/>
        <v>5</v>
      </c>
      <c r="N43" s="1743">
        <f t="shared" si="9"/>
        <v>250</v>
      </c>
      <c r="O43" s="1747"/>
      <c r="P43" s="1747"/>
      <c r="Q43" s="1747"/>
      <c r="R43" s="1748"/>
      <c r="S43" s="1747">
        <f t="shared" si="10"/>
        <v>1250</v>
      </c>
      <c r="T43" s="1747"/>
      <c r="U43" s="1747"/>
      <c r="V43" s="1748"/>
      <c r="W43" s="1748"/>
      <c r="X43" s="1747"/>
      <c r="Y43" s="1747"/>
      <c r="Z43" s="1747"/>
      <c r="AA43" s="1748"/>
      <c r="AB43" s="1748"/>
      <c r="AC43" s="1747"/>
      <c r="AD43" s="1747"/>
      <c r="AE43" s="1747"/>
      <c r="AF43" s="1747">
        <f t="shared" si="7"/>
        <v>1250</v>
      </c>
      <c r="AH43" s="1738">
        <f t="shared" si="11"/>
        <v>1250</v>
      </c>
      <c r="AI43" s="1738">
        <f t="shared" si="3"/>
        <v>1250</v>
      </c>
      <c r="AJ43" s="1739">
        <f t="shared" si="2"/>
        <v>0</v>
      </c>
    </row>
    <row r="44" spans="2:36" s="820" customFormat="1" ht="16.5" customHeight="1" x14ac:dyDescent="0.25">
      <c r="B44" s="1741"/>
      <c r="C44" s="1742" t="str">
        <f>[20]матеріали!C44</f>
        <v>Кисть малярська середня, шт (1 шт на 0,5 ос.)</v>
      </c>
      <c r="D44" s="1723" t="str">
        <f>[20]матеріали!D44</f>
        <v>шт</v>
      </c>
      <c r="E44" s="1761">
        <f>[20]матеріали!G44</f>
        <v>3</v>
      </c>
      <c r="F44" s="1743">
        <f>[20]матеріали!J44</f>
        <v>68</v>
      </c>
      <c r="G44" s="1743">
        <f t="shared" si="12"/>
        <v>204</v>
      </c>
      <c r="H44" s="1774">
        <f>[20]матеріали!K44-G44</f>
        <v>0</v>
      </c>
      <c r="J44" s="1741"/>
      <c r="K44" s="1742" t="str">
        <f t="shared" si="9"/>
        <v>Кисть малярська середня, шт (1 шт на 0,5 ос.)</v>
      </c>
      <c r="L44" s="1723" t="str">
        <f t="shared" si="9"/>
        <v>шт</v>
      </c>
      <c r="M44" s="1762">
        <f t="shared" si="9"/>
        <v>3</v>
      </c>
      <c r="N44" s="1743">
        <f t="shared" si="9"/>
        <v>68</v>
      </c>
      <c r="O44" s="1747"/>
      <c r="P44" s="1747"/>
      <c r="Q44" s="1747"/>
      <c r="R44" s="1748"/>
      <c r="S44" s="1747">
        <f t="shared" si="10"/>
        <v>204</v>
      </c>
      <c r="T44" s="1747"/>
      <c r="U44" s="1747"/>
      <c r="V44" s="1748"/>
      <c r="W44" s="1748"/>
      <c r="X44" s="1747"/>
      <c r="Y44" s="1747"/>
      <c r="Z44" s="1747"/>
      <c r="AA44" s="1748"/>
      <c r="AB44" s="1748"/>
      <c r="AC44" s="1747"/>
      <c r="AD44" s="1747"/>
      <c r="AE44" s="1747"/>
      <c r="AF44" s="1747">
        <f t="shared" si="7"/>
        <v>204</v>
      </c>
      <c r="AH44" s="1738">
        <f t="shared" si="11"/>
        <v>204</v>
      </c>
      <c r="AI44" s="1738">
        <f t="shared" si="3"/>
        <v>204</v>
      </c>
      <c r="AJ44" s="1739">
        <f t="shared" si="2"/>
        <v>0</v>
      </c>
    </row>
    <row r="45" spans="2:36" s="820" customFormat="1" ht="16.5" customHeight="1" x14ac:dyDescent="0.25">
      <c r="B45" s="1741"/>
      <c r="C45" s="1742" t="str">
        <f>[20]матеріали!C45</f>
        <v>Лом малий 0,5 м, шт (1 шт на 1 бригаду)</v>
      </c>
      <c r="D45" s="1723" t="str">
        <f>[20]матеріали!D45</f>
        <v>шт</v>
      </c>
      <c r="E45" s="1761">
        <f>[20]матеріали!G45</f>
        <v>1</v>
      </c>
      <c r="F45" s="1743">
        <f>[20]матеріали!J45</f>
        <v>250</v>
      </c>
      <c r="G45" s="1743">
        <f t="shared" si="12"/>
        <v>250</v>
      </c>
      <c r="H45" s="1774">
        <f>[20]матеріали!K45-G45</f>
        <v>0</v>
      </c>
      <c r="J45" s="1741"/>
      <c r="K45" s="1742" t="str">
        <f t="shared" si="9"/>
        <v>Лом малий 0,5 м, шт (1 шт на 1 бригаду)</v>
      </c>
      <c r="L45" s="1723" t="str">
        <f t="shared" si="9"/>
        <v>шт</v>
      </c>
      <c r="M45" s="1762">
        <f t="shared" si="9"/>
        <v>1</v>
      </c>
      <c r="N45" s="1743">
        <f t="shared" si="9"/>
        <v>250</v>
      </c>
      <c r="O45" s="1747"/>
      <c r="P45" s="1747"/>
      <c r="Q45" s="1747"/>
      <c r="R45" s="1748"/>
      <c r="S45" s="1747">
        <f t="shared" si="10"/>
        <v>250</v>
      </c>
      <c r="T45" s="1747"/>
      <c r="U45" s="1747"/>
      <c r="V45" s="1748"/>
      <c r="W45" s="1748"/>
      <c r="X45" s="1747"/>
      <c r="Y45" s="1747"/>
      <c r="Z45" s="1747"/>
      <c r="AA45" s="1748"/>
      <c r="AB45" s="1748"/>
      <c r="AC45" s="1747"/>
      <c r="AD45" s="1747"/>
      <c r="AE45" s="1747"/>
      <c r="AF45" s="1747">
        <f t="shared" si="7"/>
        <v>250</v>
      </c>
      <c r="AH45" s="1738">
        <f t="shared" si="11"/>
        <v>250</v>
      </c>
      <c r="AI45" s="1738">
        <f t="shared" si="3"/>
        <v>250</v>
      </c>
      <c r="AJ45" s="1739">
        <f t="shared" si="2"/>
        <v>0</v>
      </c>
    </row>
    <row r="46" spans="2:36" s="820" customFormat="1" ht="16.5" customHeight="1" x14ac:dyDescent="0.25">
      <c r="B46" s="1741"/>
      <c r="C46" s="1742" t="str">
        <f>[20]матеріали!C46</f>
        <v>Молоток каменяра, шт (1 шт на 1 бригаду)</v>
      </c>
      <c r="D46" s="1723" t="str">
        <f>[20]матеріали!D46</f>
        <v>шт</v>
      </c>
      <c r="E46" s="1761">
        <f>[20]матеріали!G46</f>
        <v>1</v>
      </c>
      <c r="F46" s="1743">
        <f>[20]матеріали!J46</f>
        <v>580</v>
      </c>
      <c r="G46" s="1743">
        <f t="shared" si="12"/>
        <v>580</v>
      </c>
      <c r="H46" s="1774">
        <f>[20]матеріали!K46-G46</f>
        <v>0</v>
      </c>
      <c r="J46" s="1741"/>
      <c r="K46" s="1742" t="str">
        <f t="shared" si="9"/>
        <v>Молоток каменяра, шт (1 шт на 1 бригаду)</v>
      </c>
      <c r="L46" s="1723" t="str">
        <f t="shared" si="9"/>
        <v>шт</v>
      </c>
      <c r="M46" s="1762">
        <f t="shared" si="9"/>
        <v>1</v>
      </c>
      <c r="N46" s="1743">
        <f t="shared" si="9"/>
        <v>580</v>
      </c>
      <c r="O46" s="1747"/>
      <c r="P46" s="1747"/>
      <c r="Q46" s="1747"/>
      <c r="R46" s="1748"/>
      <c r="S46" s="1747">
        <f t="shared" si="10"/>
        <v>580</v>
      </c>
      <c r="T46" s="1747"/>
      <c r="U46" s="1747"/>
      <c r="V46" s="1748"/>
      <c r="W46" s="1748"/>
      <c r="X46" s="1747"/>
      <c r="Y46" s="1747"/>
      <c r="Z46" s="1747"/>
      <c r="AA46" s="1748"/>
      <c r="AB46" s="1748"/>
      <c r="AC46" s="1747"/>
      <c r="AD46" s="1747"/>
      <c r="AE46" s="1747"/>
      <c r="AF46" s="1747">
        <f t="shared" si="7"/>
        <v>580</v>
      </c>
      <c r="AH46" s="1738">
        <f t="shared" si="11"/>
        <v>580</v>
      </c>
      <c r="AI46" s="1738">
        <f t="shared" si="3"/>
        <v>580</v>
      </c>
      <c r="AJ46" s="1739">
        <f t="shared" si="2"/>
        <v>0</v>
      </c>
    </row>
    <row r="47" spans="2:36" s="820" customFormat="1" ht="16.5" customHeight="1" x14ac:dyDescent="0.25">
      <c r="B47" s="1741"/>
      <c r="C47" s="1742" t="str">
        <f>[20]матеріали!C47</f>
        <v>Ліхтар акумуляторний , шт (0,33 шт на 1 особу)</v>
      </c>
      <c r="D47" s="1723" t="str">
        <f>[20]матеріали!D47</f>
        <v>шт</v>
      </c>
      <c r="E47" s="1761">
        <f>[20]матеріали!G47</f>
        <v>2</v>
      </c>
      <c r="F47" s="1743">
        <f>[20]матеріали!J47</f>
        <v>820</v>
      </c>
      <c r="G47" s="1743">
        <f t="shared" si="12"/>
        <v>1640</v>
      </c>
      <c r="H47" s="1774">
        <f>[20]матеріали!K47-G47</f>
        <v>0</v>
      </c>
      <c r="J47" s="1741"/>
      <c r="K47" s="1742" t="str">
        <f t="shared" si="9"/>
        <v>Ліхтар акумуляторний , шт (0,33 шт на 1 особу)</v>
      </c>
      <c r="L47" s="1723" t="str">
        <f t="shared" si="9"/>
        <v>шт</v>
      </c>
      <c r="M47" s="1762">
        <f t="shared" si="9"/>
        <v>2</v>
      </c>
      <c r="N47" s="1743">
        <f t="shared" si="9"/>
        <v>820</v>
      </c>
      <c r="O47" s="1747"/>
      <c r="P47" s="1747"/>
      <c r="Q47" s="1747"/>
      <c r="R47" s="1748"/>
      <c r="S47" s="1747">
        <f t="shared" si="10"/>
        <v>1640</v>
      </c>
      <c r="T47" s="1747"/>
      <c r="U47" s="1747"/>
      <c r="V47" s="1748"/>
      <c r="W47" s="1748"/>
      <c r="X47" s="1747"/>
      <c r="Y47" s="1747"/>
      <c r="Z47" s="1747"/>
      <c r="AA47" s="1748"/>
      <c r="AB47" s="1748"/>
      <c r="AC47" s="1747"/>
      <c r="AD47" s="1747"/>
      <c r="AE47" s="1747"/>
      <c r="AF47" s="1747">
        <f t="shared" si="7"/>
        <v>1640</v>
      </c>
      <c r="AH47" s="1738">
        <f t="shared" si="11"/>
        <v>1640</v>
      </c>
      <c r="AI47" s="1738">
        <f t="shared" si="3"/>
        <v>1640</v>
      </c>
      <c r="AJ47" s="1739">
        <f t="shared" si="2"/>
        <v>0</v>
      </c>
    </row>
    <row r="48" spans="2:36" s="820" customFormat="1" ht="16.5" customHeight="1" x14ac:dyDescent="0.25">
      <c r="B48" s="1741"/>
      <c r="C48" s="1742" t="str">
        <f>[20]матеріали!C48</f>
        <v>Кувалда 2 кг. , шт (1 шт на 1 бригаду)</v>
      </c>
      <c r="D48" s="1723" t="str">
        <f>[20]матеріали!D48</f>
        <v>шт</v>
      </c>
      <c r="E48" s="1761">
        <f>[20]матеріали!G48</f>
        <v>1</v>
      </c>
      <c r="F48" s="1743">
        <f>[20]матеріали!J48</f>
        <v>450</v>
      </c>
      <c r="G48" s="1743">
        <f t="shared" si="12"/>
        <v>450</v>
      </c>
      <c r="H48" s="1774">
        <f>[20]матеріали!K48-G48</f>
        <v>0</v>
      </c>
      <c r="J48" s="1741"/>
      <c r="K48" s="1742" t="str">
        <f t="shared" si="9"/>
        <v>Кувалда 2 кг. , шт (1 шт на 1 бригаду)</v>
      </c>
      <c r="L48" s="1723" t="str">
        <f t="shared" si="9"/>
        <v>шт</v>
      </c>
      <c r="M48" s="1762">
        <f t="shared" si="9"/>
        <v>1</v>
      </c>
      <c r="N48" s="1743">
        <f t="shared" si="9"/>
        <v>450</v>
      </c>
      <c r="O48" s="1747"/>
      <c r="P48" s="1747"/>
      <c r="Q48" s="1747"/>
      <c r="R48" s="1748"/>
      <c r="S48" s="1747">
        <f t="shared" si="10"/>
        <v>450</v>
      </c>
      <c r="T48" s="1747"/>
      <c r="U48" s="1747"/>
      <c r="V48" s="1748"/>
      <c r="W48" s="1748"/>
      <c r="X48" s="1747"/>
      <c r="Y48" s="1747"/>
      <c r="Z48" s="1747"/>
      <c r="AA48" s="1748"/>
      <c r="AB48" s="1748"/>
      <c r="AC48" s="1747"/>
      <c r="AD48" s="1747"/>
      <c r="AE48" s="1747"/>
      <c r="AF48" s="1747">
        <f t="shared" si="7"/>
        <v>450</v>
      </c>
      <c r="AH48" s="1738">
        <f t="shared" si="11"/>
        <v>450</v>
      </c>
      <c r="AI48" s="1738">
        <f t="shared" si="3"/>
        <v>450</v>
      </c>
      <c r="AJ48" s="1739">
        <f t="shared" si="2"/>
        <v>0</v>
      </c>
    </row>
    <row r="49" spans="1:36" s="820" customFormat="1" ht="16.5" x14ac:dyDescent="0.25">
      <c r="B49" s="1741"/>
      <c r="C49" s="1742" t="str">
        <f>[20]матеріали!C49</f>
        <v>Окуляри захисні</v>
      </c>
      <c r="D49" s="1723" t="str">
        <f>[20]матеріали!D49</f>
        <v>шт</v>
      </c>
      <c r="E49" s="1761">
        <f>[20]матеріали!G49</f>
        <v>1</v>
      </c>
      <c r="F49" s="1743">
        <f>[20]матеріали!J49</f>
        <v>100</v>
      </c>
      <c r="G49" s="1743">
        <f t="shared" si="12"/>
        <v>100</v>
      </c>
      <c r="H49" s="1774">
        <f>[20]матеріали!K49-G49</f>
        <v>0</v>
      </c>
      <c r="J49" s="1741"/>
      <c r="K49" s="1742" t="str">
        <f t="shared" si="9"/>
        <v>Окуляри захисні</v>
      </c>
      <c r="L49" s="1723" t="str">
        <f t="shared" si="9"/>
        <v>шт</v>
      </c>
      <c r="M49" s="1762">
        <f t="shared" si="9"/>
        <v>1</v>
      </c>
      <c r="N49" s="1743">
        <f t="shared" si="9"/>
        <v>100</v>
      </c>
      <c r="O49" s="1747"/>
      <c r="P49" s="1747"/>
      <c r="Q49" s="1747"/>
      <c r="R49" s="1748"/>
      <c r="S49" s="1747">
        <f t="shared" si="10"/>
        <v>100</v>
      </c>
      <c r="T49" s="1747"/>
      <c r="U49" s="1747"/>
      <c r="V49" s="1748"/>
      <c r="W49" s="1748"/>
      <c r="X49" s="1747"/>
      <c r="Y49" s="1747"/>
      <c r="Z49" s="1747"/>
      <c r="AA49" s="1748"/>
      <c r="AB49" s="1748"/>
      <c r="AC49" s="1747"/>
      <c r="AD49" s="1747"/>
      <c r="AE49" s="1747"/>
      <c r="AF49" s="1747">
        <f t="shared" si="7"/>
        <v>100</v>
      </c>
      <c r="AH49" s="1738">
        <f t="shared" si="11"/>
        <v>100</v>
      </c>
      <c r="AI49" s="1738">
        <f t="shared" si="3"/>
        <v>100</v>
      </c>
      <c r="AJ49" s="1739">
        <f t="shared" si="2"/>
        <v>0</v>
      </c>
    </row>
    <row r="50" spans="1:36" s="820" customFormat="1" ht="16.5" x14ac:dyDescent="0.25">
      <c r="B50" s="1741"/>
      <c r="C50" s="1742" t="str">
        <f>[20]матеріали!C50</f>
        <v>Диски шліфувальні 125мл</v>
      </c>
      <c r="D50" s="1723" t="str">
        <f>[20]матеріали!D50</f>
        <v>шт</v>
      </c>
      <c r="E50" s="1761">
        <f>[20]матеріали!G50</f>
        <v>10</v>
      </c>
      <c r="F50" s="1743">
        <f>[20]матеріали!J50</f>
        <v>35</v>
      </c>
      <c r="G50" s="1743">
        <f t="shared" si="12"/>
        <v>350</v>
      </c>
      <c r="H50" s="1774">
        <f>[20]матеріали!K50-G50</f>
        <v>0</v>
      </c>
      <c r="J50" s="1741"/>
      <c r="K50" s="1742" t="str">
        <f t="shared" si="9"/>
        <v>Диски шліфувальні 125мл</v>
      </c>
      <c r="L50" s="1723" t="str">
        <f t="shared" si="9"/>
        <v>шт</v>
      </c>
      <c r="M50" s="1762">
        <f t="shared" si="9"/>
        <v>10</v>
      </c>
      <c r="N50" s="1743">
        <f t="shared" si="9"/>
        <v>35</v>
      </c>
      <c r="O50" s="1747"/>
      <c r="P50" s="1747"/>
      <c r="Q50" s="1747"/>
      <c r="R50" s="1748"/>
      <c r="S50" s="1747">
        <f t="shared" si="10"/>
        <v>350</v>
      </c>
      <c r="T50" s="1747"/>
      <c r="U50" s="1747"/>
      <c r="V50" s="1748"/>
      <c r="W50" s="1748"/>
      <c r="X50" s="1747"/>
      <c r="Y50" s="1747"/>
      <c r="Z50" s="1747"/>
      <c r="AA50" s="1748"/>
      <c r="AB50" s="1748"/>
      <c r="AC50" s="1747"/>
      <c r="AD50" s="1747"/>
      <c r="AE50" s="1747"/>
      <c r="AF50" s="1747">
        <f t="shared" si="7"/>
        <v>350</v>
      </c>
      <c r="AH50" s="1738">
        <f t="shared" si="11"/>
        <v>350</v>
      </c>
      <c r="AI50" s="1738">
        <f t="shared" si="3"/>
        <v>350</v>
      </c>
      <c r="AJ50" s="1739">
        <f t="shared" si="2"/>
        <v>0</v>
      </c>
    </row>
    <row r="51" spans="1:36" s="820" customFormat="1" ht="16.5" x14ac:dyDescent="0.25">
      <c r="B51" s="1741"/>
      <c r="C51" s="1742" t="str">
        <f>[20]матеріали!C51</f>
        <v>Полотно ножовочне</v>
      </c>
      <c r="D51" s="1723" t="str">
        <f>[20]матеріали!D51</f>
        <v>шт</v>
      </c>
      <c r="E51" s="1761">
        <f>[20]матеріали!G51</f>
        <v>10</v>
      </c>
      <c r="F51" s="1743">
        <f>[20]матеріали!J51</f>
        <v>130</v>
      </c>
      <c r="G51" s="1743">
        <f t="shared" si="12"/>
        <v>1300</v>
      </c>
      <c r="H51" s="1774">
        <f>[20]матеріали!K51-G51</f>
        <v>0</v>
      </c>
      <c r="J51" s="1741"/>
      <c r="K51" s="1742" t="str">
        <f>C51</f>
        <v>Полотно ножовочне</v>
      </c>
      <c r="L51" s="1723" t="str">
        <f>D51</f>
        <v>шт</v>
      </c>
      <c r="M51" s="1762">
        <f>E51</f>
        <v>10</v>
      </c>
      <c r="N51" s="1743">
        <f>F51</f>
        <v>130</v>
      </c>
      <c r="O51" s="1747"/>
      <c r="P51" s="1747"/>
      <c r="Q51" s="1747"/>
      <c r="R51" s="1748"/>
      <c r="S51" s="1747">
        <f>$G51</f>
        <v>1300</v>
      </c>
      <c r="T51" s="1747"/>
      <c r="U51" s="1747"/>
      <c r="V51" s="1748"/>
      <c r="W51" s="1748"/>
      <c r="X51" s="1747"/>
      <c r="Y51" s="1747"/>
      <c r="Z51" s="1747"/>
      <c r="AA51" s="1748"/>
      <c r="AB51" s="1748"/>
      <c r="AC51" s="1747"/>
      <c r="AD51" s="1747"/>
      <c r="AE51" s="1747"/>
      <c r="AF51" s="1747">
        <f>G51</f>
        <v>1300</v>
      </c>
      <c r="AH51" s="1738">
        <f>SUM(S51:AE51)</f>
        <v>1300</v>
      </c>
      <c r="AI51" s="1738">
        <f>G51</f>
        <v>1300</v>
      </c>
      <c r="AJ51" s="1739">
        <f>AI51-AH51</f>
        <v>0</v>
      </c>
    </row>
    <row r="52" spans="1:36" s="820" customFormat="1" ht="16.5" x14ac:dyDescent="0.25">
      <c r="B52" s="1741"/>
      <c r="C52" s="1742" t="str">
        <f>[20]матеріали!C52</f>
        <v>Ящик для інструменту</v>
      </c>
      <c r="D52" s="1723" t="str">
        <f>[20]матеріали!D52</f>
        <v>шт</v>
      </c>
      <c r="E52" s="1761">
        <f>[20]матеріали!G52</f>
        <v>1</v>
      </c>
      <c r="F52" s="1743">
        <f>[20]матеріали!J52</f>
        <v>1100</v>
      </c>
      <c r="G52" s="1743">
        <f t="shared" si="12"/>
        <v>1100</v>
      </c>
      <c r="H52" s="1774">
        <f>[20]матеріали!K52-G52</f>
        <v>0</v>
      </c>
      <c r="J52" s="1741"/>
      <c r="K52" s="1742" t="str">
        <f t="shared" si="9"/>
        <v>Ящик для інструменту</v>
      </c>
      <c r="L52" s="1723" t="str">
        <f t="shared" si="9"/>
        <v>шт</v>
      </c>
      <c r="M52" s="1762">
        <f t="shared" si="9"/>
        <v>1</v>
      </c>
      <c r="N52" s="1743">
        <f t="shared" si="9"/>
        <v>1100</v>
      </c>
      <c r="O52" s="1747"/>
      <c r="P52" s="1747"/>
      <c r="Q52" s="1747"/>
      <c r="R52" s="1748"/>
      <c r="S52" s="1747">
        <f t="shared" si="10"/>
        <v>1100</v>
      </c>
      <c r="T52" s="1747"/>
      <c r="U52" s="1747"/>
      <c r="V52" s="1748"/>
      <c r="W52" s="1748"/>
      <c r="X52" s="1747"/>
      <c r="Y52" s="1747"/>
      <c r="Z52" s="1747"/>
      <c r="AA52" s="1748"/>
      <c r="AB52" s="1748"/>
      <c r="AC52" s="1747"/>
      <c r="AD52" s="1747"/>
      <c r="AE52" s="1747"/>
      <c r="AF52" s="1747">
        <f t="shared" si="7"/>
        <v>1100</v>
      </c>
      <c r="AH52" s="1738">
        <f t="shared" ref="AH52:AH79" si="13">SUM(S52:AE52)</f>
        <v>1100</v>
      </c>
      <c r="AI52" s="1738">
        <f>G52</f>
        <v>1100</v>
      </c>
      <c r="AJ52" s="1739">
        <f>AI52-AH52</f>
        <v>0</v>
      </c>
    </row>
    <row r="53" spans="1:36" s="820" customFormat="1" ht="16.5" x14ac:dyDescent="0.25">
      <c r="B53" s="1741"/>
      <c r="C53" s="1742" t="str">
        <f>[20]матеріали!C53</f>
        <v>Масло універсальне «SHEL» 15W-40 4л.</v>
      </c>
      <c r="D53" s="1723" t="str">
        <f>[20]матеріали!D53</f>
        <v>кан</v>
      </c>
      <c r="E53" s="1761">
        <f>[20]матеріали!G53</f>
        <v>2</v>
      </c>
      <c r="F53" s="1743">
        <f>[20]матеріали!J53</f>
        <v>1100</v>
      </c>
      <c r="G53" s="1743">
        <f t="shared" si="12"/>
        <v>2200</v>
      </c>
      <c r="H53" s="1774">
        <f>[20]матеріали!K53-G53</f>
        <v>0</v>
      </c>
      <c r="J53" s="1741"/>
      <c r="K53" s="1742" t="str">
        <f t="shared" si="9"/>
        <v>Масло універсальне «SHEL» 15W-40 4л.</v>
      </c>
      <c r="L53" s="1723" t="str">
        <f t="shared" si="9"/>
        <v>кан</v>
      </c>
      <c r="M53" s="1762">
        <f t="shared" si="9"/>
        <v>2</v>
      </c>
      <c r="N53" s="1743">
        <f t="shared" si="9"/>
        <v>1100</v>
      </c>
      <c r="O53" s="1747"/>
      <c r="P53" s="1747"/>
      <c r="Q53" s="1747"/>
      <c r="R53" s="1748"/>
      <c r="S53" s="1747">
        <f t="shared" si="10"/>
        <v>2200</v>
      </c>
      <c r="T53" s="1747"/>
      <c r="U53" s="1747"/>
      <c r="V53" s="1748"/>
      <c r="W53" s="1748"/>
      <c r="X53" s="1747"/>
      <c r="Y53" s="1747"/>
      <c r="Z53" s="1747"/>
      <c r="AA53" s="1748"/>
      <c r="AB53" s="1748"/>
      <c r="AC53" s="1747"/>
      <c r="AD53" s="1747"/>
      <c r="AE53" s="1747"/>
      <c r="AF53" s="1747">
        <f t="shared" si="7"/>
        <v>2200</v>
      </c>
      <c r="AH53" s="1738">
        <f t="shared" si="13"/>
        <v>2200</v>
      </c>
      <c r="AI53" s="1738">
        <f t="shared" ref="AI53:AI101" si="14">G53</f>
        <v>2200</v>
      </c>
      <c r="AJ53" s="1739">
        <f t="shared" ref="AJ53:AJ116" si="15">AI53-AH53</f>
        <v>0</v>
      </c>
    </row>
    <row r="54" spans="1:36" s="820" customFormat="1" ht="30" customHeight="1" x14ac:dyDescent="0.25">
      <c r="B54" s="1741"/>
      <c r="C54" s="1742" t="str">
        <f>[20]матеріали!C54</f>
        <v>Фільтр паливний WK 712/2 на двигун HATZ-Дизель 00952900</v>
      </c>
      <c r="D54" s="1723" t="str">
        <f>[20]матеріали!D54</f>
        <v>шт</v>
      </c>
      <c r="E54" s="1761">
        <f>[20]матеріали!G54</f>
        <v>1</v>
      </c>
      <c r="F54" s="1743">
        <f>[20]матеріали!J54</f>
        <v>600</v>
      </c>
      <c r="G54" s="1743">
        <f t="shared" si="12"/>
        <v>600</v>
      </c>
      <c r="H54" s="1744">
        <f>[20]матеріали!K54-G54</f>
        <v>0</v>
      </c>
      <c r="I54" s="1509"/>
      <c r="J54" s="1741"/>
      <c r="K54" s="1742" t="str">
        <f t="shared" si="9"/>
        <v>Фільтр паливний WK 712/2 на двигун HATZ-Дизель 00952900</v>
      </c>
      <c r="L54" s="1723" t="str">
        <f t="shared" si="9"/>
        <v>шт</v>
      </c>
      <c r="M54" s="1762">
        <f t="shared" si="9"/>
        <v>1</v>
      </c>
      <c r="N54" s="1743">
        <f t="shared" si="9"/>
        <v>600</v>
      </c>
      <c r="O54" s="1747"/>
      <c r="P54" s="1747"/>
      <c r="Q54" s="1747"/>
      <c r="R54" s="1748"/>
      <c r="S54" s="1747">
        <f t="shared" si="10"/>
        <v>600</v>
      </c>
      <c r="T54" s="1747"/>
      <c r="U54" s="1747"/>
      <c r="V54" s="1748"/>
      <c r="W54" s="1748"/>
      <c r="X54" s="1747"/>
      <c r="Y54" s="1747"/>
      <c r="Z54" s="1747"/>
      <c r="AA54" s="1748"/>
      <c r="AB54" s="1748"/>
      <c r="AC54" s="1747"/>
      <c r="AD54" s="1747"/>
      <c r="AE54" s="1747"/>
      <c r="AF54" s="1747">
        <f t="shared" si="7"/>
        <v>600</v>
      </c>
      <c r="AH54" s="1738">
        <f t="shared" si="13"/>
        <v>600</v>
      </c>
      <c r="AI54" s="1738">
        <f t="shared" si="14"/>
        <v>600</v>
      </c>
      <c r="AJ54" s="1739">
        <f t="shared" si="15"/>
        <v>0</v>
      </c>
    </row>
    <row r="55" spans="1:36" s="820" customFormat="1" ht="27" customHeight="1" x14ac:dyDescent="0.25">
      <c r="B55" s="1741"/>
      <c r="C55" s="1742" t="str">
        <f>[20]матеріали!C55</f>
        <v>Фільтр масляний WI 7114 на двигун HATZ-Дизель 00952900</v>
      </c>
      <c r="D55" s="1723" t="str">
        <f>[20]матеріали!D55</f>
        <v>шт</v>
      </c>
      <c r="E55" s="1761">
        <f>[20]матеріали!G55</f>
        <v>1</v>
      </c>
      <c r="F55" s="1743">
        <f>[20]матеріали!J55</f>
        <v>620</v>
      </c>
      <c r="G55" s="1743">
        <f t="shared" si="12"/>
        <v>620</v>
      </c>
      <c r="H55" s="1744">
        <f>[20]матеріали!K55-G55</f>
        <v>0</v>
      </c>
      <c r="I55" s="1509"/>
      <c r="J55" s="1741"/>
      <c r="K55" s="1742" t="str">
        <f t="shared" si="9"/>
        <v>Фільтр масляний WI 7114 на двигун HATZ-Дизель 00952900</v>
      </c>
      <c r="L55" s="1723" t="str">
        <f t="shared" si="9"/>
        <v>шт</v>
      </c>
      <c r="M55" s="1762">
        <f t="shared" si="9"/>
        <v>1</v>
      </c>
      <c r="N55" s="1743">
        <f t="shared" si="9"/>
        <v>620</v>
      </c>
      <c r="O55" s="1747"/>
      <c r="P55" s="1747"/>
      <c r="Q55" s="1747"/>
      <c r="R55" s="1748"/>
      <c r="S55" s="1747">
        <f t="shared" si="10"/>
        <v>620</v>
      </c>
      <c r="T55" s="1747"/>
      <c r="U55" s="1747"/>
      <c r="V55" s="1748"/>
      <c r="W55" s="1748"/>
      <c r="X55" s="1747"/>
      <c r="Y55" s="1747"/>
      <c r="Z55" s="1747"/>
      <c r="AA55" s="1748"/>
      <c r="AB55" s="1748"/>
      <c r="AC55" s="1747"/>
      <c r="AD55" s="1747"/>
      <c r="AE55" s="1747"/>
      <c r="AF55" s="1747">
        <f t="shared" si="7"/>
        <v>620</v>
      </c>
      <c r="AH55" s="1738">
        <f t="shared" si="13"/>
        <v>620</v>
      </c>
      <c r="AI55" s="1738">
        <f t="shared" si="14"/>
        <v>620</v>
      </c>
      <c r="AJ55" s="1739">
        <f t="shared" si="15"/>
        <v>0</v>
      </c>
    </row>
    <row r="56" spans="1:36" s="820" customFormat="1" ht="21.75" customHeight="1" x14ac:dyDescent="0.25">
      <c r="B56" s="1741"/>
      <c r="C56" s="1742" t="str">
        <f>[20]матеріали!C56</f>
        <v>Фільтр повітряний P 781746 на двигун HATZ-Дизель 00952900</v>
      </c>
      <c r="D56" s="1723" t="str">
        <f>[20]матеріали!D56</f>
        <v>шт</v>
      </c>
      <c r="E56" s="1761">
        <f>[20]матеріали!G56</f>
        <v>1</v>
      </c>
      <c r="F56" s="1743">
        <f>[20]матеріали!J56</f>
        <v>580</v>
      </c>
      <c r="G56" s="1743">
        <f t="shared" si="12"/>
        <v>580</v>
      </c>
      <c r="H56" s="1744">
        <f>[20]матеріали!K56-G56</f>
        <v>0</v>
      </c>
      <c r="I56" s="1509"/>
      <c r="J56" s="1741"/>
      <c r="K56" s="1742" t="str">
        <f t="shared" si="9"/>
        <v>Фільтр повітряний P 781746 на двигун HATZ-Дизель 00952900</v>
      </c>
      <c r="L56" s="1723" t="str">
        <f t="shared" si="9"/>
        <v>шт</v>
      </c>
      <c r="M56" s="1762">
        <f t="shared" si="9"/>
        <v>1</v>
      </c>
      <c r="N56" s="1743">
        <f t="shared" si="9"/>
        <v>580</v>
      </c>
      <c r="O56" s="1747"/>
      <c r="P56" s="1747"/>
      <c r="Q56" s="1747"/>
      <c r="R56" s="1748"/>
      <c r="S56" s="1747">
        <f t="shared" si="10"/>
        <v>580</v>
      </c>
      <c r="T56" s="1747"/>
      <c r="U56" s="1747"/>
      <c r="V56" s="1748"/>
      <c r="W56" s="1748"/>
      <c r="X56" s="1747"/>
      <c r="Y56" s="1747"/>
      <c r="Z56" s="1747"/>
      <c r="AA56" s="1748"/>
      <c r="AB56" s="1748"/>
      <c r="AC56" s="1747"/>
      <c r="AD56" s="1747"/>
      <c r="AE56" s="1747"/>
      <c r="AF56" s="1747">
        <f t="shared" si="7"/>
        <v>580</v>
      </c>
      <c r="AH56" s="1738">
        <f t="shared" si="13"/>
        <v>580</v>
      </c>
      <c r="AI56" s="1738">
        <f t="shared" si="14"/>
        <v>580</v>
      </c>
      <c r="AJ56" s="1739">
        <f t="shared" si="15"/>
        <v>0</v>
      </c>
    </row>
    <row r="57" spans="1:36" s="820" customFormat="1" ht="16.5" x14ac:dyDescent="0.25">
      <c r="B57" s="1741"/>
      <c r="C57" s="1742" t="str">
        <f>[20]матеріали!C57</f>
        <v>Тосол 4л</v>
      </c>
      <c r="D57" s="1723" t="str">
        <f>[20]матеріали!D57</f>
        <v>кан</v>
      </c>
      <c r="E57" s="1761">
        <f>[20]матеріали!G57</f>
        <v>1</v>
      </c>
      <c r="F57" s="1743">
        <f>[20]матеріали!J57</f>
        <v>550</v>
      </c>
      <c r="G57" s="1743">
        <f t="shared" si="12"/>
        <v>550</v>
      </c>
      <c r="H57" s="1744">
        <f>[20]матеріали!K57-G57</f>
        <v>0</v>
      </c>
      <c r="I57" s="1509"/>
      <c r="J57" s="1741"/>
      <c r="K57" s="1742" t="str">
        <f t="shared" si="9"/>
        <v>Тосол 4л</v>
      </c>
      <c r="L57" s="1723" t="str">
        <f t="shared" si="9"/>
        <v>кан</v>
      </c>
      <c r="M57" s="1762">
        <f t="shared" si="9"/>
        <v>1</v>
      </c>
      <c r="N57" s="1743">
        <f t="shared" si="9"/>
        <v>550</v>
      </c>
      <c r="O57" s="1747"/>
      <c r="P57" s="1747"/>
      <c r="Q57" s="1747"/>
      <c r="R57" s="1748"/>
      <c r="S57" s="1747">
        <f t="shared" si="10"/>
        <v>550</v>
      </c>
      <c r="T57" s="1747"/>
      <c r="U57" s="1747"/>
      <c r="V57" s="1748"/>
      <c r="W57" s="1748"/>
      <c r="X57" s="1747"/>
      <c r="Y57" s="1747"/>
      <c r="Z57" s="1747"/>
      <c r="AA57" s="1748"/>
      <c r="AB57" s="1748"/>
      <c r="AC57" s="1747"/>
      <c r="AD57" s="1747"/>
      <c r="AE57" s="1747"/>
      <c r="AF57" s="1747">
        <f t="shared" si="7"/>
        <v>550</v>
      </c>
      <c r="AH57" s="1738">
        <f t="shared" si="13"/>
        <v>550</v>
      </c>
      <c r="AI57" s="1738">
        <f t="shared" si="14"/>
        <v>550</v>
      </c>
      <c r="AJ57" s="1739">
        <f t="shared" si="15"/>
        <v>0</v>
      </c>
    </row>
    <row r="58" spans="1:36" s="820" customFormat="1" ht="16.5" x14ac:dyDescent="0.25">
      <c r="B58" s="1741"/>
      <c r="C58" s="1742" t="str">
        <f>[20]матеріали!C58</f>
        <v>Канат, м (на колодязь 5 м. глубини *2)</v>
      </c>
      <c r="D58" s="1723" t="str">
        <f>[20]матеріали!D58</f>
        <v>м</v>
      </c>
      <c r="E58" s="1761">
        <f>[20]матеріали!G58</f>
        <v>10</v>
      </c>
      <c r="F58" s="1743">
        <f>[20]матеріали!J58</f>
        <v>52</v>
      </c>
      <c r="G58" s="1743">
        <f t="shared" si="12"/>
        <v>520</v>
      </c>
      <c r="H58" s="1744">
        <f>[20]матеріали!K58-G58</f>
        <v>0</v>
      </c>
      <c r="I58" s="1509"/>
      <c r="J58" s="1741"/>
      <c r="K58" s="1742" t="str">
        <f t="shared" si="9"/>
        <v>Канат, м (на колодязь 5 м. глубини *2)</v>
      </c>
      <c r="L58" s="1723" t="str">
        <f t="shared" si="9"/>
        <v>м</v>
      </c>
      <c r="M58" s="1762">
        <f t="shared" si="9"/>
        <v>10</v>
      </c>
      <c r="N58" s="1743">
        <f t="shared" si="9"/>
        <v>52</v>
      </c>
      <c r="O58" s="1747"/>
      <c r="P58" s="1747"/>
      <c r="Q58" s="1747"/>
      <c r="R58" s="1748"/>
      <c r="S58" s="1747">
        <f t="shared" si="10"/>
        <v>520</v>
      </c>
      <c r="T58" s="1747"/>
      <c r="U58" s="1747"/>
      <c r="V58" s="1748"/>
      <c r="W58" s="1748"/>
      <c r="X58" s="1747"/>
      <c r="Y58" s="1747"/>
      <c r="Z58" s="1747"/>
      <c r="AA58" s="1748"/>
      <c r="AB58" s="1748"/>
      <c r="AC58" s="1747"/>
      <c r="AD58" s="1747"/>
      <c r="AE58" s="1747"/>
      <c r="AF58" s="1747">
        <f t="shared" si="7"/>
        <v>520</v>
      </c>
      <c r="AH58" s="1738">
        <f t="shared" si="13"/>
        <v>520</v>
      </c>
      <c r="AI58" s="1738">
        <f t="shared" si="14"/>
        <v>520</v>
      </c>
      <c r="AJ58" s="1739">
        <f t="shared" si="15"/>
        <v>0</v>
      </c>
    </row>
    <row r="59" spans="1:36" s="820" customFormat="1" ht="24" customHeight="1" x14ac:dyDescent="0.25">
      <c r="B59" s="1741"/>
      <c r="C59" s="1742" t="str">
        <f>[20]матеріали!C59</f>
        <v>Стрічка огророджувальна, рул. (20м. на роботу) (100м /рул)</v>
      </c>
      <c r="D59" s="1723" t="str">
        <f>[20]матеріали!D59</f>
        <v>шт</v>
      </c>
      <c r="E59" s="1761">
        <f>[20]матеріали!G59</f>
        <v>10</v>
      </c>
      <c r="F59" s="1743">
        <f>[20]матеріали!J59</f>
        <v>250</v>
      </c>
      <c r="G59" s="1743">
        <f t="shared" si="12"/>
        <v>2500</v>
      </c>
      <c r="H59" s="1744">
        <f>[20]матеріали!K59-G59</f>
        <v>0</v>
      </c>
      <c r="I59" s="1509"/>
      <c r="J59" s="1741"/>
      <c r="K59" s="1742" t="str">
        <f t="shared" si="9"/>
        <v>Стрічка огророджувальна, рул. (20м. на роботу) (100м /рул)</v>
      </c>
      <c r="L59" s="1723" t="str">
        <f t="shared" si="9"/>
        <v>шт</v>
      </c>
      <c r="M59" s="1762">
        <f t="shared" si="9"/>
        <v>10</v>
      </c>
      <c r="N59" s="1743">
        <f t="shared" si="9"/>
        <v>250</v>
      </c>
      <c r="O59" s="1747"/>
      <c r="P59" s="1747"/>
      <c r="Q59" s="1747"/>
      <c r="R59" s="1748"/>
      <c r="S59" s="1747">
        <f t="shared" si="10"/>
        <v>2500</v>
      </c>
      <c r="T59" s="1747"/>
      <c r="U59" s="1747"/>
      <c r="V59" s="1748"/>
      <c r="W59" s="1748"/>
      <c r="X59" s="1747"/>
      <c r="Y59" s="1747"/>
      <c r="Z59" s="1747"/>
      <c r="AA59" s="1748"/>
      <c r="AB59" s="1748"/>
      <c r="AC59" s="1747"/>
      <c r="AD59" s="1747"/>
      <c r="AE59" s="1747"/>
      <c r="AF59" s="1747">
        <f t="shared" si="7"/>
        <v>2500</v>
      </c>
      <c r="AH59" s="1738">
        <f t="shared" si="13"/>
        <v>2500</v>
      </c>
      <c r="AI59" s="1738">
        <f t="shared" si="14"/>
        <v>2500</v>
      </c>
      <c r="AJ59" s="1739">
        <f t="shared" si="15"/>
        <v>0</v>
      </c>
    </row>
    <row r="60" spans="1:36" s="824" customFormat="1" ht="13.5" hidden="1" customHeight="1" x14ac:dyDescent="0.25">
      <c r="B60" s="1763"/>
      <c r="C60" s="1764">
        <f>[20]матеріали!C60</f>
        <v>0</v>
      </c>
      <c r="D60" s="1765" t="str">
        <f>[20]матеріали!D60</f>
        <v>шт</v>
      </c>
      <c r="E60" s="1766">
        <f>[20]матеріали!G60</f>
        <v>0</v>
      </c>
      <c r="F60" s="1767">
        <f>[20]матеріали!J60</f>
        <v>0</v>
      </c>
      <c r="G60" s="1767">
        <f t="shared" si="12"/>
        <v>0</v>
      </c>
      <c r="H60" s="1744">
        <f>[20]матеріали!K60</f>
        <v>0</v>
      </c>
      <c r="J60" s="1763"/>
      <c r="K60" s="1764">
        <f t="shared" si="9"/>
        <v>0</v>
      </c>
      <c r="L60" s="1765" t="str">
        <f t="shared" si="9"/>
        <v>шт</v>
      </c>
      <c r="M60" s="1768">
        <f t="shared" si="9"/>
        <v>0</v>
      </c>
      <c r="N60" s="1767">
        <f t="shared" si="9"/>
        <v>0</v>
      </c>
      <c r="O60" s="1769"/>
      <c r="P60" s="1769"/>
      <c r="Q60" s="1769"/>
      <c r="R60" s="1770"/>
      <c r="S60" s="1769">
        <f t="shared" si="10"/>
        <v>0</v>
      </c>
      <c r="T60" s="1769"/>
      <c r="U60" s="1769"/>
      <c r="V60" s="1770"/>
      <c r="W60" s="1770"/>
      <c r="X60" s="1769"/>
      <c r="Y60" s="1769"/>
      <c r="Z60" s="1769"/>
      <c r="AA60" s="1770"/>
      <c r="AB60" s="1770"/>
      <c r="AC60" s="1769"/>
      <c r="AD60" s="1769"/>
      <c r="AE60" s="1769"/>
      <c r="AF60" s="1769">
        <f t="shared" si="7"/>
        <v>0</v>
      </c>
      <c r="AH60" s="1771">
        <f t="shared" si="13"/>
        <v>0</v>
      </c>
      <c r="AI60" s="1771">
        <f t="shared" si="14"/>
        <v>0</v>
      </c>
      <c r="AJ60" s="1772">
        <f t="shared" si="15"/>
        <v>0</v>
      </c>
    </row>
    <row r="61" spans="1:36" s="824" customFormat="1" ht="13.5" hidden="1" customHeight="1" x14ac:dyDescent="0.25">
      <c r="B61" s="1763"/>
      <c r="C61" s="1764">
        <f>[20]матеріали!C61</f>
        <v>0</v>
      </c>
      <c r="D61" s="1765" t="str">
        <f>[20]матеріали!D61</f>
        <v>шт</v>
      </c>
      <c r="E61" s="1766">
        <f>[20]матеріали!G61</f>
        <v>0</v>
      </c>
      <c r="F61" s="1767">
        <f>[20]матеріали!J61</f>
        <v>0</v>
      </c>
      <c r="G61" s="1767">
        <f t="shared" si="12"/>
        <v>0</v>
      </c>
      <c r="H61" s="1744">
        <f>[20]матеріали!K61</f>
        <v>0</v>
      </c>
      <c r="J61" s="1763"/>
      <c r="K61" s="1764">
        <f t="shared" si="9"/>
        <v>0</v>
      </c>
      <c r="L61" s="1765" t="str">
        <f t="shared" si="9"/>
        <v>шт</v>
      </c>
      <c r="M61" s="1768">
        <f t="shared" si="9"/>
        <v>0</v>
      </c>
      <c r="N61" s="1767">
        <f t="shared" si="9"/>
        <v>0</v>
      </c>
      <c r="O61" s="1769"/>
      <c r="P61" s="1769"/>
      <c r="Q61" s="1769"/>
      <c r="R61" s="1770"/>
      <c r="S61" s="1769">
        <f t="shared" si="10"/>
        <v>0</v>
      </c>
      <c r="T61" s="1769"/>
      <c r="U61" s="1769"/>
      <c r="V61" s="1770"/>
      <c r="W61" s="1770"/>
      <c r="X61" s="1769"/>
      <c r="Y61" s="1769"/>
      <c r="Z61" s="1769"/>
      <c r="AA61" s="1770"/>
      <c r="AB61" s="1770"/>
      <c r="AC61" s="1769"/>
      <c r="AD61" s="1769"/>
      <c r="AE61" s="1769"/>
      <c r="AF61" s="1769">
        <f t="shared" si="7"/>
        <v>0</v>
      </c>
      <c r="AH61" s="1771">
        <f t="shared" si="13"/>
        <v>0</v>
      </c>
      <c r="AI61" s="1771">
        <f t="shared" si="14"/>
        <v>0</v>
      </c>
      <c r="AJ61" s="1772">
        <f t="shared" si="15"/>
        <v>0</v>
      </c>
    </row>
    <row r="62" spans="1:36" s="824" customFormat="1" ht="16.5" hidden="1" customHeight="1" x14ac:dyDescent="0.25">
      <c r="B62" s="1763"/>
      <c r="C62" s="1764">
        <f>[20]матеріали!C62</f>
        <v>0</v>
      </c>
      <c r="D62" s="1765" t="str">
        <f>[20]матеріали!D62</f>
        <v>шт</v>
      </c>
      <c r="E62" s="1766">
        <f>[20]матеріали!G62</f>
        <v>0</v>
      </c>
      <c r="F62" s="1767">
        <f>[20]матеріали!J62</f>
        <v>0</v>
      </c>
      <c r="G62" s="1767">
        <f t="shared" si="12"/>
        <v>0</v>
      </c>
      <c r="H62" s="1744">
        <f>[20]матеріали!K62</f>
        <v>0</v>
      </c>
      <c r="J62" s="1763"/>
      <c r="K62" s="1764">
        <f t="shared" si="9"/>
        <v>0</v>
      </c>
      <c r="L62" s="1765" t="str">
        <f t="shared" si="9"/>
        <v>шт</v>
      </c>
      <c r="M62" s="1768">
        <f t="shared" si="9"/>
        <v>0</v>
      </c>
      <c r="N62" s="1767">
        <f t="shared" si="9"/>
        <v>0</v>
      </c>
      <c r="O62" s="1769"/>
      <c r="P62" s="1769"/>
      <c r="Q62" s="1769"/>
      <c r="R62" s="1770"/>
      <c r="S62" s="1769">
        <f t="shared" si="10"/>
        <v>0</v>
      </c>
      <c r="T62" s="1769"/>
      <c r="U62" s="1769"/>
      <c r="V62" s="1770"/>
      <c r="W62" s="1770"/>
      <c r="X62" s="1769"/>
      <c r="Y62" s="1769"/>
      <c r="Z62" s="1769"/>
      <c r="AA62" s="1770"/>
      <c r="AB62" s="1770"/>
      <c r="AC62" s="1769"/>
      <c r="AD62" s="1769"/>
      <c r="AE62" s="1769"/>
      <c r="AF62" s="1769">
        <f t="shared" si="7"/>
        <v>0</v>
      </c>
      <c r="AH62" s="1771">
        <f t="shared" si="13"/>
        <v>0</v>
      </c>
      <c r="AI62" s="1771">
        <f t="shared" si="14"/>
        <v>0</v>
      </c>
      <c r="AJ62" s="1772">
        <f t="shared" si="15"/>
        <v>0</v>
      </c>
    </row>
    <row r="63" spans="1:36" s="1760" customFormat="1" ht="25.5" customHeight="1" x14ac:dyDescent="0.25">
      <c r="A63" s="1750"/>
      <c r="B63" s="1751" t="s">
        <v>411</v>
      </c>
      <c r="C63" s="1756" t="s">
        <v>1304</v>
      </c>
      <c r="D63" s="1756"/>
      <c r="E63" s="1777"/>
      <c r="F63" s="1753"/>
      <c r="G63" s="1753">
        <f>SUM(G64:G67)</f>
        <v>190080.55000000002</v>
      </c>
      <c r="H63" s="1754"/>
      <c r="I63" s="1778"/>
      <c r="J63" s="1751" t="s">
        <v>411</v>
      </c>
      <c r="K63" s="1756" t="s">
        <v>1305</v>
      </c>
      <c r="L63" s="1756"/>
      <c r="M63" s="1777"/>
      <c r="N63" s="1753"/>
      <c r="O63" s="1759"/>
      <c r="P63" s="1759"/>
      <c r="Q63" s="1759"/>
      <c r="R63" s="1737"/>
      <c r="S63" s="1759">
        <f>SUM(S64:S67)</f>
        <v>35219.39</v>
      </c>
      <c r="T63" s="1759">
        <f t="shared" ref="T63:Z63" si="16">SUM(T64:T67)</f>
        <v>22801.550000000003</v>
      </c>
      <c r="U63" s="1759">
        <f t="shared" si="16"/>
        <v>23256.97</v>
      </c>
      <c r="V63" s="1737"/>
      <c r="W63" s="1737"/>
      <c r="X63" s="1759">
        <f t="shared" si="16"/>
        <v>27692.7</v>
      </c>
      <c r="Y63" s="1759">
        <f t="shared" si="16"/>
        <v>28890.990000000005</v>
      </c>
      <c r="Z63" s="1759">
        <f t="shared" si="16"/>
        <v>24411.270000000004</v>
      </c>
      <c r="AA63" s="1737"/>
      <c r="AB63" s="1737"/>
      <c r="AC63" s="1759">
        <f>SUM(AC64:AC67)</f>
        <v>27807.68</v>
      </c>
      <c r="AD63" s="1759">
        <f>SUM(AD64:AD67)</f>
        <v>0</v>
      </c>
      <c r="AE63" s="1759">
        <f>SUM(AE64:AE67)</f>
        <v>0</v>
      </c>
      <c r="AF63" s="1759">
        <f>SUM(AF64:AF67)</f>
        <v>190080.55</v>
      </c>
      <c r="AG63" s="1750"/>
      <c r="AH63" s="1738">
        <f t="shared" si="13"/>
        <v>190080.55</v>
      </c>
      <c r="AI63" s="1738">
        <f t="shared" si="14"/>
        <v>190080.55000000002</v>
      </c>
      <c r="AJ63" s="1739">
        <f t="shared" si="15"/>
        <v>0</v>
      </c>
    </row>
    <row r="64" spans="1:36" s="820" customFormat="1" ht="20.25" customHeight="1" x14ac:dyDescent="0.25">
      <c r="B64" s="1741"/>
      <c r="C64" s="1742" t="s">
        <v>1306</v>
      </c>
      <c r="D64" s="1723" t="s">
        <v>1307</v>
      </c>
      <c r="E64" s="1743">
        <f>[20]матеріали!G64</f>
        <v>1751</v>
      </c>
      <c r="F64" s="1743">
        <f>[20]матеріали!J64</f>
        <v>57.49</v>
      </c>
      <c r="G64" s="1743">
        <f>E64*F64</f>
        <v>100664.99</v>
      </c>
      <c r="H64" s="1744"/>
      <c r="I64" s="1683"/>
      <c r="J64" s="1741"/>
      <c r="K64" s="1742" t="str">
        <f>C64</f>
        <v>Паливо ДТ для каналопромивального модулю</v>
      </c>
      <c r="L64" s="1723" t="s">
        <v>1307</v>
      </c>
      <c r="M64" s="1762">
        <f t="shared" ref="M64:N66" si="17">E64</f>
        <v>1751</v>
      </c>
      <c r="N64" s="1743">
        <f t="shared" si="17"/>
        <v>57.49</v>
      </c>
      <c r="O64" s="1747"/>
      <c r="P64" s="1747"/>
      <c r="Q64" s="1747"/>
      <c r="R64" s="1748"/>
      <c r="S64" s="1747">
        <f>'[20]ПММ, Вода'!O23+'[20]ПММ, Вода'!O68</f>
        <v>22306.12</v>
      </c>
      <c r="T64" s="1747">
        <f>'[20]ПММ, Вода'!P23-'[20]ПММ, Вода'!O68</f>
        <v>6208.9200000000019</v>
      </c>
      <c r="U64" s="1747">
        <f>'[20]ПММ, Вода'!Q23</f>
        <v>14717.44</v>
      </c>
      <c r="V64" s="1748"/>
      <c r="W64" s="1748"/>
      <c r="X64" s="1747">
        <f>'[20]ПММ, Вода'!R23</f>
        <v>14717.44</v>
      </c>
      <c r="Y64" s="1747">
        <f>'[20]ПММ, Вода'!S23</f>
        <v>13682.62</v>
      </c>
      <c r="Z64" s="1747">
        <f>'[20]ПММ, Вода'!T23</f>
        <v>14544.970000000001</v>
      </c>
      <c r="AA64" s="1779"/>
      <c r="AB64" s="1779"/>
      <c r="AC64" s="1780">
        <f>'[20]ПММ, Вода'!U23</f>
        <v>14487.480000000001</v>
      </c>
      <c r="AD64" s="1747">
        <f>'[20]ПММ, Вода'!V23</f>
        <v>0</v>
      </c>
      <c r="AE64" s="1747">
        <f>'[20]ПММ, Вода'!W23</f>
        <v>0</v>
      </c>
      <c r="AF64" s="1747">
        <f>SUM(S64:AE64)</f>
        <v>100664.99</v>
      </c>
      <c r="AH64" s="1738">
        <f t="shared" si="13"/>
        <v>100664.99</v>
      </c>
      <c r="AI64" s="1738">
        <f t="shared" si="14"/>
        <v>100664.99</v>
      </c>
      <c r="AJ64" s="1739">
        <f t="shared" si="15"/>
        <v>0</v>
      </c>
    </row>
    <row r="65" spans="1:36" s="820" customFormat="1" ht="16.5" x14ac:dyDescent="0.25">
      <c r="B65" s="1741"/>
      <c r="C65" s="1742" t="s">
        <v>1308</v>
      </c>
      <c r="D65" s="1723" t="s">
        <v>1307</v>
      </c>
      <c r="E65" s="1743">
        <f>[20]матеріали!G65</f>
        <v>434</v>
      </c>
      <c r="F65" s="1743">
        <f>[20]матеріали!J65</f>
        <v>58.99</v>
      </c>
      <c r="G65" s="1743">
        <f>E65*F65</f>
        <v>25601.66</v>
      </c>
      <c r="H65" s="1744"/>
      <c r="I65" s="1683"/>
      <c r="J65" s="1741"/>
      <c r="K65" s="1742" t="str">
        <f>C65</f>
        <v>Паливо на роботу автомобіля ГАЗ-53</v>
      </c>
      <c r="L65" s="1723" t="s">
        <v>1307</v>
      </c>
      <c r="M65" s="1762">
        <f t="shared" si="17"/>
        <v>434</v>
      </c>
      <c r="N65" s="1743">
        <f t="shared" si="17"/>
        <v>58.99</v>
      </c>
      <c r="O65" s="1747"/>
      <c r="P65" s="1747"/>
      <c r="Q65" s="1747"/>
      <c r="R65" s="1748"/>
      <c r="S65" s="1747">
        <f>'[20]ПММ, Вода'!O33</f>
        <v>3657.38</v>
      </c>
      <c r="T65" s="1747">
        <f>'[20]ПММ, Вода'!P33</f>
        <v>3657.38</v>
      </c>
      <c r="U65" s="1747">
        <f>'[20]ПММ, Вода'!Q33</f>
        <v>3480.4100000000003</v>
      </c>
      <c r="V65" s="1748"/>
      <c r="W65" s="1748"/>
      <c r="X65" s="1747">
        <f>'[20]ПММ, Вода'!R33</f>
        <v>3834.35</v>
      </c>
      <c r="Y65" s="1747">
        <f>'[20]ПММ, Вода'!S33</f>
        <v>3480.4100000000003</v>
      </c>
      <c r="Z65" s="1747">
        <f>'[20]ПММ, Вода'!T33</f>
        <v>3657.38</v>
      </c>
      <c r="AA65" s="1748"/>
      <c r="AB65" s="1748"/>
      <c r="AC65" s="1747">
        <f>'[20]ПММ, Вода'!U33</f>
        <v>3834.35</v>
      </c>
      <c r="AD65" s="1747">
        <f>'[20]ПММ, Вода'!V33</f>
        <v>0</v>
      </c>
      <c r="AE65" s="1747">
        <f>'[20]ПММ, Вода'!W33-[20]матеріали!F52*[20]матеріали!J52</f>
        <v>0</v>
      </c>
      <c r="AF65" s="1747">
        <f>SUM(S65:AE65)</f>
        <v>25601.66</v>
      </c>
      <c r="AH65" s="1738">
        <f t="shared" si="13"/>
        <v>25601.66</v>
      </c>
      <c r="AI65" s="1738">
        <f t="shared" si="14"/>
        <v>25601.66</v>
      </c>
      <c r="AJ65" s="1739">
        <f t="shared" si="15"/>
        <v>0</v>
      </c>
    </row>
    <row r="66" spans="1:36" s="820" customFormat="1" ht="19.5" customHeight="1" x14ac:dyDescent="0.25">
      <c r="B66" s="1741"/>
      <c r="C66" s="1742" t="str">
        <f>[20]матеріали!C66</f>
        <v>Паливо на роботу екскаватора</v>
      </c>
      <c r="D66" s="1723" t="s">
        <v>1307</v>
      </c>
      <c r="E66" s="1743">
        <f>[20]матеріали!E66</f>
        <v>1110</v>
      </c>
      <c r="F66" s="1743">
        <f>[20]матеріали!J66</f>
        <v>57.49</v>
      </c>
      <c r="G66" s="1743">
        <f>E66*F66+0</f>
        <v>63813.9</v>
      </c>
      <c r="H66" s="1744"/>
      <c r="I66" s="1509"/>
      <c r="J66" s="1741"/>
      <c r="K66" s="1742" t="str">
        <f>C66</f>
        <v>Паливо на роботу екскаватора</v>
      </c>
      <c r="L66" s="1723" t="s">
        <v>1307</v>
      </c>
      <c r="M66" s="1762">
        <f t="shared" si="17"/>
        <v>1110</v>
      </c>
      <c r="N66" s="1743">
        <f t="shared" si="17"/>
        <v>57.49</v>
      </c>
      <c r="O66" s="1747"/>
      <c r="P66" s="1747"/>
      <c r="Q66" s="1747"/>
      <c r="R66" s="1748"/>
      <c r="S66" s="1747">
        <f>'[20]ПММ, Вода'!O68</f>
        <v>9255.89</v>
      </c>
      <c r="T66" s="1747">
        <f>'[20]ПММ, Вода'!P68</f>
        <v>12935.25</v>
      </c>
      <c r="U66" s="1747">
        <f>'[20]ПММ, Вода'!Q68</f>
        <v>5059.12</v>
      </c>
      <c r="V66" s="1748"/>
      <c r="W66" s="1748"/>
      <c r="X66" s="1747">
        <f>'[20]ПММ, Вода'!R68</f>
        <v>9140.91</v>
      </c>
      <c r="Y66" s="1747">
        <f>'[20]ПММ, Вода'!S68</f>
        <v>11727.960000000001</v>
      </c>
      <c r="Z66" s="1769">
        <f>'[20]ПММ, Вода'!T68+0</f>
        <v>6208.92</v>
      </c>
      <c r="AA66" s="1748"/>
      <c r="AB66" s="1748"/>
      <c r="AC66" s="1747">
        <f>'[20]ПММ, Вода'!U68</f>
        <v>9485.85</v>
      </c>
      <c r="AD66" s="1747">
        <f>'[20]ПММ, Вода'!V68</f>
        <v>0</v>
      </c>
      <c r="AE66" s="1747">
        <f>'[20]ПММ, Вода'!W69</f>
        <v>0</v>
      </c>
      <c r="AF66" s="1747">
        <f>SUM(S66:AE66)</f>
        <v>63813.899999999994</v>
      </c>
      <c r="AH66" s="1738">
        <f t="shared" si="13"/>
        <v>63813.899999999994</v>
      </c>
      <c r="AI66" s="1738">
        <f t="shared" si="14"/>
        <v>63813.9</v>
      </c>
      <c r="AJ66" s="1739">
        <f t="shared" si="15"/>
        <v>0</v>
      </c>
    </row>
    <row r="67" spans="1:36" s="820" customFormat="1" ht="15.75" hidden="1" customHeight="1" x14ac:dyDescent="0.25">
      <c r="B67" s="1741"/>
      <c r="C67" s="1742"/>
      <c r="D67" s="1723"/>
      <c r="E67" s="1762"/>
      <c r="F67" s="1743"/>
      <c r="G67" s="1743"/>
      <c r="H67" s="1744"/>
      <c r="I67" s="1509"/>
      <c r="J67" s="1741"/>
      <c r="K67" s="1742">
        <f>C67</f>
        <v>0</v>
      </c>
      <c r="L67" s="1723" t="s">
        <v>1307</v>
      </c>
      <c r="M67" s="1762">
        <f>E67</f>
        <v>0</v>
      </c>
      <c r="N67" s="1743"/>
      <c r="O67" s="1747"/>
      <c r="P67" s="1747"/>
      <c r="Q67" s="1747"/>
      <c r="R67" s="1748"/>
      <c r="S67" s="1747"/>
      <c r="T67" s="1747"/>
      <c r="U67" s="1747"/>
      <c r="V67" s="1748"/>
      <c r="W67" s="1748"/>
      <c r="X67" s="1747"/>
      <c r="Y67" s="1747"/>
      <c r="Z67" s="1747"/>
      <c r="AA67" s="1748"/>
      <c r="AB67" s="1748"/>
      <c r="AC67" s="1747"/>
      <c r="AD67" s="1747"/>
      <c r="AE67" s="1747"/>
      <c r="AF67" s="1747">
        <f>SUM(S67:AE67)</f>
        <v>0</v>
      </c>
      <c r="AH67" s="1738">
        <f t="shared" si="13"/>
        <v>0</v>
      </c>
      <c r="AI67" s="1738">
        <f t="shared" si="14"/>
        <v>0</v>
      </c>
      <c r="AJ67" s="1739">
        <f t="shared" si="15"/>
        <v>0</v>
      </c>
    </row>
    <row r="68" spans="1:36" s="1760" customFormat="1" ht="16.5" customHeight="1" x14ac:dyDescent="0.25">
      <c r="A68" s="1750"/>
      <c r="B68" s="1751" t="s">
        <v>412</v>
      </c>
      <c r="C68" s="1781" t="s">
        <v>1309</v>
      </c>
      <c r="D68" s="1781"/>
      <c r="E68" s="1752"/>
      <c r="F68" s="1752"/>
      <c r="G68" s="1753">
        <f>G69+G70+G71</f>
        <v>9320</v>
      </c>
      <c r="H68" s="1754"/>
      <c r="I68" s="1755"/>
      <c r="J68" s="1751" t="s">
        <v>414</v>
      </c>
      <c r="K68" s="1782" t="s">
        <v>1309</v>
      </c>
      <c r="L68" s="1783"/>
      <c r="M68" s="1752"/>
      <c r="N68" s="1752"/>
      <c r="O68" s="1757"/>
      <c r="P68" s="1757"/>
      <c r="Q68" s="1757"/>
      <c r="R68" s="1758"/>
      <c r="S68" s="1759">
        <f>SUM(S69:S72)</f>
        <v>9320</v>
      </c>
      <c r="T68" s="1759">
        <f>SUM(T69:T72)</f>
        <v>0</v>
      </c>
      <c r="U68" s="1759">
        <f>SUM(U69:U72)</f>
        <v>0</v>
      </c>
      <c r="V68" s="1737"/>
      <c r="W68" s="1737"/>
      <c r="X68" s="1759">
        <f>SUM(X69:X72)</f>
        <v>0</v>
      </c>
      <c r="Y68" s="1759">
        <f>SUM(Y69:Y72)</f>
        <v>0</v>
      </c>
      <c r="Z68" s="1759">
        <f>SUM(Z69:Z72)</f>
        <v>0</v>
      </c>
      <c r="AA68" s="1737"/>
      <c r="AB68" s="1737"/>
      <c r="AC68" s="1759">
        <f>SUM(AC69:AC72)</f>
        <v>0</v>
      </c>
      <c r="AD68" s="1759">
        <f>SUM(AD69:AD72)</f>
        <v>0</v>
      </c>
      <c r="AE68" s="1759">
        <f>SUM(AE69:AE72)</f>
        <v>0</v>
      </c>
      <c r="AF68" s="1759">
        <f>SUM(AF69:AF72)</f>
        <v>9320</v>
      </c>
      <c r="AG68" s="1750"/>
      <c r="AH68" s="1738">
        <f t="shared" si="13"/>
        <v>9320</v>
      </c>
      <c r="AI68" s="1738">
        <f t="shared" si="14"/>
        <v>9320</v>
      </c>
      <c r="AJ68" s="1739">
        <f t="shared" si="15"/>
        <v>0</v>
      </c>
    </row>
    <row r="69" spans="1:36" s="820" customFormat="1" ht="16.5" customHeight="1" x14ac:dyDescent="0.25">
      <c r="B69" s="1741"/>
      <c r="C69" s="1784" t="s">
        <v>1310</v>
      </c>
      <c r="D69" s="1723" t="s">
        <v>1079</v>
      </c>
      <c r="E69" s="1762">
        <f>[20]матеріали!G68</f>
        <v>112</v>
      </c>
      <c r="F69" s="1743">
        <f>[20]матеріали!J68</f>
        <v>35</v>
      </c>
      <c r="G69" s="1767">
        <f>E69*F69+0</f>
        <v>3920</v>
      </c>
      <c r="H69" s="1744"/>
      <c r="I69" s="1509"/>
      <c r="J69" s="1741"/>
      <c r="K69" s="1785" t="str">
        <f>C69</f>
        <v>Мило господарське</v>
      </c>
      <c r="L69" s="1786" t="str">
        <f>D69</f>
        <v>шт</v>
      </c>
      <c r="M69" s="1786">
        <f>E69</f>
        <v>112</v>
      </c>
      <c r="N69" s="1787">
        <f>F69</f>
        <v>35</v>
      </c>
      <c r="O69" s="1788"/>
      <c r="P69" s="1788"/>
      <c r="Q69" s="1788"/>
      <c r="R69" s="1789"/>
      <c r="S69" s="1747">
        <f>$G69</f>
        <v>3920</v>
      </c>
      <c r="T69" s="1747"/>
      <c r="U69" s="1747"/>
      <c r="V69" s="1748"/>
      <c r="W69" s="1748"/>
      <c r="X69" s="1747"/>
      <c r="Y69" s="1747"/>
      <c r="Z69" s="1745"/>
      <c r="AA69" s="1746"/>
      <c r="AB69" s="1746"/>
      <c r="AC69" s="1745"/>
      <c r="AD69" s="1745"/>
      <c r="AE69" s="1745"/>
      <c r="AF69" s="1747">
        <f>SUM(S69:AE69)</f>
        <v>3920</v>
      </c>
      <c r="AH69" s="1738">
        <f t="shared" si="13"/>
        <v>3920</v>
      </c>
      <c r="AI69" s="1738">
        <f t="shared" si="14"/>
        <v>3920</v>
      </c>
      <c r="AJ69" s="1739">
        <f t="shared" si="15"/>
        <v>0</v>
      </c>
    </row>
    <row r="70" spans="1:36" s="820" customFormat="1" ht="16.5" hidden="1" customHeight="1" x14ac:dyDescent="0.25">
      <c r="B70" s="1741"/>
      <c r="C70" s="1784" t="s">
        <v>1311</v>
      </c>
      <c r="D70" s="1723" t="s">
        <v>1079</v>
      </c>
      <c r="E70" s="1762">
        <f>[20]матеріали!G69</f>
        <v>0</v>
      </c>
      <c r="F70" s="1743">
        <f>[20]матеріали!J69</f>
        <v>35</v>
      </c>
      <c r="G70" s="1743">
        <f>E70*F70</f>
        <v>0</v>
      </c>
      <c r="H70" s="1744"/>
      <c r="I70" s="1509"/>
      <c r="J70" s="1741"/>
      <c r="K70" s="1785" t="str">
        <f t="shared" ref="K70:M72" si="18">C70</f>
        <v>Мило туалетне</v>
      </c>
      <c r="L70" s="1786" t="str">
        <f t="shared" si="18"/>
        <v>шт</v>
      </c>
      <c r="M70" s="1786">
        <f t="shared" si="18"/>
        <v>0</v>
      </c>
      <c r="N70" s="1787">
        <f>[20]ОП1!J30</f>
        <v>0</v>
      </c>
      <c r="O70" s="1788"/>
      <c r="P70" s="1788"/>
      <c r="Q70" s="1788"/>
      <c r="R70" s="1789"/>
      <c r="S70" s="1747">
        <f>$G70</f>
        <v>0</v>
      </c>
      <c r="T70" s="1747"/>
      <c r="U70" s="1747"/>
      <c r="V70" s="1748"/>
      <c r="W70" s="1748"/>
      <c r="X70" s="1747"/>
      <c r="Y70" s="1747"/>
      <c r="Z70" s="1745"/>
      <c r="AA70" s="1746"/>
      <c r="AB70" s="1746"/>
      <c r="AC70" s="1745"/>
      <c r="AD70" s="1745"/>
      <c r="AE70" s="1745"/>
      <c r="AF70" s="1747">
        <f>SUM(S70:AE70)</f>
        <v>0</v>
      </c>
      <c r="AH70" s="1738">
        <f t="shared" si="13"/>
        <v>0</v>
      </c>
      <c r="AI70" s="1738">
        <f t="shared" si="14"/>
        <v>0</v>
      </c>
      <c r="AJ70" s="1739">
        <f t="shared" si="15"/>
        <v>0</v>
      </c>
    </row>
    <row r="71" spans="1:36" s="820" customFormat="1" ht="16.5" customHeight="1" x14ac:dyDescent="0.25">
      <c r="B71" s="1741"/>
      <c r="C71" s="1784" t="s">
        <v>1312</v>
      </c>
      <c r="D71" s="1723" t="s">
        <v>1079</v>
      </c>
      <c r="E71" s="1762">
        <f>[20]матеріали!G70</f>
        <v>72</v>
      </c>
      <c r="F71" s="1743">
        <f>[20]матеріали!J70</f>
        <v>75</v>
      </c>
      <c r="G71" s="1743">
        <f>E71*F71</f>
        <v>5400</v>
      </c>
      <c r="H71" s="1744"/>
      <c r="I71" s="1509"/>
      <c r="J71" s="1741"/>
      <c r="K71" s="1785" t="str">
        <f t="shared" si="18"/>
        <v>Порошок пральний</v>
      </c>
      <c r="L71" s="1786" t="str">
        <f t="shared" si="18"/>
        <v>шт</v>
      </c>
      <c r="M71" s="1786">
        <f t="shared" si="18"/>
        <v>72</v>
      </c>
      <c r="N71" s="1787">
        <f>F71</f>
        <v>75</v>
      </c>
      <c r="O71" s="1790"/>
      <c r="P71" s="1790"/>
      <c r="Q71" s="1790"/>
      <c r="R71" s="1791"/>
      <c r="S71" s="1747">
        <f>$G71</f>
        <v>5400</v>
      </c>
      <c r="T71" s="1747"/>
      <c r="U71" s="1747"/>
      <c r="V71" s="1748"/>
      <c r="W71" s="1748"/>
      <c r="X71" s="1747"/>
      <c r="Y71" s="1747"/>
      <c r="Z71" s="1745"/>
      <c r="AA71" s="1746"/>
      <c r="AB71" s="1746"/>
      <c r="AC71" s="1745"/>
      <c r="AD71" s="1745"/>
      <c r="AE71" s="1745"/>
      <c r="AF71" s="1747">
        <f>SUM(S71:AE71)</f>
        <v>5400</v>
      </c>
      <c r="AH71" s="1738">
        <f t="shared" si="13"/>
        <v>5400</v>
      </c>
      <c r="AI71" s="1738">
        <f t="shared" si="14"/>
        <v>5400</v>
      </c>
      <c r="AJ71" s="1739">
        <f t="shared" si="15"/>
        <v>0</v>
      </c>
    </row>
    <row r="72" spans="1:36" s="1509" customFormat="1" ht="16.5" hidden="1" customHeight="1" x14ac:dyDescent="0.25">
      <c r="B72" s="1792"/>
      <c r="C72" s="1793" t="s">
        <v>1313</v>
      </c>
      <c r="D72" s="1794" t="s">
        <v>1079</v>
      </c>
      <c r="E72" s="1794">
        <v>0</v>
      </c>
      <c r="F72" s="1795">
        <f>[20]ОП1!J33</f>
        <v>75</v>
      </c>
      <c r="G72" s="1795">
        <f>E72*F72</f>
        <v>0</v>
      </c>
      <c r="H72" s="1744"/>
      <c r="J72" s="1792"/>
      <c r="K72" s="1796" t="str">
        <f t="shared" si="18"/>
        <v>Дез. засоби</v>
      </c>
      <c r="L72" s="1797" t="str">
        <f t="shared" si="18"/>
        <v>шт</v>
      </c>
      <c r="M72" s="1797">
        <f t="shared" si="18"/>
        <v>0</v>
      </c>
      <c r="N72" s="1797">
        <f>F72</f>
        <v>75</v>
      </c>
      <c r="O72" s="1798"/>
      <c r="P72" s="1798"/>
      <c r="Q72" s="1798"/>
      <c r="R72" s="1799"/>
      <c r="S72" s="1800"/>
      <c r="T72" s="1801"/>
      <c r="U72" s="1801">
        <f>$G72</f>
        <v>0</v>
      </c>
      <c r="V72" s="1779"/>
      <c r="W72" s="1779"/>
      <c r="X72" s="1800"/>
      <c r="Y72" s="1800"/>
      <c r="Z72" s="1800"/>
      <c r="AA72" s="1802"/>
      <c r="AB72" s="1802"/>
      <c r="AC72" s="1800"/>
      <c r="AD72" s="1800"/>
      <c r="AE72" s="1800"/>
      <c r="AF72" s="1801">
        <f>SUM(S72:AE72)</f>
        <v>0</v>
      </c>
      <c r="AH72" s="1803">
        <f t="shared" si="13"/>
        <v>0</v>
      </c>
      <c r="AI72" s="1738">
        <f t="shared" si="14"/>
        <v>0</v>
      </c>
      <c r="AJ72" s="1739">
        <f t="shared" si="15"/>
        <v>0</v>
      </c>
    </row>
    <row r="73" spans="1:36" s="1760" customFormat="1" ht="16.5" x14ac:dyDescent="0.25">
      <c r="A73" s="1750"/>
      <c r="B73" s="1751" t="s">
        <v>414</v>
      </c>
      <c r="C73" s="1781" t="s">
        <v>1314</v>
      </c>
      <c r="D73" s="1804"/>
      <c r="E73" s="1777"/>
      <c r="F73" s="1753"/>
      <c r="G73" s="1753">
        <f>SUM(G74:G91)</f>
        <v>37106</v>
      </c>
      <c r="H73" s="1754"/>
      <c r="I73" s="1778"/>
      <c r="J73" s="1751" t="s">
        <v>1315</v>
      </c>
      <c r="K73" s="1782" t="s">
        <v>1314</v>
      </c>
      <c r="L73" s="1783"/>
      <c r="M73" s="1804"/>
      <c r="N73" s="1804"/>
      <c r="O73" s="1805"/>
      <c r="P73" s="1805"/>
      <c r="Q73" s="1805"/>
      <c r="R73" s="1806"/>
      <c r="S73" s="1759">
        <f>SUM(S74:S91)</f>
        <v>37106</v>
      </c>
      <c r="T73" s="1759">
        <f>SUM(T74:T91)</f>
        <v>0</v>
      </c>
      <c r="U73" s="1759">
        <f>SUM(U74:U91)</f>
        <v>0</v>
      </c>
      <c r="V73" s="1737"/>
      <c r="W73" s="1737"/>
      <c r="X73" s="1759">
        <f>SUM(X74:X91)</f>
        <v>0</v>
      </c>
      <c r="Y73" s="1759">
        <f>SUM(Y74:Y91)</f>
        <v>0</v>
      </c>
      <c r="Z73" s="1759">
        <f>SUM(Z74:Z91)</f>
        <v>0</v>
      </c>
      <c r="AA73" s="1737"/>
      <c r="AB73" s="1737"/>
      <c r="AC73" s="1759">
        <f>SUM(AC74:AC91)</f>
        <v>0</v>
      </c>
      <c r="AD73" s="1759">
        <f>SUM(AD74:AD91)</f>
        <v>0</v>
      </c>
      <c r="AE73" s="1759">
        <f>SUM(AE74:AE91)</f>
        <v>0</v>
      </c>
      <c r="AF73" s="1759">
        <f>SUM(AF74:AF91)</f>
        <v>37106</v>
      </c>
      <c r="AG73" s="1750"/>
      <c r="AH73" s="1738">
        <f t="shared" si="13"/>
        <v>37106</v>
      </c>
      <c r="AI73" s="1738">
        <f t="shared" si="14"/>
        <v>37106</v>
      </c>
      <c r="AJ73" s="1739">
        <f t="shared" si="15"/>
        <v>0</v>
      </c>
    </row>
    <row r="74" spans="1:36" s="820" customFormat="1" ht="16.5" x14ac:dyDescent="0.25">
      <c r="B74" s="1741"/>
      <c r="C74" s="1784" t="str">
        <f>[20]ОП1!A7</f>
        <v xml:space="preserve">Костюм </v>
      </c>
      <c r="D74" s="1723" t="str">
        <f>[20]ОП1!B7</f>
        <v>шт.</v>
      </c>
      <c r="E74" s="1762">
        <f>[20]матеріали!G73</f>
        <v>3</v>
      </c>
      <c r="F74" s="1743">
        <f>[20]матеріали!J73</f>
        <v>1300</v>
      </c>
      <c r="G74" s="1743">
        <f>E74*F74</f>
        <v>3900</v>
      </c>
      <c r="H74" s="1744"/>
      <c r="I74" s="1509"/>
      <c r="J74" s="1741"/>
      <c r="K74" s="1785" t="str">
        <f>C74</f>
        <v xml:space="preserve">Костюм </v>
      </c>
      <c r="L74" s="1786" t="str">
        <f>D74</f>
        <v>шт.</v>
      </c>
      <c r="M74" s="1807">
        <f>[20]ОП1!H7</f>
        <v>3</v>
      </c>
      <c r="N74" s="1787">
        <f>[20]ОП1!J7</f>
        <v>1300</v>
      </c>
      <c r="O74" s="1788"/>
      <c r="P74" s="1788"/>
      <c r="Q74" s="1788"/>
      <c r="R74" s="1789"/>
      <c r="S74" s="1747">
        <f t="shared" ref="S74:S80" si="19">$G74</f>
        <v>3900</v>
      </c>
      <c r="T74" s="1747"/>
      <c r="U74" s="1747"/>
      <c r="V74" s="1748"/>
      <c r="W74" s="1748"/>
      <c r="X74" s="1747"/>
      <c r="Y74" s="1747"/>
      <c r="Z74" s="1745"/>
      <c r="AA74" s="1746"/>
      <c r="AB74" s="1746"/>
      <c r="AC74" s="1745"/>
      <c r="AD74" s="1745"/>
      <c r="AE74" s="1745"/>
      <c r="AF74" s="1747">
        <f>SUM(S74:AE74)</f>
        <v>3900</v>
      </c>
      <c r="AH74" s="1738">
        <f t="shared" si="13"/>
        <v>3900</v>
      </c>
      <c r="AI74" s="1738">
        <f t="shared" si="14"/>
        <v>3900</v>
      </c>
      <c r="AJ74" s="1739">
        <f t="shared" si="15"/>
        <v>0</v>
      </c>
    </row>
    <row r="75" spans="1:36" s="820" customFormat="1" ht="16.5" x14ac:dyDescent="0.25">
      <c r="B75" s="1741"/>
      <c r="C75" s="1784" t="str">
        <f>[20]ОП1!A8</f>
        <v>Напівчоботи</v>
      </c>
      <c r="D75" s="1723" t="str">
        <f>[20]ОП1!B8</f>
        <v>п.</v>
      </c>
      <c r="E75" s="1762">
        <f>[20]матеріали!G74</f>
        <v>3</v>
      </c>
      <c r="F75" s="1743">
        <f>[20]матеріали!J74</f>
        <v>940</v>
      </c>
      <c r="G75" s="1743">
        <f t="shared" ref="G75:G91" si="20">E75*F75</f>
        <v>2820</v>
      </c>
      <c r="H75" s="1744"/>
      <c r="I75" s="1509"/>
      <c r="J75" s="1741"/>
      <c r="K75" s="1785" t="str">
        <f t="shared" ref="K75:L90" si="21">C75</f>
        <v>Напівчоботи</v>
      </c>
      <c r="L75" s="1786" t="str">
        <f t="shared" si="21"/>
        <v>п.</v>
      </c>
      <c r="M75" s="1807">
        <f>[20]ОП1!H8</f>
        <v>3</v>
      </c>
      <c r="N75" s="1787">
        <f>[20]ОП1!J8</f>
        <v>940</v>
      </c>
      <c r="O75" s="1788"/>
      <c r="P75" s="1788"/>
      <c r="Q75" s="1788"/>
      <c r="R75" s="1789"/>
      <c r="S75" s="1747">
        <f t="shared" si="19"/>
        <v>2820</v>
      </c>
      <c r="T75" s="1747"/>
      <c r="U75" s="1747"/>
      <c r="V75" s="1748"/>
      <c r="W75" s="1748"/>
      <c r="X75" s="1747"/>
      <c r="Y75" s="1747"/>
      <c r="Z75" s="1745"/>
      <c r="AA75" s="1746"/>
      <c r="AB75" s="1746"/>
      <c r="AC75" s="1745"/>
      <c r="AD75" s="1745"/>
      <c r="AE75" s="1745"/>
      <c r="AF75" s="1747">
        <f t="shared" ref="AF75:AF91" si="22">SUM(S75:AE75)</f>
        <v>2820</v>
      </c>
      <c r="AH75" s="1738">
        <f t="shared" si="13"/>
        <v>2820</v>
      </c>
      <c r="AI75" s="1738">
        <f t="shared" si="14"/>
        <v>2820</v>
      </c>
      <c r="AJ75" s="1739">
        <f t="shared" si="15"/>
        <v>0</v>
      </c>
    </row>
    <row r="76" spans="1:36" s="820" customFormat="1" ht="18.75" customHeight="1" x14ac:dyDescent="0.25">
      <c r="B76" s="1741"/>
      <c r="C76" s="1784" t="str">
        <f>[20]ОП1!A9</f>
        <v>Чоботи</v>
      </c>
      <c r="D76" s="1723" t="str">
        <f>[20]ОП1!B9</f>
        <v>п.</v>
      </c>
      <c r="E76" s="1762">
        <f>[20]матеріали!G75</f>
        <v>3</v>
      </c>
      <c r="F76" s="1743">
        <f>[20]матеріали!J75</f>
        <v>1800</v>
      </c>
      <c r="G76" s="1743">
        <f t="shared" si="20"/>
        <v>5400</v>
      </c>
      <c r="H76" s="1744"/>
      <c r="I76" s="1509"/>
      <c r="J76" s="1741"/>
      <c r="K76" s="1785" t="str">
        <f t="shared" si="21"/>
        <v>Чоботи</v>
      </c>
      <c r="L76" s="1786" t="str">
        <f t="shared" si="21"/>
        <v>п.</v>
      </c>
      <c r="M76" s="1807">
        <f>[20]ОП1!H9</f>
        <v>3</v>
      </c>
      <c r="N76" s="1787">
        <f>[20]ОП1!J9</f>
        <v>1800</v>
      </c>
      <c r="O76" s="1788"/>
      <c r="P76" s="1788"/>
      <c r="Q76" s="1788"/>
      <c r="R76" s="1789"/>
      <c r="S76" s="1747">
        <f t="shared" si="19"/>
        <v>5400</v>
      </c>
      <c r="T76" s="1747"/>
      <c r="U76" s="1747"/>
      <c r="V76" s="1748"/>
      <c r="W76" s="1748"/>
      <c r="X76" s="1747"/>
      <c r="Y76" s="1747"/>
      <c r="Z76" s="1745"/>
      <c r="AA76" s="1746"/>
      <c r="AB76" s="1746"/>
      <c r="AC76" s="1745"/>
      <c r="AD76" s="1745"/>
      <c r="AE76" s="1745"/>
      <c r="AF76" s="1747">
        <f t="shared" si="22"/>
        <v>5400</v>
      </c>
      <c r="AH76" s="1738">
        <f t="shared" si="13"/>
        <v>5400</v>
      </c>
      <c r="AI76" s="1738">
        <f t="shared" si="14"/>
        <v>5400</v>
      </c>
      <c r="AJ76" s="1739">
        <f t="shared" si="15"/>
        <v>0</v>
      </c>
    </row>
    <row r="77" spans="1:36" s="824" customFormat="1" ht="17.25" hidden="1" customHeight="1" x14ac:dyDescent="0.25">
      <c r="B77" s="1763"/>
      <c r="C77" s="1808" t="str">
        <f>[20]ОП1!A10</f>
        <v>Черевики</v>
      </c>
      <c r="D77" s="1765" t="str">
        <f>[20]ОП1!B10</f>
        <v>п.</v>
      </c>
      <c r="E77" s="1768">
        <f>[20]матеріали!G76</f>
        <v>0</v>
      </c>
      <c r="F77" s="1767">
        <f>[20]матеріали!J76</f>
        <v>1020</v>
      </c>
      <c r="G77" s="1767">
        <f t="shared" si="20"/>
        <v>0</v>
      </c>
      <c r="H77" s="1744"/>
      <c r="J77" s="1763"/>
      <c r="K77" s="1809" t="str">
        <f t="shared" si="21"/>
        <v>Черевики</v>
      </c>
      <c r="L77" s="1810" t="str">
        <f t="shared" si="21"/>
        <v>п.</v>
      </c>
      <c r="M77" s="1811">
        <f>[20]ОП1!H10</f>
        <v>0</v>
      </c>
      <c r="N77" s="1812">
        <f>[20]ОП1!J10</f>
        <v>1020</v>
      </c>
      <c r="O77" s="1813"/>
      <c r="P77" s="1813"/>
      <c r="Q77" s="1813"/>
      <c r="R77" s="1814"/>
      <c r="S77" s="1769">
        <f t="shared" si="19"/>
        <v>0</v>
      </c>
      <c r="T77" s="1769"/>
      <c r="U77" s="1769"/>
      <c r="V77" s="1770"/>
      <c r="W77" s="1770"/>
      <c r="X77" s="1769"/>
      <c r="Y77" s="1769"/>
      <c r="Z77" s="1815"/>
      <c r="AA77" s="1816"/>
      <c r="AB77" s="1816"/>
      <c r="AC77" s="1815"/>
      <c r="AD77" s="1815"/>
      <c r="AE77" s="1815"/>
      <c r="AF77" s="1769">
        <f t="shared" si="22"/>
        <v>0</v>
      </c>
      <c r="AH77" s="1771">
        <f t="shared" si="13"/>
        <v>0</v>
      </c>
      <c r="AI77" s="1771">
        <f t="shared" si="14"/>
        <v>0</v>
      </c>
      <c r="AJ77" s="1772">
        <f t="shared" si="15"/>
        <v>0</v>
      </c>
    </row>
    <row r="78" spans="1:36" s="820" customFormat="1" ht="16.5" x14ac:dyDescent="0.25">
      <c r="B78" s="1741"/>
      <c r="C78" s="1784" t="str">
        <f>[20]ОП1!A11</f>
        <v>Рукавиці Мп</v>
      </c>
      <c r="D78" s="1723" t="str">
        <f>[20]ОП1!B11</f>
        <v>п.</v>
      </c>
      <c r="E78" s="1762">
        <f>[20]матеріали!G77</f>
        <v>1</v>
      </c>
      <c r="F78" s="1743">
        <f>[20]матеріали!J77</f>
        <v>65</v>
      </c>
      <c r="G78" s="1743">
        <f t="shared" si="20"/>
        <v>65</v>
      </c>
      <c r="H78" s="1744"/>
      <c r="I78" s="1509"/>
      <c r="J78" s="1741"/>
      <c r="K78" s="1785" t="str">
        <f t="shared" si="21"/>
        <v>Рукавиці Мп</v>
      </c>
      <c r="L78" s="1786" t="str">
        <f t="shared" si="21"/>
        <v>п.</v>
      </c>
      <c r="M78" s="1807">
        <f>[20]ОП1!H11</f>
        <v>1</v>
      </c>
      <c r="N78" s="1787">
        <f>[20]ОП1!J11</f>
        <v>65</v>
      </c>
      <c r="O78" s="1788"/>
      <c r="P78" s="1788"/>
      <c r="Q78" s="1788"/>
      <c r="R78" s="1789"/>
      <c r="S78" s="1747">
        <f t="shared" si="19"/>
        <v>65</v>
      </c>
      <c r="T78" s="1747"/>
      <c r="U78" s="1747"/>
      <c r="V78" s="1748"/>
      <c r="W78" s="1748"/>
      <c r="X78" s="1747"/>
      <c r="Y78" s="1747"/>
      <c r="Z78" s="1745"/>
      <c r="AA78" s="1746"/>
      <c r="AB78" s="1746"/>
      <c r="AC78" s="1745"/>
      <c r="AD78" s="1745"/>
      <c r="AE78" s="1745"/>
      <c r="AF78" s="1747">
        <f t="shared" si="22"/>
        <v>65</v>
      </c>
      <c r="AH78" s="1738">
        <f t="shared" si="13"/>
        <v>65</v>
      </c>
      <c r="AI78" s="1738">
        <f t="shared" si="14"/>
        <v>65</v>
      </c>
      <c r="AJ78" s="1739">
        <f t="shared" si="15"/>
        <v>0</v>
      </c>
    </row>
    <row r="79" spans="1:36" s="820" customFormat="1" ht="16.5" x14ac:dyDescent="0.25">
      <c r="B79" s="1741"/>
      <c r="C79" s="1784" t="str">
        <f>[20]ОП1!A12</f>
        <v xml:space="preserve">Рукавички Ми </v>
      </c>
      <c r="D79" s="1723" t="str">
        <f>[20]ОП1!B12</f>
        <v>п.</v>
      </c>
      <c r="E79" s="1762">
        <f>[20]матеріали!G78</f>
        <v>18</v>
      </c>
      <c r="F79" s="1743">
        <f>[20]матеріали!J78</f>
        <v>62</v>
      </c>
      <c r="G79" s="1743">
        <f t="shared" si="20"/>
        <v>1116</v>
      </c>
      <c r="H79" s="1744"/>
      <c r="I79" s="1509"/>
      <c r="J79" s="1741"/>
      <c r="K79" s="1785" t="str">
        <f t="shared" si="21"/>
        <v xml:space="preserve">Рукавички Ми </v>
      </c>
      <c r="L79" s="1786" t="str">
        <f t="shared" si="21"/>
        <v>п.</v>
      </c>
      <c r="M79" s="1807">
        <f>[20]ОП1!H12</f>
        <v>18</v>
      </c>
      <c r="N79" s="1787">
        <f>[20]ОП1!J12</f>
        <v>62</v>
      </c>
      <c r="O79" s="1788"/>
      <c r="P79" s="1788"/>
      <c r="Q79" s="1788"/>
      <c r="R79" s="1789"/>
      <c r="S79" s="1747">
        <f t="shared" si="19"/>
        <v>1116</v>
      </c>
      <c r="T79" s="1747"/>
      <c r="U79" s="1747"/>
      <c r="V79" s="1748"/>
      <c r="W79" s="1748"/>
      <c r="X79" s="1747"/>
      <c r="Y79" s="1747"/>
      <c r="Z79" s="1745"/>
      <c r="AA79" s="1746"/>
      <c r="AB79" s="1746"/>
      <c r="AC79" s="1745"/>
      <c r="AD79" s="1745"/>
      <c r="AE79" s="1745"/>
      <c r="AF79" s="1747">
        <f t="shared" si="22"/>
        <v>1116</v>
      </c>
      <c r="AH79" s="1738">
        <f t="shared" si="13"/>
        <v>1116</v>
      </c>
      <c r="AI79" s="1738">
        <f t="shared" si="14"/>
        <v>1116</v>
      </c>
      <c r="AJ79" s="1739">
        <f t="shared" si="15"/>
        <v>0</v>
      </c>
    </row>
    <row r="80" spans="1:36" s="820" customFormat="1" ht="16.5" x14ac:dyDescent="0.25">
      <c r="B80" s="1741"/>
      <c r="C80" s="1784" t="str">
        <f>[20]ОП1!A13</f>
        <v>Рукавиці МпВн</v>
      </c>
      <c r="D80" s="1723" t="str">
        <f>[20]ОП1!B13</f>
        <v>п.</v>
      </c>
      <c r="E80" s="1762">
        <f>[20]матеріали!G79</f>
        <v>1</v>
      </c>
      <c r="F80" s="1743">
        <f>[20]матеріали!J79</f>
        <v>85</v>
      </c>
      <c r="G80" s="1743">
        <f t="shared" si="20"/>
        <v>85</v>
      </c>
      <c r="H80" s="1744"/>
      <c r="I80" s="1509"/>
      <c r="J80" s="1741"/>
      <c r="K80" s="1785" t="str">
        <f t="shared" si="21"/>
        <v>Рукавиці МпВн</v>
      </c>
      <c r="L80" s="1786" t="str">
        <f t="shared" si="21"/>
        <v>п.</v>
      </c>
      <c r="M80" s="1807">
        <f>[20]ОП1!H13</f>
        <v>1</v>
      </c>
      <c r="N80" s="1787">
        <f>[20]ОП1!J13</f>
        <v>85</v>
      </c>
      <c r="O80" s="1788"/>
      <c r="P80" s="1788"/>
      <c r="Q80" s="1788"/>
      <c r="R80" s="1789"/>
      <c r="S80" s="1747">
        <f t="shared" si="19"/>
        <v>85</v>
      </c>
      <c r="T80" s="1747"/>
      <c r="U80" s="1747"/>
      <c r="V80" s="1748"/>
      <c r="W80" s="1748"/>
      <c r="X80" s="1747"/>
      <c r="Y80" s="1747"/>
      <c r="Z80" s="1745"/>
      <c r="AA80" s="1746"/>
      <c r="AB80" s="1746"/>
      <c r="AC80" s="1745"/>
      <c r="AD80" s="1745"/>
      <c r="AE80" s="1745"/>
      <c r="AF80" s="1747">
        <f t="shared" si="22"/>
        <v>85</v>
      </c>
      <c r="AH80" s="1738">
        <f>SUM(S80:AE80)</f>
        <v>85</v>
      </c>
      <c r="AI80" s="1738">
        <f t="shared" si="14"/>
        <v>85</v>
      </c>
      <c r="AJ80" s="1739">
        <f t="shared" si="15"/>
        <v>0</v>
      </c>
    </row>
    <row r="81" spans="1:36" s="820" customFormat="1" ht="16.5" x14ac:dyDescent="0.25">
      <c r="B81" s="1741"/>
      <c r="C81" s="1784" t="str">
        <f>[20]ОП1!A14</f>
        <v>Плащ з капюшоном</v>
      </c>
      <c r="D81" s="1723" t="str">
        <f>[20]ОП1!B14</f>
        <v>шт.</v>
      </c>
      <c r="E81" s="1762">
        <f>[20]матеріали!G80</f>
        <v>1</v>
      </c>
      <c r="F81" s="1743">
        <f>[20]матеріали!J80</f>
        <v>510</v>
      </c>
      <c r="G81" s="1743">
        <f t="shared" si="20"/>
        <v>510</v>
      </c>
      <c r="H81" s="1744"/>
      <c r="I81" s="1509"/>
      <c r="J81" s="1741"/>
      <c r="K81" s="1785" t="str">
        <f t="shared" si="21"/>
        <v>Плащ з капюшоном</v>
      </c>
      <c r="L81" s="1786" t="str">
        <f t="shared" si="21"/>
        <v>шт.</v>
      </c>
      <c r="M81" s="1807">
        <f>[20]ОП1!H14</f>
        <v>1</v>
      </c>
      <c r="N81" s="1787">
        <f>[20]ОП1!J14</f>
        <v>510</v>
      </c>
      <c r="O81" s="1788"/>
      <c r="P81" s="1788"/>
      <c r="Q81" s="1788"/>
      <c r="R81" s="1789"/>
      <c r="S81" s="1747">
        <f>$G81</f>
        <v>510</v>
      </c>
      <c r="T81" s="1747"/>
      <c r="U81" s="1747"/>
      <c r="V81" s="1748"/>
      <c r="W81" s="1748"/>
      <c r="X81" s="1747"/>
      <c r="Y81" s="1747"/>
      <c r="Z81" s="1745"/>
      <c r="AA81" s="1746"/>
      <c r="AB81" s="1746"/>
      <c r="AC81" s="1745"/>
      <c r="AD81" s="1745"/>
      <c r="AE81" s="1745"/>
      <c r="AF81" s="1747">
        <f t="shared" si="22"/>
        <v>510</v>
      </c>
      <c r="AH81" s="1738">
        <f>SUM(S81:AE81)</f>
        <v>510</v>
      </c>
      <c r="AI81" s="1738">
        <f t="shared" si="14"/>
        <v>510</v>
      </c>
      <c r="AJ81" s="1739">
        <f t="shared" si="15"/>
        <v>0</v>
      </c>
    </row>
    <row r="82" spans="1:36" s="820" customFormat="1" ht="16.5" x14ac:dyDescent="0.25">
      <c r="B82" s="1741"/>
      <c r="C82" s="1784" t="str">
        <f>[20]ОП1!A15</f>
        <v>Жилет сигнальний</v>
      </c>
      <c r="D82" s="1723" t="str">
        <f>[20]ОП1!B15</f>
        <v>шт.</v>
      </c>
      <c r="E82" s="1762">
        <f>[20]матеріали!G81</f>
        <v>3</v>
      </c>
      <c r="F82" s="1743">
        <f>[20]матеріали!J81</f>
        <v>155</v>
      </c>
      <c r="G82" s="1743">
        <f t="shared" si="20"/>
        <v>465</v>
      </c>
      <c r="H82" s="1744"/>
      <c r="I82" s="1509"/>
      <c r="J82" s="1741"/>
      <c r="K82" s="1785" t="str">
        <f t="shared" si="21"/>
        <v>Жилет сигнальний</v>
      </c>
      <c r="L82" s="1786" t="str">
        <f t="shared" si="21"/>
        <v>шт.</v>
      </c>
      <c r="M82" s="1807">
        <f>[20]ОП1!H15</f>
        <v>3</v>
      </c>
      <c r="N82" s="1787">
        <f>[20]ОП1!J15</f>
        <v>155</v>
      </c>
      <c r="O82" s="1788"/>
      <c r="P82" s="1788"/>
      <c r="Q82" s="1788"/>
      <c r="R82" s="1789"/>
      <c r="S82" s="1747">
        <f t="shared" ref="S82:S91" si="23">$G82</f>
        <v>465</v>
      </c>
      <c r="T82" s="1747"/>
      <c r="U82" s="1747"/>
      <c r="V82" s="1748"/>
      <c r="W82" s="1748"/>
      <c r="X82" s="1747"/>
      <c r="Y82" s="1747"/>
      <c r="Z82" s="1745"/>
      <c r="AA82" s="1746"/>
      <c r="AB82" s="1746"/>
      <c r="AC82" s="1745"/>
      <c r="AD82" s="1745"/>
      <c r="AE82" s="1745"/>
      <c r="AF82" s="1747">
        <f t="shared" si="22"/>
        <v>465</v>
      </c>
      <c r="AH82" s="1738">
        <f t="shared" ref="AH82:AH91" si="24">SUM(S82:AE82)</f>
        <v>465</v>
      </c>
      <c r="AI82" s="1738">
        <f t="shared" si="14"/>
        <v>465</v>
      </c>
      <c r="AJ82" s="1739">
        <f t="shared" si="15"/>
        <v>0</v>
      </c>
    </row>
    <row r="83" spans="1:36" s="820" customFormat="1" ht="16.5" x14ac:dyDescent="0.25">
      <c r="B83" s="1741"/>
      <c r="C83" s="1784" t="str">
        <f>[20]ОП1!A16</f>
        <v>Каска захисна</v>
      </c>
      <c r="D83" s="1723" t="str">
        <f>[20]ОП1!B16</f>
        <v>шт.</v>
      </c>
      <c r="E83" s="1762">
        <f>[20]матеріали!G82</f>
        <v>1</v>
      </c>
      <c r="F83" s="1743">
        <f>[20]матеріали!J82</f>
        <v>185</v>
      </c>
      <c r="G83" s="1743">
        <f t="shared" si="20"/>
        <v>185</v>
      </c>
      <c r="H83" s="1744"/>
      <c r="I83" s="1509"/>
      <c r="J83" s="1741"/>
      <c r="K83" s="1785" t="str">
        <f t="shared" si="21"/>
        <v>Каска захисна</v>
      </c>
      <c r="L83" s="1786" t="str">
        <f t="shared" si="21"/>
        <v>шт.</v>
      </c>
      <c r="M83" s="1807">
        <f>[20]ОП1!H16</f>
        <v>1</v>
      </c>
      <c r="N83" s="1787">
        <f>[20]ОП1!J16</f>
        <v>185</v>
      </c>
      <c r="O83" s="1788"/>
      <c r="P83" s="1788"/>
      <c r="Q83" s="1788"/>
      <c r="R83" s="1789"/>
      <c r="S83" s="1747">
        <f t="shared" si="23"/>
        <v>185</v>
      </c>
      <c r="T83" s="1747"/>
      <c r="U83" s="1747"/>
      <c r="V83" s="1748"/>
      <c r="W83" s="1748"/>
      <c r="X83" s="1747"/>
      <c r="Y83" s="1747"/>
      <c r="Z83" s="1745"/>
      <c r="AA83" s="1746"/>
      <c r="AB83" s="1746"/>
      <c r="AC83" s="1745"/>
      <c r="AD83" s="1745"/>
      <c r="AE83" s="1745"/>
      <c r="AF83" s="1747">
        <f t="shared" si="22"/>
        <v>185</v>
      </c>
      <c r="AH83" s="1738">
        <f t="shared" si="24"/>
        <v>185</v>
      </c>
      <c r="AI83" s="1738">
        <f t="shared" si="14"/>
        <v>185</v>
      </c>
      <c r="AJ83" s="1739">
        <f t="shared" si="15"/>
        <v>0</v>
      </c>
    </row>
    <row r="84" spans="1:36" s="820" customFormat="1" ht="16.5" x14ac:dyDescent="0.25">
      <c r="B84" s="1741"/>
      <c r="C84" s="1784" t="str">
        <f>[20]ОП1!A17</f>
        <v xml:space="preserve">Підшоломник </v>
      </c>
      <c r="D84" s="1723" t="str">
        <f>[20]ОП1!B17</f>
        <v>шт.</v>
      </c>
      <c r="E84" s="1762">
        <f>[20]матеріали!G83</f>
        <v>1</v>
      </c>
      <c r="F84" s="1743">
        <f>[20]матеріали!J83</f>
        <v>145</v>
      </c>
      <c r="G84" s="1743">
        <f t="shared" si="20"/>
        <v>145</v>
      </c>
      <c r="H84" s="1744"/>
      <c r="I84" s="1509"/>
      <c r="J84" s="1741"/>
      <c r="K84" s="1785" t="str">
        <f t="shared" si="21"/>
        <v xml:space="preserve">Підшоломник </v>
      </c>
      <c r="L84" s="1786" t="str">
        <f t="shared" si="21"/>
        <v>шт.</v>
      </c>
      <c r="M84" s="1807">
        <f>[20]ОП1!H17</f>
        <v>1</v>
      </c>
      <c r="N84" s="1787">
        <f>[20]ОП1!J17</f>
        <v>145</v>
      </c>
      <c r="O84" s="1788"/>
      <c r="P84" s="1788"/>
      <c r="Q84" s="1788"/>
      <c r="R84" s="1789"/>
      <c r="S84" s="1747">
        <f t="shared" si="23"/>
        <v>145</v>
      </c>
      <c r="T84" s="1747"/>
      <c r="U84" s="1747"/>
      <c r="V84" s="1748"/>
      <c r="W84" s="1748"/>
      <c r="X84" s="1747"/>
      <c r="Y84" s="1747"/>
      <c r="Z84" s="1745"/>
      <c r="AA84" s="1746"/>
      <c r="AB84" s="1746"/>
      <c r="AC84" s="1745"/>
      <c r="AD84" s="1745"/>
      <c r="AE84" s="1745"/>
      <c r="AF84" s="1747">
        <f t="shared" si="22"/>
        <v>145</v>
      </c>
      <c r="AH84" s="1738">
        <f t="shared" si="24"/>
        <v>145</v>
      </c>
      <c r="AI84" s="1738">
        <f t="shared" si="14"/>
        <v>145</v>
      </c>
      <c r="AJ84" s="1739">
        <f t="shared" si="15"/>
        <v>0</v>
      </c>
    </row>
    <row r="85" spans="1:36" s="820" customFormat="1" ht="16.5" x14ac:dyDescent="0.25">
      <c r="B85" s="1741"/>
      <c r="C85" s="1784" t="str">
        <f>[20]ОП1!A18</f>
        <v>Кепка</v>
      </c>
      <c r="D85" s="1723" t="str">
        <f>[20]ОП1!B18</f>
        <v>шт.</v>
      </c>
      <c r="E85" s="1762">
        <f>[20]матеріали!G84</f>
        <v>1</v>
      </c>
      <c r="F85" s="1743">
        <f>[20]матеріали!J84</f>
        <v>155</v>
      </c>
      <c r="G85" s="1743">
        <f t="shared" si="20"/>
        <v>155</v>
      </c>
      <c r="H85" s="1744"/>
      <c r="I85" s="1509"/>
      <c r="J85" s="1741"/>
      <c r="K85" s="1785" t="str">
        <f t="shared" si="21"/>
        <v>Кепка</v>
      </c>
      <c r="L85" s="1786" t="str">
        <f t="shared" si="21"/>
        <v>шт.</v>
      </c>
      <c r="M85" s="1807">
        <f>[20]ОП1!H18</f>
        <v>1</v>
      </c>
      <c r="N85" s="1787">
        <f>[20]ОП1!J18</f>
        <v>155</v>
      </c>
      <c r="O85" s="1788"/>
      <c r="P85" s="1788"/>
      <c r="Q85" s="1788"/>
      <c r="R85" s="1789"/>
      <c r="S85" s="1747">
        <f t="shared" si="23"/>
        <v>155</v>
      </c>
      <c r="T85" s="1747"/>
      <c r="U85" s="1747"/>
      <c r="V85" s="1748"/>
      <c r="W85" s="1748"/>
      <c r="X85" s="1747"/>
      <c r="Y85" s="1747"/>
      <c r="Z85" s="1745"/>
      <c r="AA85" s="1746"/>
      <c r="AB85" s="1746"/>
      <c r="AC85" s="1745"/>
      <c r="AD85" s="1745"/>
      <c r="AE85" s="1745"/>
      <c r="AF85" s="1747">
        <f t="shared" si="22"/>
        <v>155</v>
      </c>
      <c r="AH85" s="1738">
        <f t="shared" si="24"/>
        <v>155</v>
      </c>
      <c r="AI85" s="1738">
        <f t="shared" si="14"/>
        <v>155</v>
      </c>
      <c r="AJ85" s="1739">
        <f t="shared" si="15"/>
        <v>0</v>
      </c>
    </row>
    <row r="86" spans="1:36" s="820" customFormat="1" ht="16.5" x14ac:dyDescent="0.25">
      <c r="B86" s="1741"/>
      <c r="C86" s="1784" t="str">
        <f>[20]ОП1!A19</f>
        <v>Футболка бавовняна</v>
      </c>
      <c r="D86" s="1723" t="str">
        <f>[20]ОП1!B19</f>
        <v>шт.</v>
      </c>
      <c r="E86" s="1762">
        <f>[20]матеріали!G85</f>
        <v>3</v>
      </c>
      <c r="F86" s="1743">
        <f>[20]матеріали!J85</f>
        <v>320</v>
      </c>
      <c r="G86" s="1743">
        <f t="shared" si="20"/>
        <v>960</v>
      </c>
      <c r="H86" s="1744"/>
      <c r="I86" s="1509"/>
      <c r="J86" s="1741"/>
      <c r="K86" s="1785" t="str">
        <f t="shared" si="21"/>
        <v>Футболка бавовняна</v>
      </c>
      <c r="L86" s="1786" t="str">
        <f t="shared" si="21"/>
        <v>шт.</v>
      </c>
      <c r="M86" s="1807">
        <f>[20]ОП1!H19</f>
        <v>3</v>
      </c>
      <c r="N86" s="1787">
        <f>[20]ОП1!J19</f>
        <v>320</v>
      </c>
      <c r="O86" s="1788"/>
      <c r="P86" s="1788"/>
      <c r="Q86" s="1788"/>
      <c r="R86" s="1789"/>
      <c r="S86" s="1747">
        <f t="shared" si="23"/>
        <v>960</v>
      </c>
      <c r="T86" s="1747"/>
      <c r="U86" s="1747"/>
      <c r="V86" s="1748"/>
      <c r="W86" s="1748"/>
      <c r="X86" s="1747"/>
      <c r="Y86" s="1747"/>
      <c r="Z86" s="1745"/>
      <c r="AA86" s="1746"/>
      <c r="AB86" s="1746"/>
      <c r="AC86" s="1745"/>
      <c r="AD86" s="1745"/>
      <c r="AE86" s="1745"/>
      <c r="AF86" s="1747">
        <f t="shared" si="22"/>
        <v>960</v>
      </c>
      <c r="AH86" s="1738">
        <f t="shared" si="24"/>
        <v>960</v>
      </c>
      <c r="AI86" s="1738">
        <f t="shared" si="14"/>
        <v>960</v>
      </c>
      <c r="AJ86" s="1739">
        <f t="shared" si="15"/>
        <v>0</v>
      </c>
    </row>
    <row r="87" spans="1:36" s="824" customFormat="1" ht="16.5" hidden="1" x14ac:dyDescent="0.25">
      <c r="B87" s="1763"/>
      <c r="C87" s="1808" t="str">
        <f>[20]ОП1!A20</f>
        <v>Берет</v>
      </c>
      <c r="D87" s="1765" t="str">
        <f>[20]ОП1!B20</f>
        <v>шт.</v>
      </c>
      <c r="E87" s="1768">
        <f>[20]матеріали!G86</f>
        <v>0</v>
      </c>
      <c r="F87" s="1767">
        <f>[20]матеріали!J86</f>
        <v>105</v>
      </c>
      <c r="G87" s="1767">
        <f t="shared" si="20"/>
        <v>0</v>
      </c>
      <c r="H87" s="1744"/>
      <c r="J87" s="1763"/>
      <c r="K87" s="1809" t="str">
        <f t="shared" si="21"/>
        <v>Берет</v>
      </c>
      <c r="L87" s="1810" t="str">
        <f t="shared" si="21"/>
        <v>шт.</v>
      </c>
      <c r="M87" s="1811">
        <f>[20]ОП1!H20</f>
        <v>0</v>
      </c>
      <c r="N87" s="1812">
        <f>[20]ОП1!J20</f>
        <v>105</v>
      </c>
      <c r="O87" s="1813"/>
      <c r="P87" s="1813"/>
      <c r="Q87" s="1813"/>
      <c r="R87" s="1814"/>
      <c r="S87" s="1769">
        <f t="shared" si="23"/>
        <v>0</v>
      </c>
      <c r="T87" s="1769"/>
      <c r="U87" s="1769"/>
      <c r="V87" s="1770"/>
      <c r="W87" s="1770"/>
      <c r="X87" s="1769"/>
      <c r="Y87" s="1769"/>
      <c r="Z87" s="1815"/>
      <c r="AA87" s="1816"/>
      <c r="AB87" s="1816"/>
      <c r="AC87" s="1815"/>
      <c r="AD87" s="1815"/>
      <c r="AE87" s="1815"/>
      <c r="AF87" s="1769">
        <f t="shared" si="22"/>
        <v>0</v>
      </c>
      <c r="AH87" s="1771">
        <f t="shared" si="24"/>
        <v>0</v>
      </c>
      <c r="AI87" s="1771">
        <f t="shared" si="14"/>
        <v>0</v>
      </c>
      <c r="AJ87" s="1772">
        <f t="shared" si="15"/>
        <v>0</v>
      </c>
    </row>
    <row r="88" spans="1:36" s="820" customFormat="1" ht="16.5" x14ac:dyDescent="0.25">
      <c r="B88" s="1741"/>
      <c r="C88" s="1784" t="str">
        <f>[20]ОП1!A21</f>
        <v>Гідрокостюм</v>
      </c>
      <c r="D88" s="1723" t="str">
        <f>[20]ОП1!B21</f>
        <v>шт.</v>
      </c>
      <c r="E88" s="1762">
        <f>[20]матеріали!G87</f>
        <v>1</v>
      </c>
      <c r="F88" s="1743">
        <f>[20]матеріали!J87</f>
        <v>15250</v>
      </c>
      <c r="G88" s="1743">
        <f t="shared" si="20"/>
        <v>15250</v>
      </c>
      <c r="H88" s="1744"/>
      <c r="I88" s="1509"/>
      <c r="J88" s="1741"/>
      <c r="K88" s="1785" t="str">
        <f t="shared" si="21"/>
        <v>Гідрокостюм</v>
      </c>
      <c r="L88" s="1786" t="str">
        <f t="shared" si="21"/>
        <v>шт.</v>
      </c>
      <c r="M88" s="1807">
        <f>[20]ОП1!H21</f>
        <v>1</v>
      </c>
      <c r="N88" s="1787">
        <f>[20]ОП1!J21</f>
        <v>15250</v>
      </c>
      <c r="O88" s="1788"/>
      <c r="P88" s="1788"/>
      <c r="Q88" s="1788"/>
      <c r="R88" s="1789"/>
      <c r="S88" s="1747">
        <f t="shared" si="23"/>
        <v>15250</v>
      </c>
      <c r="T88" s="1747"/>
      <c r="U88" s="1747"/>
      <c r="V88" s="1748"/>
      <c r="W88" s="1748"/>
      <c r="X88" s="1747"/>
      <c r="Y88" s="1747"/>
      <c r="Z88" s="1745"/>
      <c r="AA88" s="1746"/>
      <c r="AB88" s="1746"/>
      <c r="AC88" s="1745"/>
      <c r="AD88" s="1745"/>
      <c r="AE88" s="1745"/>
      <c r="AF88" s="1747">
        <f t="shared" si="22"/>
        <v>15250</v>
      </c>
      <c r="AH88" s="1738">
        <f t="shared" si="24"/>
        <v>15250</v>
      </c>
      <c r="AI88" s="1738">
        <f t="shared" si="14"/>
        <v>15250</v>
      </c>
      <c r="AJ88" s="1739">
        <f t="shared" si="15"/>
        <v>0</v>
      </c>
    </row>
    <row r="89" spans="1:36" s="820" customFormat="1" ht="16.5" x14ac:dyDescent="0.25">
      <c r="B89" s="1741"/>
      <c r="C89" s="1784" t="str">
        <f>[20]ОП1!A22</f>
        <v>Пояс запобіжний</v>
      </c>
      <c r="D89" s="1723" t="str">
        <f>[20]ОП1!B22</f>
        <v>шт.</v>
      </c>
      <c r="E89" s="1762">
        <f>[20]матеріали!G88</f>
        <v>1</v>
      </c>
      <c r="F89" s="1743">
        <f>[20]матеріали!J88</f>
        <v>850</v>
      </c>
      <c r="G89" s="1743">
        <f t="shared" si="20"/>
        <v>850</v>
      </c>
      <c r="H89" s="1744"/>
      <c r="I89" s="1509"/>
      <c r="J89" s="1741"/>
      <c r="K89" s="1785" t="str">
        <f t="shared" si="21"/>
        <v>Пояс запобіжний</v>
      </c>
      <c r="L89" s="1786" t="str">
        <f t="shared" si="21"/>
        <v>шт.</v>
      </c>
      <c r="M89" s="1807">
        <f>[20]ОП1!H22</f>
        <v>1</v>
      </c>
      <c r="N89" s="1787">
        <f>[20]ОП1!J22</f>
        <v>850</v>
      </c>
      <c r="O89" s="1788"/>
      <c r="P89" s="1788"/>
      <c r="Q89" s="1788"/>
      <c r="R89" s="1789"/>
      <c r="S89" s="1747">
        <f t="shared" si="23"/>
        <v>850</v>
      </c>
      <c r="T89" s="1747"/>
      <c r="U89" s="1747"/>
      <c r="V89" s="1748"/>
      <c r="W89" s="1748"/>
      <c r="X89" s="1747"/>
      <c r="Y89" s="1747"/>
      <c r="Z89" s="1745"/>
      <c r="AA89" s="1746"/>
      <c r="AB89" s="1746"/>
      <c r="AC89" s="1745"/>
      <c r="AD89" s="1745"/>
      <c r="AE89" s="1745"/>
      <c r="AF89" s="1747">
        <f t="shared" si="22"/>
        <v>850</v>
      </c>
      <c r="AH89" s="1738">
        <f t="shared" si="24"/>
        <v>850</v>
      </c>
      <c r="AI89" s="1738">
        <f t="shared" si="14"/>
        <v>850</v>
      </c>
      <c r="AJ89" s="1739">
        <f t="shared" si="15"/>
        <v>0</v>
      </c>
    </row>
    <row r="90" spans="1:36" s="820" customFormat="1" ht="16.5" x14ac:dyDescent="0.25">
      <c r="B90" s="1741"/>
      <c r="C90" s="1784" t="str">
        <f>[20]ОП1!A23</f>
        <v xml:space="preserve">Протигаз шланговий </v>
      </c>
      <c r="D90" s="1723" t="str">
        <f>[20]ОП1!B23</f>
        <v>шт.</v>
      </c>
      <c r="E90" s="1762">
        <f>[20]матеріали!G89</f>
        <v>1</v>
      </c>
      <c r="F90" s="1743">
        <f>[20]матеріали!J89</f>
        <v>5200</v>
      </c>
      <c r="G90" s="1743">
        <f t="shared" si="20"/>
        <v>5200</v>
      </c>
      <c r="H90" s="1744"/>
      <c r="I90" s="1509"/>
      <c r="J90" s="1741"/>
      <c r="K90" s="1785" t="str">
        <f t="shared" si="21"/>
        <v xml:space="preserve">Протигаз шланговий </v>
      </c>
      <c r="L90" s="1786" t="str">
        <f t="shared" si="21"/>
        <v>шт.</v>
      </c>
      <c r="M90" s="1807">
        <f>[20]ОП1!H23</f>
        <v>1</v>
      </c>
      <c r="N90" s="1787">
        <f>[20]ОП1!J23</f>
        <v>5200</v>
      </c>
      <c r="O90" s="1788"/>
      <c r="P90" s="1788"/>
      <c r="Q90" s="1788"/>
      <c r="R90" s="1789"/>
      <c r="S90" s="1747">
        <f t="shared" si="23"/>
        <v>5200</v>
      </c>
      <c r="T90" s="1747"/>
      <c r="U90" s="1747"/>
      <c r="V90" s="1748"/>
      <c r="W90" s="1748"/>
      <c r="X90" s="1747"/>
      <c r="Y90" s="1747"/>
      <c r="Z90" s="1745"/>
      <c r="AA90" s="1746"/>
      <c r="AB90" s="1746"/>
      <c r="AC90" s="1745"/>
      <c r="AD90" s="1745"/>
      <c r="AE90" s="1745"/>
      <c r="AF90" s="1747">
        <f t="shared" si="22"/>
        <v>5200</v>
      </c>
      <c r="AH90" s="1738">
        <f t="shared" si="24"/>
        <v>5200</v>
      </c>
      <c r="AI90" s="1738">
        <f t="shared" si="14"/>
        <v>5200</v>
      </c>
      <c r="AJ90" s="1739">
        <f t="shared" si="15"/>
        <v>0</v>
      </c>
    </row>
    <row r="91" spans="1:36" s="820" customFormat="1" ht="16.5" hidden="1" x14ac:dyDescent="0.25">
      <c r="B91" s="1741"/>
      <c r="C91" s="1784">
        <f>[20]ОП1!A24</f>
        <v>0</v>
      </c>
      <c r="D91" s="1723">
        <f>[20]ОП1!B24</f>
        <v>0</v>
      </c>
      <c r="E91" s="1762">
        <f>[20]матеріали!G90</f>
        <v>0</v>
      </c>
      <c r="F91" s="1743">
        <f>[20]матеріали!J90</f>
        <v>0</v>
      </c>
      <c r="G91" s="1743">
        <f t="shared" si="20"/>
        <v>0</v>
      </c>
      <c r="H91" s="1744"/>
      <c r="I91" s="1509"/>
      <c r="J91" s="1741"/>
      <c r="K91" s="1785">
        <f t="shared" ref="K91:L91" si="25">C91</f>
        <v>0</v>
      </c>
      <c r="L91" s="1786">
        <f t="shared" si="25"/>
        <v>0</v>
      </c>
      <c r="M91" s="1807">
        <f>E91</f>
        <v>0</v>
      </c>
      <c r="N91" s="1787">
        <f>[20]ОП1!J24</f>
        <v>0</v>
      </c>
      <c r="O91" s="1788"/>
      <c r="P91" s="1788"/>
      <c r="Q91" s="1788"/>
      <c r="R91" s="1789"/>
      <c r="S91" s="1747">
        <f t="shared" si="23"/>
        <v>0</v>
      </c>
      <c r="T91" s="1747"/>
      <c r="U91" s="1747"/>
      <c r="V91" s="1748"/>
      <c r="W91" s="1748"/>
      <c r="X91" s="1747"/>
      <c r="Y91" s="1747"/>
      <c r="Z91" s="1745"/>
      <c r="AA91" s="1746"/>
      <c r="AB91" s="1746"/>
      <c r="AC91" s="1745"/>
      <c r="AD91" s="1745"/>
      <c r="AE91" s="1745"/>
      <c r="AF91" s="1747">
        <f t="shared" si="22"/>
        <v>0</v>
      </c>
      <c r="AH91" s="1738">
        <f t="shared" si="24"/>
        <v>0</v>
      </c>
      <c r="AI91" s="1738">
        <f t="shared" si="14"/>
        <v>0</v>
      </c>
      <c r="AJ91" s="1739">
        <f t="shared" si="15"/>
        <v>0</v>
      </c>
    </row>
    <row r="92" spans="1:36" s="1740" customFormat="1" ht="21" customHeight="1" x14ac:dyDescent="0.25">
      <c r="A92" s="410"/>
      <c r="B92" s="1729" t="s">
        <v>263</v>
      </c>
      <c r="C92" s="1730" t="s">
        <v>1316</v>
      </c>
      <c r="D92" s="1730"/>
      <c r="E92" s="1730"/>
      <c r="F92" s="1730"/>
      <c r="G92" s="1731">
        <f>(G93+G96+G101+G97+G100)</f>
        <v>50023.999599999996</v>
      </c>
      <c r="H92" s="1732"/>
      <c r="I92" s="1749"/>
      <c r="J92" s="1729" t="s">
        <v>263</v>
      </c>
      <c r="K92" s="1730" t="str">
        <f>C92</f>
        <v>Оплата послуг (крім комунальних)</v>
      </c>
      <c r="L92" s="1730"/>
      <c r="M92" s="1730"/>
      <c r="N92" s="1730"/>
      <c r="O92" s="1734"/>
      <c r="P92" s="1734"/>
      <c r="Q92" s="1734"/>
      <c r="R92" s="1735"/>
      <c r="S92" s="1736">
        <f>S93+S96+S101+S97+S100</f>
        <v>5778.63</v>
      </c>
      <c r="T92" s="1736">
        <f>T93+T96+T101+T97+T100</f>
        <v>0</v>
      </c>
      <c r="U92" s="1736">
        <f>U93+U96+U101+U97+U100</f>
        <v>0</v>
      </c>
      <c r="V92" s="1737"/>
      <c r="W92" s="1737"/>
      <c r="X92" s="1736">
        <f t="shared" ref="X92:AE92" si="26">X93+X96+X101+X97+X100</f>
        <v>22122.684799999999</v>
      </c>
      <c r="Y92" s="1736">
        <f t="shared" si="26"/>
        <v>0</v>
      </c>
      <c r="Z92" s="1736">
        <f t="shared" si="26"/>
        <v>0</v>
      </c>
      <c r="AA92" s="1737">
        <f t="shared" si="26"/>
        <v>0</v>
      </c>
      <c r="AB92" s="1737">
        <f t="shared" si="26"/>
        <v>0</v>
      </c>
      <c r="AC92" s="1736">
        <f t="shared" si="26"/>
        <v>22122.684799999999</v>
      </c>
      <c r="AD92" s="1736">
        <f>AD93+AD96+AD101+AD97+AD100</f>
        <v>0</v>
      </c>
      <c r="AE92" s="1736">
        <f t="shared" si="26"/>
        <v>0</v>
      </c>
      <c r="AF92" s="1736">
        <f>(AF93+AF96+AF101+AF97+AF100)</f>
        <v>50023.999599999996</v>
      </c>
      <c r="AG92" s="410"/>
      <c r="AH92" s="1738">
        <f>SUM(S92:AE92)</f>
        <v>50023.999599999996</v>
      </c>
      <c r="AI92" s="1738">
        <f t="shared" si="14"/>
        <v>50023.999599999996</v>
      </c>
      <c r="AJ92" s="1739">
        <f t="shared" si="15"/>
        <v>0</v>
      </c>
    </row>
    <row r="93" spans="1:36" s="1760" customFormat="1" ht="16.5" customHeight="1" x14ac:dyDescent="0.25">
      <c r="A93" s="1750"/>
      <c r="B93" s="1751" t="s">
        <v>415</v>
      </c>
      <c r="C93" s="1781" t="s">
        <v>1317</v>
      </c>
      <c r="D93" s="1781"/>
      <c r="E93" s="1817"/>
      <c r="F93" s="1818"/>
      <c r="G93" s="1818">
        <f>SUM(G94:G95)</f>
        <v>5778.63</v>
      </c>
      <c r="H93" s="1819"/>
      <c r="I93" s="1778"/>
      <c r="J93" s="1751" t="s">
        <v>415</v>
      </c>
      <c r="K93" s="1820" t="s">
        <v>1318</v>
      </c>
      <c r="L93" s="1781"/>
      <c r="M93" s="1817"/>
      <c r="N93" s="1818"/>
      <c r="O93" s="1821"/>
      <c r="P93" s="1821"/>
      <c r="Q93" s="1821"/>
      <c r="R93" s="1822"/>
      <c r="S93" s="1821">
        <f>SUM(S94:S95)</f>
        <v>5778.63</v>
      </c>
      <c r="T93" s="1821">
        <f t="shared" ref="T93:AE93" si="27">SUM(T94:T95)</f>
        <v>0</v>
      </c>
      <c r="U93" s="1821">
        <f t="shared" si="27"/>
        <v>0</v>
      </c>
      <c r="V93" s="1822"/>
      <c r="W93" s="1822"/>
      <c r="X93" s="1821">
        <f t="shared" si="27"/>
        <v>0</v>
      </c>
      <c r="Y93" s="1821">
        <f>SUM(Y94:Y95)</f>
        <v>0</v>
      </c>
      <c r="Z93" s="1821">
        <f t="shared" si="27"/>
        <v>0</v>
      </c>
      <c r="AA93" s="1822"/>
      <c r="AB93" s="1822"/>
      <c r="AC93" s="1821">
        <f t="shared" si="27"/>
        <v>0</v>
      </c>
      <c r="AD93" s="1821">
        <f t="shared" si="27"/>
        <v>0</v>
      </c>
      <c r="AE93" s="1821">
        <f t="shared" si="27"/>
        <v>0</v>
      </c>
      <c r="AF93" s="1821">
        <f>SUM(AF94:AF95)</f>
        <v>5778.63</v>
      </c>
      <c r="AG93" s="1750"/>
      <c r="AH93" s="1738">
        <f>SUM(S93:AE93)</f>
        <v>5778.63</v>
      </c>
      <c r="AI93" s="1738">
        <f t="shared" si="14"/>
        <v>5778.63</v>
      </c>
      <c r="AJ93" s="1739">
        <f t="shared" si="15"/>
        <v>0</v>
      </c>
    </row>
    <row r="94" spans="1:36" s="820" customFormat="1" ht="16.5" customHeight="1" x14ac:dyDescent="0.25">
      <c r="B94" s="1741"/>
      <c r="C94" s="1784" t="s">
        <v>1319</v>
      </c>
      <c r="D94" s="1723" t="s">
        <v>1320</v>
      </c>
      <c r="E94" s="1823">
        <f>[20]ОП1!H37</f>
        <v>6</v>
      </c>
      <c r="F94" s="1824">
        <f>[20]ОП1!J37</f>
        <v>963.14</v>
      </c>
      <c r="G94" s="1743">
        <f>ROUND(E94*F94,2)-0.21</f>
        <v>5778.63</v>
      </c>
      <c r="H94" s="1744"/>
      <c r="I94" s="1509"/>
      <c r="J94" s="1741"/>
      <c r="K94" s="1825" t="s">
        <v>1319</v>
      </c>
      <c r="L94" s="1723" t="s">
        <v>1320</v>
      </c>
      <c r="M94" s="1823">
        <f>[20]ОП1!H37</f>
        <v>6</v>
      </c>
      <c r="N94" s="1824">
        <f>[20]ОП1!J37</f>
        <v>963.14</v>
      </c>
      <c r="O94" s="1826"/>
      <c r="P94" s="1826"/>
      <c r="Q94" s="1826"/>
      <c r="R94" s="1827"/>
      <c r="S94" s="1747">
        <f>$G94</f>
        <v>5778.63</v>
      </c>
      <c r="T94" s="1826"/>
      <c r="U94" s="1826"/>
      <c r="V94" s="1827"/>
      <c r="W94" s="1827"/>
      <c r="X94" s="1747"/>
      <c r="Y94" s="1747"/>
      <c r="Z94" s="1826"/>
      <c r="AA94" s="1827"/>
      <c r="AB94" s="1827"/>
      <c r="AC94" s="1826"/>
      <c r="AD94" s="1826"/>
      <c r="AE94" s="1826"/>
      <c r="AF94" s="1747">
        <f>SUM(S94:AE94)</f>
        <v>5778.63</v>
      </c>
      <c r="AH94" s="1738">
        <f>SUM(S94:AE94)</f>
        <v>5778.63</v>
      </c>
      <c r="AI94" s="1738">
        <f t="shared" si="14"/>
        <v>5778.63</v>
      </c>
      <c r="AJ94" s="1739">
        <f t="shared" si="15"/>
        <v>0</v>
      </c>
    </row>
    <row r="95" spans="1:36" s="820" customFormat="1" ht="16.5" hidden="1" customHeight="1" x14ac:dyDescent="0.25">
      <c r="B95" s="1741"/>
      <c r="C95" s="1828" t="s">
        <v>1321</v>
      </c>
      <c r="D95" s="1723" t="s">
        <v>1320</v>
      </c>
      <c r="E95" s="1823">
        <f>[20]ОП1!H38</f>
        <v>0</v>
      </c>
      <c r="F95" s="1824">
        <f>[20]ОП1!J38</f>
        <v>160.74</v>
      </c>
      <c r="G95" s="1743">
        <f>E95*F95</f>
        <v>0</v>
      </c>
      <c r="H95" s="1744"/>
      <c r="I95" s="1509"/>
      <c r="J95" s="1741"/>
      <c r="K95" s="1742" t="s">
        <v>1321</v>
      </c>
      <c r="L95" s="1723" t="s">
        <v>1320</v>
      </c>
      <c r="M95" s="1823">
        <f>[20]ОП1!H38</f>
        <v>0</v>
      </c>
      <c r="N95" s="1824">
        <f>[20]ОП1!J38</f>
        <v>160.74</v>
      </c>
      <c r="O95" s="1826"/>
      <c r="P95" s="1826"/>
      <c r="Q95" s="1826"/>
      <c r="R95" s="1827"/>
      <c r="S95" s="1747">
        <f>$G95</f>
        <v>0</v>
      </c>
      <c r="T95" s="1826"/>
      <c r="U95" s="1826"/>
      <c r="V95" s="1827"/>
      <c r="W95" s="1827"/>
      <c r="X95" s="1747"/>
      <c r="Y95" s="1747"/>
      <c r="Z95" s="1826"/>
      <c r="AA95" s="1827"/>
      <c r="AB95" s="1827"/>
      <c r="AC95" s="1826"/>
      <c r="AD95" s="1826"/>
      <c r="AE95" s="1826"/>
      <c r="AF95" s="1747">
        <f>SUM(S95:AE95)</f>
        <v>0</v>
      </c>
      <c r="AH95" s="1738">
        <f>SUM(S95:AE95)</f>
        <v>0</v>
      </c>
      <c r="AI95" s="1738">
        <f t="shared" si="14"/>
        <v>0</v>
      </c>
      <c r="AJ95" s="1739">
        <f t="shared" si="15"/>
        <v>0</v>
      </c>
    </row>
    <row r="96" spans="1:36" s="1760" customFormat="1" ht="24.75" hidden="1" customHeight="1" x14ac:dyDescent="0.25">
      <c r="A96" s="1750"/>
      <c r="B96" s="1751"/>
      <c r="C96" s="1752"/>
      <c r="D96" s="1804"/>
      <c r="E96" s="1817"/>
      <c r="F96" s="1818"/>
      <c r="G96" s="1818"/>
      <c r="H96" s="1819"/>
      <c r="I96" s="1778"/>
      <c r="J96" s="1751"/>
      <c r="K96" s="1756"/>
      <c r="L96" s="1804"/>
      <c r="M96" s="1817"/>
      <c r="N96" s="1818"/>
      <c r="O96" s="1821"/>
      <c r="P96" s="1821"/>
      <c r="Q96" s="1821"/>
      <c r="R96" s="1822"/>
      <c r="S96" s="1821"/>
      <c r="T96" s="1821"/>
      <c r="U96" s="1821"/>
      <c r="V96" s="1822"/>
      <c r="W96" s="1822"/>
      <c r="X96" s="1821"/>
      <c r="Y96" s="1821"/>
      <c r="Z96" s="1821"/>
      <c r="AA96" s="1822"/>
      <c r="AB96" s="1822"/>
      <c r="AC96" s="1821"/>
      <c r="AD96" s="1821"/>
      <c r="AE96" s="1821"/>
      <c r="AF96" s="1821"/>
      <c r="AG96" s="1750"/>
      <c r="AH96" s="1738"/>
      <c r="AI96" s="1738"/>
      <c r="AJ96" s="1739"/>
    </row>
    <row r="97" spans="1:38" s="1750" customFormat="1" ht="21.75" hidden="1" customHeight="1" x14ac:dyDescent="0.25">
      <c r="B97" s="1818" t="s">
        <v>418</v>
      </c>
      <c r="C97" s="1829" t="s">
        <v>1322</v>
      </c>
      <c r="D97" s="1818"/>
      <c r="E97" s="1818"/>
      <c r="F97" s="1818"/>
      <c r="G97" s="1830">
        <f>SUM(G98:G99)</f>
        <v>0</v>
      </c>
      <c r="H97" s="1754"/>
      <c r="I97" s="1778"/>
      <c r="J97" s="1751" t="s">
        <v>418</v>
      </c>
      <c r="K97" s="1756" t="str">
        <f t="shared" ref="K97:N102" si="28">C97</f>
        <v>Послуги навантажувача</v>
      </c>
      <c r="L97" s="1804" t="str">
        <f>D98</f>
        <v>м/г</v>
      </c>
      <c r="M97" s="1818"/>
      <c r="N97" s="1818"/>
      <c r="O97" s="1821"/>
      <c r="P97" s="1821"/>
      <c r="Q97" s="1821"/>
      <c r="R97" s="1822"/>
      <c r="S97" s="1821">
        <f>SUM(S98:S99)</f>
        <v>0</v>
      </c>
      <c r="T97" s="1821">
        <f t="shared" ref="T97:AD97" si="29">SUM(T98:T99)</f>
        <v>0</v>
      </c>
      <c r="U97" s="1821">
        <f t="shared" si="29"/>
        <v>0</v>
      </c>
      <c r="V97" s="1821">
        <f t="shared" si="29"/>
        <v>0</v>
      </c>
      <c r="W97" s="1821">
        <f t="shared" si="29"/>
        <v>0</v>
      </c>
      <c r="X97" s="1821">
        <f t="shared" si="29"/>
        <v>0</v>
      </c>
      <c r="Y97" s="1821">
        <f t="shared" si="29"/>
        <v>0</v>
      </c>
      <c r="Z97" s="1821">
        <f t="shared" si="29"/>
        <v>0</v>
      </c>
      <c r="AA97" s="1821">
        <f t="shared" si="29"/>
        <v>0</v>
      </c>
      <c r="AB97" s="1821">
        <f t="shared" si="29"/>
        <v>0</v>
      </c>
      <c r="AC97" s="1821">
        <f t="shared" si="29"/>
        <v>0</v>
      </c>
      <c r="AD97" s="1821">
        <f t="shared" si="29"/>
        <v>0</v>
      </c>
      <c r="AE97" s="1831">
        <f>'[20]ПММ, Вода'!W73</f>
        <v>0</v>
      </c>
      <c r="AF97" s="1832">
        <f>SUM(S97:AD97)</f>
        <v>0</v>
      </c>
      <c r="AH97" s="1738">
        <f t="shared" ref="AH97:AH106" si="30">SUM(S97:AE97)</f>
        <v>0</v>
      </c>
      <c r="AI97" s="1738">
        <f t="shared" si="14"/>
        <v>0</v>
      </c>
      <c r="AJ97" s="1739">
        <f t="shared" si="15"/>
        <v>0</v>
      </c>
      <c r="AK97" s="1833"/>
    </row>
    <row r="98" spans="1:38" s="1750" customFormat="1" ht="21.75" hidden="1" customHeight="1" x14ac:dyDescent="0.25">
      <c r="B98" s="1834"/>
      <c r="C98" s="1742" t="s">
        <v>1323</v>
      </c>
      <c r="D98" s="1723" t="s">
        <v>1324</v>
      </c>
      <c r="E98" s="1835">
        <f>ROUND('[20]ПММ, Вода'!C74,2)</f>
        <v>111</v>
      </c>
      <c r="F98" s="1824">
        <f>ROUND('[20]ПММ, Вода'!E74,2)</f>
        <v>179.87</v>
      </c>
      <c r="G98" s="1743"/>
      <c r="H98" s="1754"/>
      <c r="I98" s="1778"/>
      <c r="J98" s="1836"/>
      <c r="K98" s="1742" t="str">
        <f t="shared" si="28"/>
        <v>Вартість роботи навантажувача</v>
      </c>
      <c r="L98" s="1837"/>
      <c r="M98" s="1762"/>
      <c r="N98" s="1743"/>
      <c r="O98" s="1747"/>
      <c r="P98" s="1747"/>
      <c r="Q98" s="1747"/>
      <c r="R98" s="1748"/>
      <c r="S98" s="1747"/>
      <c r="T98" s="1747"/>
      <c r="U98" s="1747"/>
      <c r="V98" s="1748"/>
      <c r="W98" s="1748"/>
      <c r="X98" s="1747"/>
      <c r="Y98" s="1747"/>
      <c r="Z98" s="1747"/>
      <c r="AA98" s="1748"/>
      <c r="AB98" s="1748"/>
      <c r="AC98" s="1747"/>
      <c r="AD98" s="1747"/>
      <c r="AE98" s="1747"/>
      <c r="AF98" s="1747"/>
      <c r="AH98" s="1738">
        <f t="shared" si="30"/>
        <v>0</v>
      </c>
      <c r="AI98" s="1738">
        <f t="shared" si="14"/>
        <v>0</v>
      </c>
      <c r="AJ98" s="1739">
        <f t="shared" si="15"/>
        <v>0</v>
      </c>
      <c r="AK98" s="1833"/>
    </row>
    <row r="99" spans="1:38" s="1750" customFormat="1" ht="21.75" hidden="1" customHeight="1" x14ac:dyDescent="0.25">
      <c r="B99" s="1834"/>
      <c r="C99" s="1742" t="s">
        <v>1325</v>
      </c>
      <c r="D99" s="1723" t="s">
        <v>1307</v>
      </c>
      <c r="E99" s="1838">
        <f>'[20]ПММ, Вода'!A69</f>
        <v>1110</v>
      </c>
      <c r="F99" s="1743">
        <f>[20]матеріали!J92</f>
        <v>57.49</v>
      </c>
      <c r="G99" s="1767"/>
      <c r="H99" s="1754"/>
      <c r="I99" s="1778"/>
      <c r="J99" s="1836"/>
      <c r="K99" s="1742" t="str">
        <f t="shared" si="28"/>
        <v>Витрати дизельного пального на навантажувач</v>
      </c>
      <c r="L99" s="1837"/>
      <c r="M99" s="1762"/>
      <c r="N99" s="1743"/>
      <c r="O99" s="1747"/>
      <c r="P99" s="1747"/>
      <c r="Q99" s="1747"/>
      <c r="R99" s="1748"/>
      <c r="S99" s="1747"/>
      <c r="T99" s="1747"/>
      <c r="U99" s="1747"/>
      <c r="V99" s="1748"/>
      <c r="W99" s="1748"/>
      <c r="X99" s="1747"/>
      <c r="Y99" s="1747"/>
      <c r="Z99" s="1769"/>
      <c r="AA99" s="1748"/>
      <c r="AB99" s="1748"/>
      <c r="AC99" s="1747"/>
      <c r="AD99" s="1747"/>
      <c r="AE99" s="1747"/>
      <c r="AF99" s="1747"/>
      <c r="AH99" s="1738">
        <f t="shared" si="30"/>
        <v>0</v>
      </c>
      <c r="AI99" s="1738">
        <f t="shared" si="14"/>
        <v>0</v>
      </c>
      <c r="AJ99" s="1739">
        <f t="shared" si="15"/>
        <v>0</v>
      </c>
      <c r="AK99" s="1833"/>
    </row>
    <row r="100" spans="1:38" s="1750" customFormat="1" ht="28.5" x14ac:dyDescent="0.25">
      <c r="B100" s="1839" t="s">
        <v>417</v>
      </c>
      <c r="C100" s="1829" t="s">
        <v>1326</v>
      </c>
      <c r="D100" s="1818" t="s">
        <v>1327</v>
      </c>
      <c r="E100" s="1818">
        <f>'[20]ПММ, Вода'!C78</f>
        <v>2</v>
      </c>
      <c r="F100" s="1818">
        <f>'[20]ПММ, Вода'!E78</f>
        <v>3970.1</v>
      </c>
      <c r="G100" s="1818">
        <f>E100*F100</f>
        <v>7940.2</v>
      </c>
      <c r="H100" s="1754">
        <f>G100+G101</f>
        <v>44245.369599999998</v>
      </c>
      <c r="I100" s="1778"/>
      <c r="J100" s="1751" t="s">
        <v>419</v>
      </c>
      <c r="K100" s="1756" t="str">
        <f t="shared" si="28"/>
        <v xml:space="preserve">Вартість роботи автотранспорту для ввівезення мулу на полігон </v>
      </c>
      <c r="L100" s="1804" t="str">
        <f t="shared" si="28"/>
        <v>ход</v>
      </c>
      <c r="M100" s="1817">
        <f t="shared" si="28"/>
        <v>2</v>
      </c>
      <c r="N100" s="1818">
        <f t="shared" si="28"/>
        <v>3970.1</v>
      </c>
      <c r="O100" s="1821"/>
      <c r="P100" s="1821"/>
      <c r="Q100" s="1821"/>
      <c r="R100" s="1822"/>
      <c r="S100" s="1821">
        <f>'[20]ПММ, Вода'!O78</f>
        <v>0</v>
      </c>
      <c r="T100" s="1821">
        <f>'[20]ПММ, Вода'!P78</f>
        <v>0</v>
      </c>
      <c r="U100" s="1821">
        <f>'[20]ПММ, Вода'!Q78</f>
        <v>0</v>
      </c>
      <c r="V100" s="1822"/>
      <c r="W100" s="1822"/>
      <c r="X100" s="1821">
        <f>'[20]ПММ, Вода'!R78</f>
        <v>3970.1</v>
      </c>
      <c r="Y100" s="1821">
        <f>'[20]ПММ, Вода'!S78</f>
        <v>0</v>
      </c>
      <c r="Z100" s="1821">
        <f>'[20]ПММ, Вода'!T78</f>
        <v>0</v>
      </c>
      <c r="AA100" s="1822"/>
      <c r="AB100" s="1822"/>
      <c r="AC100" s="1821">
        <f>'[20]ПММ, Вода'!U78</f>
        <v>3970.1</v>
      </c>
      <c r="AD100" s="1821">
        <f>'[20]ПММ, Вода'!V78</f>
        <v>0</v>
      </c>
      <c r="AE100" s="1821">
        <f>'[20]ПММ, Вода'!W78</f>
        <v>0</v>
      </c>
      <c r="AF100" s="1821">
        <f>M100*N100</f>
        <v>7940.2</v>
      </c>
      <c r="AH100" s="1738">
        <f t="shared" si="30"/>
        <v>7940.2</v>
      </c>
      <c r="AI100" s="1738">
        <f t="shared" si="14"/>
        <v>7940.2</v>
      </c>
      <c r="AJ100" s="1739">
        <f t="shared" si="15"/>
        <v>0</v>
      </c>
    </row>
    <row r="101" spans="1:38" s="1750" customFormat="1" ht="16.5" x14ac:dyDescent="0.25">
      <c r="B101" s="1839" t="s">
        <v>418</v>
      </c>
      <c r="C101" s="1829" t="s">
        <v>1328</v>
      </c>
      <c r="D101" s="1818" t="s">
        <v>1329</v>
      </c>
      <c r="E101" s="1818">
        <f>'[20]ПММ, Вода'!C81</f>
        <v>10.64</v>
      </c>
      <c r="F101" s="1818">
        <f>'[20]ПММ, Вода'!E81</f>
        <v>3412.14</v>
      </c>
      <c r="G101" s="1830">
        <f>E101*F101-0</f>
        <v>36305.169600000001</v>
      </c>
      <c r="H101" s="1840"/>
      <c r="I101" s="1841"/>
      <c r="J101" s="1751" t="s">
        <v>419</v>
      </c>
      <c r="K101" s="1756" t="str">
        <f t="shared" si="28"/>
        <v>Вартість роботи автотранспорту для захоронення</v>
      </c>
      <c r="L101" s="1804" t="str">
        <f t="shared" si="28"/>
        <v>тон</v>
      </c>
      <c r="M101" s="1817">
        <f t="shared" si="28"/>
        <v>10.64</v>
      </c>
      <c r="N101" s="1818">
        <f t="shared" si="28"/>
        <v>3412.14</v>
      </c>
      <c r="O101" s="1821"/>
      <c r="P101" s="1821"/>
      <c r="Q101" s="1821"/>
      <c r="R101" s="1822"/>
      <c r="S101" s="1821">
        <f>'[20]ПММ, Вода'!O80</f>
        <v>0</v>
      </c>
      <c r="T101" s="1821">
        <f>'[20]ПММ, Вода'!P80</f>
        <v>0</v>
      </c>
      <c r="U101" s="1821">
        <f>'[20]ПММ, Вода'!Q80</f>
        <v>0</v>
      </c>
      <c r="V101" s="1822"/>
      <c r="W101" s="1822"/>
      <c r="X101" s="1821">
        <f>'[20]ПММ, Вода'!R80</f>
        <v>18152.584800000001</v>
      </c>
      <c r="Y101" s="1821">
        <f>'[20]ПММ, Вода'!S80</f>
        <v>0</v>
      </c>
      <c r="Z101" s="1821">
        <f>'[20]ПММ, Вода'!T80</f>
        <v>0</v>
      </c>
      <c r="AA101" s="1822"/>
      <c r="AB101" s="1822"/>
      <c r="AC101" s="1842">
        <f>'[20]ПММ, Вода'!U80</f>
        <v>18152.584800000001</v>
      </c>
      <c r="AD101" s="1821">
        <f>'[20]ПММ, Вода'!V80</f>
        <v>0</v>
      </c>
      <c r="AE101" s="1821">
        <f>'[20]ПММ, Вода'!W80</f>
        <v>0</v>
      </c>
      <c r="AF101" s="1821">
        <f>SUM(S101:AE101)</f>
        <v>36305.169600000001</v>
      </c>
      <c r="AH101" s="1738">
        <f t="shared" si="30"/>
        <v>36305.169600000001</v>
      </c>
      <c r="AI101" s="1738">
        <f t="shared" si="14"/>
        <v>36305.169600000001</v>
      </c>
      <c r="AJ101" s="1739">
        <f t="shared" si="15"/>
        <v>0</v>
      </c>
    </row>
    <row r="102" spans="1:38" s="1740" customFormat="1" ht="20.25" customHeight="1" x14ac:dyDescent="0.25">
      <c r="A102" s="410"/>
      <c r="B102" s="1729">
        <v>5</v>
      </c>
      <c r="C102" s="1730" t="s">
        <v>1330</v>
      </c>
      <c r="D102" s="1730"/>
      <c r="E102" s="1730"/>
      <c r="F102" s="1730"/>
      <c r="G102" s="1731">
        <f>G103</f>
        <v>23174</v>
      </c>
      <c r="H102" s="1732"/>
      <c r="I102" s="1749"/>
      <c r="J102" s="1729">
        <v>5</v>
      </c>
      <c r="K102" s="1730" t="str">
        <f t="shared" si="28"/>
        <v>Оплата послуг комунальних</v>
      </c>
      <c r="L102" s="1730"/>
      <c r="M102" s="1730"/>
      <c r="N102" s="1730"/>
      <c r="O102" s="1734"/>
      <c r="P102" s="1734"/>
      <c r="Q102" s="1734"/>
      <c r="R102" s="1735"/>
      <c r="S102" s="1736">
        <f>S103</f>
        <v>3009.3881039999997</v>
      </c>
      <c r="T102" s="1736">
        <f t="shared" ref="T102:AD102" si="31">T103</f>
        <v>3567.2263439999997</v>
      </c>
      <c r="U102" s="1736">
        <f t="shared" si="31"/>
        <v>3382.4816879999994</v>
      </c>
      <c r="V102" s="1736">
        <f t="shared" si="31"/>
        <v>0</v>
      </c>
      <c r="W102" s="1736">
        <f t="shared" si="31"/>
        <v>0</v>
      </c>
      <c r="X102" s="1736">
        <f t="shared" si="31"/>
        <v>3387.760824</v>
      </c>
      <c r="Y102" s="1736">
        <f t="shared" si="31"/>
        <v>3155.4580559999995</v>
      </c>
      <c r="Z102" s="1736">
        <f>Z103</f>
        <v>3343.7610959999997</v>
      </c>
      <c r="AA102" s="1736">
        <f t="shared" si="31"/>
        <v>0</v>
      </c>
      <c r="AB102" s="1736">
        <f t="shared" si="31"/>
        <v>0</v>
      </c>
      <c r="AC102" s="1736">
        <f>AC103</f>
        <v>3327.9236879999994</v>
      </c>
      <c r="AD102" s="1736">
        <f t="shared" si="31"/>
        <v>0</v>
      </c>
      <c r="AE102" s="1736"/>
      <c r="AF102" s="1736">
        <f>SUM(S102:AC102)</f>
        <v>23173.999799999994</v>
      </c>
      <c r="AG102" s="410"/>
      <c r="AH102" s="1738">
        <f t="shared" si="30"/>
        <v>23173.999799999994</v>
      </c>
      <c r="AI102" s="1738">
        <f>G102</f>
        <v>23174</v>
      </c>
      <c r="AJ102" s="1739">
        <f t="shared" si="15"/>
        <v>2.0000000586151145E-4</v>
      </c>
    </row>
    <row r="103" spans="1:38" s="1760" customFormat="1" ht="16.5" x14ac:dyDescent="0.25">
      <c r="A103" s="1750"/>
      <c r="B103" s="1751" t="s">
        <v>1331</v>
      </c>
      <c r="C103" s="1756" t="s">
        <v>1332</v>
      </c>
      <c r="D103" s="1804" t="s">
        <v>1333</v>
      </c>
      <c r="E103" s="1777">
        <f>ROUND('[20]ПММ, Вода'!B13,0)</f>
        <v>2230</v>
      </c>
      <c r="F103" s="1843">
        <f>ROUND('[20]ПММ, Вода'!D13,3)</f>
        <v>10.391999999999999</v>
      </c>
      <c r="G103" s="1753">
        <f>ROUND(E103*F103,0)</f>
        <v>23174</v>
      </c>
      <c r="H103" s="1754"/>
      <c r="I103" s="1778"/>
      <c r="J103" s="1751" t="s">
        <v>1331</v>
      </c>
      <c r="K103" s="1756" t="s">
        <v>1332</v>
      </c>
      <c r="L103" s="1804" t="s">
        <v>1333</v>
      </c>
      <c r="M103" s="1777">
        <f>E103</f>
        <v>2230</v>
      </c>
      <c r="N103" s="1843">
        <f>F103</f>
        <v>10.391999999999999</v>
      </c>
      <c r="O103" s="1759"/>
      <c r="P103" s="1759"/>
      <c r="Q103" s="1759"/>
      <c r="R103" s="1737"/>
      <c r="S103" s="1759">
        <f>'[20]ПММ, Вода'!O8</f>
        <v>3009.3881039999997</v>
      </c>
      <c r="T103" s="1759">
        <f>'[20]ПММ, Вода'!P8</f>
        <v>3567.2263439999997</v>
      </c>
      <c r="U103" s="1759">
        <f>'[20]ПММ, Вода'!Q8</f>
        <v>3382.4816879999994</v>
      </c>
      <c r="V103" s="1737"/>
      <c r="W103" s="1737"/>
      <c r="X103" s="1759">
        <f>'[20]ПММ, Вода'!R8</f>
        <v>3387.760824</v>
      </c>
      <c r="Y103" s="1759">
        <f>'[20]ПММ, Вода'!S8</f>
        <v>3155.4580559999995</v>
      </c>
      <c r="Z103" s="1759">
        <f>'[20]ПММ, Вода'!T8</f>
        <v>3343.7610959999997</v>
      </c>
      <c r="AA103" s="1737"/>
      <c r="AB103" s="1737"/>
      <c r="AC103" s="1844">
        <f>'[20]ПММ, Вода'!U8+0</f>
        <v>3327.9236879999994</v>
      </c>
      <c r="AD103" s="1759">
        <f>'[20]ПММ, Вода'!V8</f>
        <v>0</v>
      </c>
      <c r="AE103" s="1759">
        <f>'[20]ПММ, Вода'!W8</f>
        <v>0</v>
      </c>
      <c r="AF103" s="1844">
        <f>ROUND(M103*N103,0)</f>
        <v>23174</v>
      </c>
      <c r="AG103" s="1750"/>
      <c r="AH103" s="1738">
        <f t="shared" si="30"/>
        <v>23173.999799999994</v>
      </c>
      <c r="AI103" s="1738">
        <f>G103</f>
        <v>23174</v>
      </c>
      <c r="AJ103" s="1739">
        <f t="shared" si="15"/>
        <v>2.0000000586151145E-4</v>
      </c>
    </row>
    <row r="104" spans="1:38" s="1740" customFormat="1" ht="41.25" customHeight="1" x14ac:dyDescent="0.25">
      <c r="A104" s="410"/>
      <c r="B104" s="1729">
        <v>6</v>
      </c>
      <c r="C104" s="1730" t="s">
        <v>1334</v>
      </c>
      <c r="D104" s="1730"/>
      <c r="E104" s="1730"/>
      <c r="F104" s="1730"/>
      <c r="G104" s="1731">
        <f>(G105)</f>
        <v>6370</v>
      </c>
      <c r="H104" s="1732"/>
      <c r="I104" s="1749"/>
      <c r="J104" s="1729" t="s">
        <v>263</v>
      </c>
      <c r="K104" s="1730" t="str">
        <f>C104</f>
        <v>Окремі заходи по реалізації державних (регіональних) програм, не віднесені до заходів розвитку</v>
      </c>
      <c r="L104" s="1730"/>
      <c r="M104" s="1730"/>
      <c r="N104" s="1730"/>
      <c r="O104" s="1734"/>
      <c r="P104" s="1734"/>
      <c r="Q104" s="1734"/>
      <c r="R104" s="1735"/>
      <c r="S104" s="1736">
        <f>S105</f>
        <v>6370</v>
      </c>
      <c r="T104" s="1736">
        <f>T105</f>
        <v>0</v>
      </c>
      <c r="U104" s="1736">
        <f>U105</f>
        <v>0</v>
      </c>
      <c r="V104" s="1737"/>
      <c r="W104" s="1737"/>
      <c r="X104" s="1736">
        <f>X105</f>
        <v>0</v>
      </c>
      <c r="Y104" s="1736">
        <f>Y105</f>
        <v>0</v>
      </c>
      <c r="Z104" s="1736">
        <f>Z105</f>
        <v>0</v>
      </c>
      <c r="AA104" s="1737"/>
      <c r="AB104" s="1737"/>
      <c r="AC104" s="1736">
        <f>AC105</f>
        <v>0</v>
      </c>
      <c r="AD104" s="1736">
        <f>AD105</f>
        <v>0</v>
      </c>
      <c r="AE104" s="1736">
        <f>AE105</f>
        <v>0</v>
      </c>
      <c r="AF104" s="1736">
        <f>AF105</f>
        <v>6370</v>
      </c>
      <c r="AG104" s="410"/>
      <c r="AH104" s="1738">
        <f t="shared" si="30"/>
        <v>6370</v>
      </c>
      <c r="AI104" s="1738">
        <f>G104</f>
        <v>6370</v>
      </c>
      <c r="AJ104" s="1739">
        <f t="shared" si="15"/>
        <v>0</v>
      </c>
    </row>
    <row r="105" spans="1:38" s="1760" customFormat="1" ht="24.75" customHeight="1" x14ac:dyDescent="0.25">
      <c r="A105" s="1750"/>
      <c r="B105" s="1751" t="s">
        <v>1044</v>
      </c>
      <c r="C105" s="1752" t="s">
        <v>1335</v>
      </c>
      <c r="D105" s="1804" t="s">
        <v>1320</v>
      </c>
      <c r="E105" s="1817">
        <f>[20]ОП1!G48</f>
        <v>7</v>
      </c>
      <c r="F105" s="1845">
        <f>[20]ОП1!J41</f>
        <v>910</v>
      </c>
      <c r="G105" s="1830">
        <f>E105*F105-0</f>
        <v>6370</v>
      </c>
      <c r="H105" s="1819"/>
      <c r="I105" s="1778"/>
      <c r="J105" s="1751" t="s">
        <v>417</v>
      </c>
      <c r="K105" s="1756" t="str">
        <f>C105</f>
        <v>Витрати на навчання з ОП (згідно додатку)</v>
      </c>
      <c r="L105" s="1804" t="str">
        <f>D105</f>
        <v>ос.</v>
      </c>
      <c r="M105" s="1817">
        <f>E105</f>
        <v>7</v>
      </c>
      <c r="N105" s="1818">
        <f>F105</f>
        <v>910</v>
      </c>
      <c r="O105" s="1821"/>
      <c r="P105" s="1821"/>
      <c r="Q105" s="1821"/>
      <c r="R105" s="1822"/>
      <c r="S105" s="1821">
        <f>$G105</f>
        <v>6370</v>
      </c>
      <c r="T105" s="1821"/>
      <c r="U105" s="1821"/>
      <c r="V105" s="1822"/>
      <c r="W105" s="1822"/>
      <c r="X105" s="1821"/>
      <c r="Y105" s="1821"/>
      <c r="Z105" s="1821"/>
      <c r="AA105" s="1822"/>
      <c r="AB105" s="1822"/>
      <c r="AC105" s="1821"/>
      <c r="AD105" s="1821"/>
      <c r="AE105" s="1821"/>
      <c r="AF105" s="1821">
        <f>S105</f>
        <v>6370</v>
      </c>
      <c r="AG105" s="1750"/>
      <c r="AH105" s="1738">
        <f t="shared" si="30"/>
        <v>6370</v>
      </c>
      <c r="AI105" s="1738">
        <f>G105</f>
        <v>6370</v>
      </c>
      <c r="AJ105" s="1739">
        <f t="shared" si="15"/>
        <v>0</v>
      </c>
    </row>
    <row r="106" spans="1:38" s="1853" customFormat="1" ht="28.35" customHeight="1" x14ac:dyDescent="0.25">
      <c r="A106" s="410"/>
      <c r="B106" s="1846" t="s">
        <v>1336</v>
      </c>
      <c r="C106" s="1730"/>
      <c r="D106" s="1730"/>
      <c r="E106" s="1730"/>
      <c r="F106" s="1730"/>
      <c r="G106" s="1847">
        <f>(G104+G102+G92+G18+G17+G14)</f>
        <v>1371275.9991000001</v>
      </c>
      <c r="H106" s="1732">
        <f>'[21]витр 2'!$G$106</f>
        <v>1371276.0035999999</v>
      </c>
      <c r="I106" s="1848"/>
      <c r="J106" s="1846" t="s">
        <v>1336</v>
      </c>
      <c r="K106" s="1730"/>
      <c r="L106" s="1730"/>
      <c r="M106" s="1849"/>
      <c r="N106" s="1849"/>
      <c r="O106" s="1850">
        <f>O92+O18+O17+O14+O102+O104</f>
        <v>0</v>
      </c>
      <c r="P106" s="1850">
        <f>P92+P18+P17+P14+P102+P104</f>
        <v>0</v>
      </c>
      <c r="Q106" s="1850">
        <f>Q92+Q18+Q17+Q14+Q102+Q104</f>
        <v>0</v>
      </c>
      <c r="R106" s="1735"/>
      <c r="S106" s="1850">
        <f t="shared" ref="S106:AE106" si="32">S92+S18+S17+S14+S102+S104</f>
        <v>301102.85760400002</v>
      </c>
      <c r="T106" s="1850">
        <f t="shared" si="32"/>
        <v>168187.77634399998</v>
      </c>
      <c r="U106" s="1850">
        <f t="shared" si="32"/>
        <v>168458.451688</v>
      </c>
      <c r="V106" s="1850">
        <f t="shared" si="32"/>
        <v>0</v>
      </c>
      <c r="W106" s="1850">
        <f t="shared" si="32"/>
        <v>0</v>
      </c>
      <c r="X106" s="1850">
        <f t="shared" si="32"/>
        <v>195020.395624</v>
      </c>
      <c r="Y106" s="1850">
        <f t="shared" si="32"/>
        <v>173863.69805599999</v>
      </c>
      <c r="Z106" s="1850">
        <f t="shared" si="32"/>
        <v>169572.28109600002</v>
      </c>
      <c r="AA106" s="1850">
        <f t="shared" si="32"/>
        <v>0</v>
      </c>
      <c r="AB106" s="1850">
        <f t="shared" si="32"/>
        <v>0</v>
      </c>
      <c r="AC106" s="1850">
        <f t="shared" si="32"/>
        <v>195070.53848799999</v>
      </c>
      <c r="AD106" s="1850">
        <f t="shared" si="32"/>
        <v>0</v>
      </c>
      <c r="AE106" s="1850">
        <f t="shared" si="32"/>
        <v>0</v>
      </c>
      <c r="AF106" s="1850">
        <f>AF104+AF102+AF92+AF18+AF17+AF14</f>
        <v>1371275.9989</v>
      </c>
      <c r="AG106" s="410"/>
      <c r="AH106" s="1738">
        <f t="shared" si="30"/>
        <v>1371275.9989</v>
      </c>
      <c r="AI106" s="1738">
        <f>G106</f>
        <v>1371275.9991000001</v>
      </c>
      <c r="AJ106" s="1739">
        <f t="shared" si="15"/>
        <v>2.0000012591481209E-4</v>
      </c>
      <c r="AK106" s="1851"/>
      <c r="AL106" s="1852"/>
    </row>
    <row r="107" spans="1:38" s="410" customFormat="1" ht="19.5" customHeight="1" x14ac:dyDescent="0.25">
      <c r="B107" s="1854"/>
      <c r="C107" s="1855"/>
      <c r="D107" s="1855"/>
      <c r="E107" s="1855"/>
      <c r="F107" s="1855"/>
      <c r="G107" s="1856"/>
      <c r="H107" s="1848"/>
      <c r="I107" s="1749"/>
      <c r="J107" s="1854"/>
      <c r="K107" s="1855"/>
      <c r="L107" s="1855"/>
      <c r="M107" s="1855"/>
      <c r="N107" s="1855"/>
      <c r="O107" s="1855"/>
      <c r="P107" s="1855"/>
      <c r="Q107" s="1855"/>
      <c r="R107" s="1857"/>
      <c r="S107" s="1732"/>
      <c r="T107" s="1732"/>
      <c r="U107" s="1732"/>
      <c r="V107" s="1858"/>
      <c r="W107" s="1858"/>
      <c r="X107" s="1732"/>
      <c r="Y107" s="1732"/>
      <c r="Z107" s="1732"/>
      <c r="AA107" s="1858"/>
      <c r="AB107" s="1858"/>
      <c r="AC107" s="1732"/>
      <c r="AD107" s="1841"/>
      <c r="AE107" s="1841"/>
      <c r="AF107" s="1841"/>
      <c r="AH107" s="1169">
        <f>AF106-AH106</f>
        <v>0</v>
      </c>
      <c r="AI107" s="1859">
        <f>AF106-AI106</f>
        <v>-2.0000012591481209E-4</v>
      </c>
      <c r="AJ107" s="1860">
        <f t="shared" si="15"/>
        <v>-2.0000012591481209E-4</v>
      </c>
      <c r="AK107" s="25"/>
      <c r="AL107" s="1852"/>
    </row>
    <row r="108" spans="1:38" ht="25.5" customHeight="1" x14ac:dyDescent="0.25">
      <c r="B108" s="1861" t="s">
        <v>213</v>
      </c>
      <c r="C108" s="1862" t="s">
        <v>1337</v>
      </c>
      <c r="D108" s="1861" t="s">
        <v>1338</v>
      </c>
      <c r="E108" s="1863">
        <f>[20]Якість!D13</f>
        <v>12</v>
      </c>
      <c r="F108" s="1864">
        <f>G108/E108</f>
        <v>7142.416666666667</v>
      </c>
      <c r="G108" s="1864">
        <f>[20]Якість!F15</f>
        <v>85709</v>
      </c>
      <c r="H108" s="609"/>
      <c r="I108" s="1865"/>
      <c r="J108" s="1866" t="str">
        <f>B108</f>
        <v>1</v>
      </c>
      <c r="K108" s="1866" t="str">
        <f>C108</f>
        <v xml:space="preserve">Проведення моніторінгу якості зливових вод </v>
      </c>
      <c r="L108" s="1867" t="s">
        <v>1338</v>
      </c>
      <c r="M108" s="1868">
        <f>E108</f>
        <v>12</v>
      </c>
      <c r="N108" s="1869">
        <f>F108</f>
        <v>7142.416666666667</v>
      </c>
      <c r="O108" s="1869">
        <f>[20]Якість!N15</f>
        <v>7895</v>
      </c>
      <c r="P108" s="1869">
        <f>[20]Якість!O15</f>
        <v>6770</v>
      </c>
      <c r="Q108" s="1869">
        <f>[20]Якість!P15</f>
        <v>6770</v>
      </c>
      <c r="R108" s="1869"/>
      <c r="S108" s="1869">
        <f>[20]Якість!Q15</f>
        <v>7895</v>
      </c>
      <c r="T108" s="1869">
        <f>[20]Якість!R15</f>
        <v>6770</v>
      </c>
      <c r="U108" s="1869">
        <f>[20]Якість!S15</f>
        <v>6770</v>
      </c>
      <c r="V108" s="1195"/>
      <c r="W108" s="1195"/>
      <c r="X108" s="1869">
        <f>[20]Якість!T15</f>
        <v>7895</v>
      </c>
      <c r="Y108" s="1869">
        <f>[20]Якість!U15</f>
        <v>6770</v>
      </c>
      <c r="Z108" s="1869">
        <f>[20]Якість!V15</f>
        <v>6770</v>
      </c>
      <c r="AA108" s="1869"/>
      <c r="AB108" s="1869"/>
      <c r="AC108" s="1869">
        <f>[20]Якість!W15</f>
        <v>7888</v>
      </c>
      <c r="AD108" s="1869">
        <f>[20]Якість!X15</f>
        <v>6770</v>
      </c>
      <c r="AE108" s="1869">
        <f>[20]Якість!Y15</f>
        <v>6746</v>
      </c>
      <c r="AF108" s="1869">
        <f>SUM(O108:Q108)+SUM(S108:U108)+SUM(X108:Z108)+SUM(AC108:AE108)</f>
        <v>85709</v>
      </c>
      <c r="AH108" s="564">
        <f>SUM(O108:AE108)</f>
        <v>85709</v>
      </c>
      <c r="AI108" s="1738">
        <f>G108</f>
        <v>85709</v>
      </c>
      <c r="AJ108" s="1739">
        <f t="shared" si="15"/>
        <v>0</v>
      </c>
      <c r="AK108" s="700">
        <f>([20]Якість!$E13+[20]Якість!$E14)*4</f>
        <v>31564.760000000002</v>
      </c>
      <c r="AL108" s="1870">
        <f>[20]Якість!$E13*4</f>
        <v>27072</v>
      </c>
    </row>
    <row r="109" spans="1:38" ht="23.25" customHeight="1" x14ac:dyDescent="0.25">
      <c r="B109" s="1861" t="s">
        <v>230</v>
      </c>
      <c r="C109" s="1862" t="s">
        <v>1339</v>
      </c>
      <c r="D109" s="1861" t="s">
        <v>1338</v>
      </c>
      <c r="E109" s="1863" t="str">
        <f>[20]Е.П!D13</f>
        <v>4</v>
      </c>
      <c r="F109" s="1864">
        <f>[20]Е.П!E13+[20]Е.П!E14</f>
        <v>94607.14</v>
      </c>
      <c r="G109" s="1864">
        <f>ROUND(E109*F109,0)</f>
        <v>378429</v>
      </c>
      <c r="H109" s="1840"/>
      <c r="I109" s="1865"/>
      <c r="J109" s="1866" t="str">
        <f>B109</f>
        <v>2</v>
      </c>
      <c r="K109" s="1866" t="str">
        <f>C109</f>
        <v>Екологічний податок</v>
      </c>
      <c r="L109" s="1867" t="s">
        <v>1338</v>
      </c>
      <c r="M109" s="1868" t="str">
        <f>E109</f>
        <v>4</v>
      </c>
      <c r="N109" s="1869">
        <f>F109</f>
        <v>94607.14</v>
      </c>
      <c r="O109" s="1869"/>
      <c r="P109" s="1869">
        <f>N109+4</f>
        <v>94611.14</v>
      </c>
      <c r="Q109" s="1869"/>
      <c r="R109" s="1869"/>
      <c r="S109" s="1869"/>
      <c r="T109" s="1195">
        <f>P109</f>
        <v>94611.14</v>
      </c>
      <c r="U109" s="1195"/>
      <c r="V109" s="1195"/>
      <c r="W109" s="1195"/>
      <c r="X109" s="1869"/>
      <c r="Y109" s="1869">
        <f>P109</f>
        <v>94611.14</v>
      </c>
      <c r="Z109" s="1869"/>
      <c r="AA109" s="1869"/>
      <c r="AB109" s="1869"/>
      <c r="AC109" s="1869"/>
      <c r="AD109" s="1869">
        <f>G109-P109-T109-Y109</f>
        <v>94595.579999999973</v>
      </c>
      <c r="AE109" s="1871"/>
      <c r="AF109" s="1869">
        <f t="shared" ref="AF109:AF119" si="33">G109</f>
        <v>378429</v>
      </c>
      <c r="AH109" s="564">
        <f>SUM(O109:AE109)</f>
        <v>378428.99999999994</v>
      </c>
      <c r="AI109" s="1738">
        <f t="shared" ref="AI109:AI120" si="34">G109</f>
        <v>378429</v>
      </c>
      <c r="AJ109" s="1739">
        <f t="shared" si="15"/>
        <v>0</v>
      </c>
      <c r="AK109" s="25"/>
      <c r="AL109" s="1870"/>
    </row>
    <row r="110" spans="1:38" ht="22.5" customHeight="1" x14ac:dyDescent="0.25">
      <c r="B110" s="1861"/>
      <c r="C110" s="1862"/>
      <c r="D110" s="1861"/>
      <c r="E110" s="1861"/>
      <c r="F110" s="1864"/>
      <c r="G110" s="1872">
        <f>G106+G108+G109</f>
        <v>1835413.9991000001</v>
      </c>
      <c r="H110" s="1873"/>
      <c r="J110" s="1866"/>
      <c r="K110" s="1866"/>
      <c r="L110" s="1867"/>
      <c r="M110" s="1874"/>
      <c r="N110" s="1869">
        <f>N108+N109</f>
        <v>101749.55666666667</v>
      </c>
      <c r="O110" s="1869">
        <f>O108+O109</f>
        <v>7895</v>
      </c>
      <c r="P110" s="1869">
        <f>P108+P109</f>
        <v>101381.14</v>
      </c>
      <c r="Q110" s="1869">
        <f>Q108+Q109</f>
        <v>6770</v>
      </c>
      <c r="R110" s="1869"/>
      <c r="S110" s="1869">
        <f t="shared" ref="S110:AE110" si="35">S108+S109</f>
        <v>7895</v>
      </c>
      <c r="T110" s="1869">
        <f t="shared" si="35"/>
        <v>101381.14</v>
      </c>
      <c r="U110" s="1869">
        <f t="shared" si="35"/>
        <v>6770</v>
      </c>
      <c r="V110" s="1869"/>
      <c r="W110" s="1869"/>
      <c r="X110" s="1869">
        <f t="shared" si="35"/>
        <v>7895</v>
      </c>
      <c r="Y110" s="1869">
        <f t="shared" si="35"/>
        <v>101381.14</v>
      </c>
      <c r="Z110" s="1869">
        <f t="shared" si="35"/>
        <v>6770</v>
      </c>
      <c r="AA110" s="1869"/>
      <c r="AB110" s="1869"/>
      <c r="AC110" s="1869">
        <f t="shared" si="35"/>
        <v>7888</v>
      </c>
      <c r="AD110" s="1869">
        <f t="shared" si="35"/>
        <v>101365.57999999997</v>
      </c>
      <c r="AE110" s="1871">
        <f t="shared" si="35"/>
        <v>6746</v>
      </c>
      <c r="AF110" s="1869">
        <f>G110</f>
        <v>1835413.9991000001</v>
      </c>
      <c r="AH110" s="564">
        <f>SUM(O110:AE110)</f>
        <v>464137.99999999994</v>
      </c>
      <c r="AI110" s="1738">
        <f>G110-AH106</f>
        <v>464138.00020000013</v>
      </c>
      <c r="AJ110" s="1739">
        <f t="shared" si="15"/>
        <v>2.00000184122473E-4</v>
      </c>
    </row>
    <row r="111" spans="1:38" ht="48.75" customHeight="1" x14ac:dyDescent="0.25">
      <c r="B111" s="1861" t="str">
        <f>'[20]пот рем табл.'!B15</f>
        <v>1</v>
      </c>
      <c r="C111" s="1875" t="str">
        <f>'[20]пот рем табл.'!C15</f>
        <v>«Поточний ремонт ділянки мереж  внутрішньоквартальної зливової каналізації  від колодязя  Кл 466 до колодязя Кл 468 на території ДНЗ №2 “Лелеченя”  м. Южного Одеського району Одеської області».</v>
      </c>
      <c r="D111" s="1876" t="str">
        <f>'[20]пот рем табл.'!D15</f>
        <v xml:space="preserve">од. </v>
      </c>
      <c r="E111" s="1876" t="str">
        <f>'[20]пот рем табл.'!E15</f>
        <v>1</v>
      </c>
      <c r="F111" s="1876">
        <f>'[20]пот рем табл.'!F15</f>
        <v>450000</v>
      </c>
      <c r="G111" s="1876">
        <f>'[20]пот рем табл.'!G15</f>
        <v>450000</v>
      </c>
      <c r="I111" s="1865"/>
      <c r="J111" s="1866" t="str">
        <f t="shared" ref="J111:K119" si="36">B111</f>
        <v>1</v>
      </c>
      <c r="K111" s="1877" t="str">
        <f t="shared" si="36"/>
        <v>«Поточний ремонт ділянки мереж  внутрішньоквартальної зливової каналізації  від колодязя  Кл 466 до колодязя Кл 468 на території ДНЗ №2 “Лелеченя”  м. Южного Одеського району Одеської області».</v>
      </c>
      <c r="L111" s="1867" t="s">
        <v>1338</v>
      </c>
      <c r="M111" s="1874" t="str">
        <f>E111</f>
        <v>1</v>
      </c>
      <c r="N111" s="1869">
        <f>G111</f>
        <v>450000</v>
      </c>
      <c r="O111" s="1869"/>
      <c r="P111" s="1869"/>
      <c r="Q111" s="1869"/>
      <c r="R111" s="1869"/>
      <c r="S111" s="1869"/>
      <c r="T111" s="1195"/>
      <c r="U111" s="1195"/>
      <c r="V111" s="1195"/>
      <c r="W111" s="1195"/>
      <c r="X111" s="1869">
        <f>N111*M111</f>
        <v>450000</v>
      </c>
      <c r="Y111" s="1869"/>
      <c r="Z111" s="1869"/>
      <c r="AA111" s="1869"/>
      <c r="AB111" s="1869"/>
      <c r="AC111" s="1869"/>
      <c r="AD111" s="1869"/>
      <c r="AE111" s="1871"/>
      <c r="AF111" s="1869">
        <f t="shared" si="33"/>
        <v>450000</v>
      </c>
      <c r="AH111" s="564">
        <f t="shared" ref="AH111:AH121" si="37">SUM(O111:AE111)</f>
        <v>450000</v>
      </c>
      <c r="AI111" s="1738">
        <f t="shared" si="34"/>
        <v>450000</v>
      </c>
      <c r="AJ111" s="1739">
        <f t="shared" si="15"/>
        <v>0</v>
      </c>
    </row>
    <row r="112" spans="1:38" ht="48.75" customHeight="1" x14ac:dyDescent="0.25">
      <c r="B112" s="1861" t="str">
        <f>'[20]пот рем табл.'!B16</f>
        <v>2</v>
      </c>
      <c r="C112" s="1875" t="str">
        <f>'[20]пот рем табл.'!C16</f>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D112" s="1876" t="str">
        <f>'[20]пот рем табл.'!D16</f>
        <v xml:space="preserve">од. </v>
      </c>
      <c r="E112" s="1876" t="str">
        <f>'[20]пот рем табл.'!E16</f>
        <v>1</v>
      </c>
      <c r="F112" s="1876">
        <f>'[20]пот рем табл.'!F16</f>
        <v>295900</v>
      </c>
      <c r="G112" s="1876">
        <f>'[20]пот рем табл.'!G16</f>
        <v>295900</v>
      </c>
      <c r="H112" s="1878"/>
      <c r="I112" s="1878"/>
      <c r="J112" s="1866" t="str">
        <f t="shared" si="36"/>
        <v>2</v>
      </c>
      <c r="K112" s="1877" t="str">
        <f t="shared" si="36"/>
        <v>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v>
      </c>
      <c r="L112" s="1867" t="s">
        <v>1338</v>
      </c>
      <c r="M112" s="1874" t="str">
        <f t="shared" ref="M112:M119" si="38">E112</f>
        <v>1</v>
      </c>
      <c r="N112" s="1869">
        <f t="shared" ref="N112:N119" si="39">G112</f>
        <v>295900</v>
      </c>
      <c r="O112" s="1869"/>
      <c r="P112" s="1869"/>
      <c r="Q112" s="1869"/>
      <c r="R112" s="1869"/>
      <c r="S112" s="1869"/>
      <c r="T112" s="1195"/>
      <c r="U112" s="1195"/>
      <c r="V112" s="1195"/>
      <c r="W112" s="1195"/>
      <c r="X112" s="1869"/>
      <c r="Y112" s="1869">
        <f>N112</f>
        <v>295900</v>
      </c>
      <c r="Z112" s="1869"/>
      <c r="AA112" s="1869"/>
      <c r="AB112" s="1869"/>
      <c r="AC112" s="1869"/>
      <c r="AD112" s="1869"/>
      <c r="AE112" s="1871"/>
      <c r="AF112" s="1869">
        <f t="shared" si="33"/>
        <v>295900</v>
      </c>
      <c r="AH112" s="564">
        <f t="shared" si="37"/>
        <v>295900</v>
      </c>
      <c r="AI112" s="1738">
        <f t="shared" si="34"/>
        <v>295900</v>
      </c>
      <c r="AJ112" s="1739">
        <f t="shared" si="15"/>
        <v>0</v>
      </c>
    </row>
    <row r="113" spans="2:36" ht="48.75" customHeight="1" x14ac:dyDescent="0.25">
      <c r="B113" s="1861" t="str">
        <f>'[20]пот рем табл.'!B17</f>
        <v>3</v>
      </c>
      <c r="C113" s="1875" t="str">
        <f>'[20]пот рем табл.'!C17</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D113" s="1876" t="str">
        <f>'[20]пот рем табл.'!D17</f>
        <v xml:space="preserve">од. </v>
      </c>
      <c r="E113" s="1876" t="str">
        <f>'[20]пот рем табл.'!E17</f>
        <v>1</v>
      </c>
      <c r="F113" s="1876">
        <f>'[20]пот рем табл.'!F17</f>
        <v>298500</v>
      </c>
      <c r="G113" s="1876">
        <f>'[20]пот рем табл.'!G17</f>
        <v>298500</v>
      </c>
      <c r="H113" s="1878"/>
      <c r="I113" s="1878"/>
      <c r="J113" s="1866" t="str">
        <f>B113</f>
        <v>3</v>
      </c>
      <c r="K113" s="1877" t="str">
        <f>C113</f>
        <v>Поточний ремонт зовнішньої мережі зливової каналізації за адресою просп. Григорівського десанту, буд. № 26 від колодязя Кл 141 до колодязя Кл 144 м. Южного Одеського району Одеської області</v>
      </c>
      <c r="L113" s="1867" t="s">
        <v>1338</v>
      </c>
      <c r="M113" s="1874" t="str">
        <f>E113</f>
        <v>1</v>
      </c>
      <c r="N113" s="1869">
        <f>G113</f>
        <v>298500</v>
      </c>
      <c r="O113" s="1869"/>
      <c r="P113" s="1869"/>
      <c r="Q113" s="1869"/>
      <c r="R113" s="1869"/>
      <c r="S113" s="1869"/>
      <c r="T113" s="1195"/>
      <c r="U113" s="1195"/>
      <c r="V113" s="1195"/>
      <c r="W113" s="1195"/>
      <c r="X113" s="1869"/>
      <c r="Y113" s="1869"/>
      <c r="Z113" s="1869">
        <f>N113</f>
        <v>298500</v>
      </c>
      <c r="AA113" s="1869"/>
      <c r="AB113" s="1869"/>
      <c r="AC113" s="1869"/>
      <c r="AD113" s="1869"/>
      <c r="AE113" s="1871"/>
      <c r="AF113" s="1869">
        <f>G113</f>
        <v>298500</v>
      </c>
      <c r="AH113" s="564">
        <f>SUM(O113:AE113)</f>
        <v>298500</v>
      </c>
      <c r="AI113" s="1738">
        <f>G113</f>
        <v>298500</v>
      </c>
      <c r="AJ113" s="1739">
        <f>AI113-AH113</f>
        <v>0</v>
      </c>
    </row>
    <row r="114" spans="2:36" ht="48.75" customHeight="1" x14ac:dyDescent="0.25">
      <c r="B114" s="1861" t="str">
        <f>'[20]пот рем табл.'!B18</f>
        <v>4</v>
      </c>
      <c r="C114" s="1875" t="str">
        <f>'[20]пот рем табл.'!C18</f>
        <v>Проведення технічної інвентаризації  та виготовлення технічного паспорту мереж зливової каналізації м. Южного Одеського району Одеської області</v>
      </c>
      <c r="D114" s="1876" t="str">
        <f>'[20]пот рем табл.'!D18</f>
        <v xml:space="preserve">од. </v>
      </c>
      <c r="E114" s="1876" t="str">
        <f>'[20]пот рем табл.'!E18</f>
        <v>1</v>
      </c>
      <c r="F114" s="1876">
        <f>'[20]пот рем табл.'!F18</f>
        <v>385280</v>
      </c>
      <c r="G114" s="1876">
        <f>'[20]пот рем табл.'!G18</f>
        <v>385280</v>
      </c>
      <c r="H114" s="1878">
        <f>SUM(G108:G119)-G110</f>
        <v>2259579</v>
      </c>
      <c r="I114" s="1878"/>
      <c r="J114" s="1866" t="str">
        <f t="shared" si="36"/>
        <v>4</v>
      </c>
      <c r="K114" s="1877" t="str">
        <f t="shared" si="36"/>
        <v>Проведення технічної інвентаризації  та виготовлення технічного паспорту мереж зливової каналізації м. Южного Одеського району Одеської області</v>
      </c>
      <c r="L114" s="1867" t="s">
        <v>1338</v>
      </c>
      <c r="M114" s="1874" t="str">
        <f t="shared" si="38"/>
        <v>1</v>
      </c>
      <c r="N114" s="1869">
        <f t="shared" si="39"/>
        <v>385280</v>
      </c>
      <c r="O114" s="1869"/>
      <c r="P114" s="1869"/>
      <c r="Q114" s="1869"/>
      <c r="R114" s="1869"/>
      <c r="S114" s="1869"/>
      <c r="T114" s="1195"/>
      <c r="U114" s="1195"/>
      <c r="V114" s="1195"/>
      <c r="W114" s="1195"/>
      <c r="X114" s="1869"/>
      <c r="Y114" s="1869">
        <f t="shared" ref="Y114:Y119" si="40">N114</f>
        <v>385280</v>
      </c>
      <c r="Z114" s="1869"/>
      <c r="AA114" s="1869"/>
      <c r="AB114" s="1869"/>
      <c r="AC114" s="1869"/>
      <c r="AD114" s="1869"/>
      <c r="AE114" s="1871"/>
      <c r="AF114" s="1869">
        <f>G114</f>
        <v>385280</v>
      </c>
      <c r="AH114" s="564">
        <f>SUM(O114:AE114)</f>
        <v>385280</v>
      </c>
      <c r="AI114" s="1738">
        <f t="shared" si="34"/>
        <v>385280</v>
      </c>
      <c r="AJ114" s="1739">
        <f t="shared" si="15"/>
        <v>0</v>
      </c>
    </row>
    <row r="115" spans="2:36" ht="48.75" customHeight="1" x14ac:dyDescent="0.25">
      <c r="B115" s="1861" t="str">
        <f>'[20]пот рем табл.'!B19</f>
        <v>5</v>
      </c>
      <c r="C115" s="1875" t="str">
        <f>'[20]пот рем табл.'!C19</f>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D115" s="1876" t="str">
        <f>'[20]пот рем табл.'!D19</f>
        <v xml:space="preserve">од. </v>
      </c>
      <c r="E115" s="1876" t="str">
        <f>'[20]пот рем табл.'!E19</f>
        <v>1</v>
      </c>
      <c r="F115" s="1876">
        <f>'[20]пот рем табл.'!F19</f>
        <v>125951</v>
      </c>
      <c r="G115" s="1876">
        <f>'[20]пот рем табл.'!G19</f>
        <v>125951</v>
      </c>
      <c r="H115" s="148"/>
      <c r="I115" s="1878"/>
      <c r="J115" s="1866" t="str">
        <f t="shared" si="36"/>
        <v>5</v>
      </c>
      <c r="K115" s="1877" t="str">
        <f t="shared" si="36"/>
        <v>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v>
      </c>
      <c r="L115" s="1867" t="s">
        <v>1338</v>
      </c>
      <c r="M115" s="1874" t="str">
        <f t="shared" si="38"/>
        <v>1</v>
      </c>
      <c r="N115" s="1869">
        <f t="shared" si="39"/>
        <v>125951</v>
      </c>
      <c r="O115" s="1869"/>
      <c r="P115" s="1869"/>
      <c r="Q115" s="1869"/>
      <c r="R115" s="1869"/>
      <c r="S115" s="1869"/>
      <c r="T115" s="1195"/>
      <c r="U115" s="1195"/>
      <c r="V115" s="1195"/>
      <c r="W115" s="1195"/>
      <c r="X115" s="1869"/>
      <c r="Y115" s="1869">
        <f t="shared" si="40"/>
        <v>125951</v>
      </c>
      <c r="Z115" s="1869"/>
      <c r="AA115" s="1869"/>
      <c r="AB115" s="1869"/>
      <c r="AC115" s="1869"/>
      <c r="AD115" s="1869"/>
      <c r="AE115" s="1871"/>
      <c r="AF115" s="1869">
        <f>G115</f>
        <v>125951</v>
      </c>
      <c r="AH115" s="564">
        <f>SUM(O115:AE115)</f>
        <v>125951</v>
      </c>
      <c r="AI115" s="1738">
        <f t="shared" si="34"/>
        <v>125951</v>
      </c>
      <c r="AJ115" s="1739">
        <f t="shared" si="15"/>
        <v>0</v>
      </c>
    </row>
    <row r="116" spans="2:36" ht="42.75" customHeight="1" x14ac:dyDescent="0.25">
      <c r="B116" s="1861" t="str">
        <f>'[20]пот рем табл.'!B20</f>
        <v>6</v>
      </c>
      <c r="C116" s="1875" t="str">
        <f>'[20]пот рем табл.'!C20</f>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D116" s="1876" t="str">
        <f>'[20]пот рем табл.'!D20</f>
        <v xml:space="preserve">од. </v>
      </c>
      <c r="E116" s="1876" t="str">
        <f>'[20]пот рем табл.'!E20</f>
        <v>1</v>
      </c>
      <c r="F116" s="1876">
        <f>'[20]пот рем табл.'!F20</f>
        <v>26750</v>
      </c>
      <c r="G116" s="1876">
        <f>'[20]пот рем табл.'!G20</f>
        <v>26750</v>
      </c>
      <c r="H116" s="1878"/>
      <c r="I116" s="1878"/>
      <c r="J116" s="1866" t="str">
        <f t="shared" si="36"/>
        <v>6</v>
      </c>
      <c r="K116" s="1877" t="str">
        <f t="shared" si="36"/>
        <v>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v>
      </c>
      <c r="L116" s="1867" t="s">
        <v>1338</v>
      </c>
      <c r="M116" s="1874" t="str">
        <f t="shared" si="38"/>
        <v>1</v>
      </c>
      <c r="N116" s="1869">
        <f t="shared" si="39"/>
        <v>26750</v>
      </c>
      <c r="O116" s="1869"/>
      <c r="P116" s="1869"/>
      <c r="Q116" s="1869"/>
      <c r="R116" s="1869"/>
      <c r="S116" s="1869"/>
      <c r="T116" s="1195"/>
      <c r="U116" s="1195"/>
      <c r="V116" s="1195"/>
      <c r="W116" s="1195"/>
      <c r="X116" s="1869"/>
      <c r="Y116" s="1869">
        <f t="shared" si="40"/>
        <v>26750</v>
      </c>
      <c r="Z116" s="1869"/>
      <c r="AA116" s="1869"/>
      <c r="AB116" s="1869"/>
      <c r="AC116" s="1869"/>
      <c r="AD116" s="1869"/>
      <c r="AE116" s="1871"/>
      <c r="AF116" s="1869">
        <f>G116</f>
        <v>26750</v>
      </c>
      <c r="AH116" s="564">
        <f>SUM(O116:AE116)</f>
        <v>26750</v>
      </c>
      <c r="AI116" s="1738">
        <f t="shared" si="34"/>
        <v>26750</v>
      </c>
      <c r="AJ116" s="1739">
        <f t="shared" si="15"/>
        <v>0</v>
      </c>
    </row>
    <row r="117" spans="2:36" ht="48.75" customHeight="1" x14ac:dyDescent="0.25">
      <c r="B117" s="1861" t="str">
        <f>'[20]пот рем табл.'!B21</f>
        <v>7</v>
      </c>
      <c r="C117" s="1875" t="str">
        <f>'[20]пот рем табл.'!C21</f>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D117" s="1876" t="str">
        <f>'[20]пот рем табл.'!D21</f>
        <v xml:space="preserve">од. </v>
      </c>
      <c r="E117" s="1876" t="str">
        <f>'[20]пот рем табл.'!E21</f>
        <v>1</v>
      </c>
      <c r="F117" s="1876">
        <f>'[20]пот рем табл.'!F21</f>
        <v>185184</v>
      </c>
      <c r="G117" s="1876">
        <f>'[20]пот рем табл.'!G21</f>
        <v>185184</v>
      </c>
      <c r="H117" s="1878">
        <f>SUM(G111:G120)</f>
        <v>1795441</v>
      </c>
      <c r="I117" s="1878"/>
      <c r="J117" s="1866" t="str">
        <f t="shared" si="36"/>
        <v>7</v>
      </c>
      <c r="K117" s="1877" t="str">
        <f t="shared" si="36"/>
        <v>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v>
      </c>
      <c r="L117" s="1867" t="s">
        <v>1338</v>
      </c>
      <c r="M117" s="1874" t="str">
        <f t="shared" si="38"/>
        <v>1</v>
      </c>
      <c r="N117" s="1869">
        <f t="shared" si="39"/>
        <v>185184</v>
      </c>
      <c r="O117" s="1869"/>
      <c r="P117" s="1869"/>
      <c r="Q117" s="1869"/>
      <c r="R117" s="1869"/>
      <c r="S117" s="1869"/>
      <c r="T117" s="1195"/>
      <c r="U117" s="1195"/>
      <c r="V117" s="1195"/>
      <c r="W117" s="1195"/>
      <c r="X117" s="1869"/>
      <c r="Y117" s="1869">
        <f t="shared" si="40"/>
        <v>185184</v>
      </c>
      <c r="Z117" s="1869"/>
      <c r="AA117" s="1869"/>
      <c r="AB117" s="1869"/>
      <c r="AC117" s="1869"/>
      <c r="AD117" s="1869"/>
      <c r="AE117" s="1871"/>
      <c r="AF117" s="1869">
        <f t="shared" si="33"/>
        <v>185184</v>
      </c>
      <c r="AH117" s="564">
        <f t="shared" si="37"/>
        <v>185184</v>
      </c>
      <c r="AI117" s="1738">
        <f t="shared" si="34"/>
        <v>185184</v>
      </c>
      <c r="AJ117" s="1739">
        <f t="shared" ref="AJ117:AJ121" si="41">AI117-AH117</f>
        <v>0</v>
      </c>
    </row>
    <row r="118" spans="2:36" ht="48.75" customHeight="1" x14ac:dyDescent="0.25">
      <c r="B118" s="1861" t="str">
        <f>'[20]пот рем табл.'!B22</f>
        <v>8</v>
      </c>
      <c r="C118" s="1875" t="str">
        <f>'[20]пот рем табл.'!C22</f>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D118" s="1876" t="str">
        <f>'[20]пот рем табл.'!D22</f>
        <v xml:space="preserve">од. </v>
      </c>
      <c r="E118" s="1876" t="str">
        <f>'[20]пот рем табл.'!E22</f>
        <v>1</v>
      </c>
      <c r="F118" s="1876">
        <f>'[20]пот рем табл.'!F22</f>
        <v>27876</v>
      </c>
      <c r="G118" s="1876">
        <f>'[20]пот рем табл.'!G22</f>
        <v>27876</v>
      </c>
      <c r="H118" s="148"/>
      <c r="I118" s="1878"/>
      <c r="J118" s="1866" t="str">
        <f t="shared" si="36"/>
        <v>8</v>
      </c>
      <c r="K118" s="1877" t="str">
        <f t="shared" si="36"/>
        <v>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v>
      </c>
      <c r="L118" s="1867" t="s">
        <v>1338</v>
      </c>
      <c r="M118" s="1874" t="str">
        <f t="shared" si="38"/>
        <v>1</v>
      </c>
      <c r="N118" s="1869">
        <f t="shared" si="39"/>
        <v>27876</v>
      </c>
      <c r="O118" s="1869"/>
      <c r="P118" s="1869"/>
      <c r="Q118" s="1869"/>
      <c r="R118" s="1869"/>
      <c r="S118" s="1869"/>
      <c r="T118" s="1195"/>
      <c r="U118" s="1195"/>
      <c r="V118" s="1195"/>
      <c r="W118" s="1195"/>
      <c r="X118" s="1869"/>
      <c r="Y118" s="1869">
        <f t="shared" si="40"/>
        <v>27876</v>
      </c>
      <c r="Z118" s="1869"/>
      <c r="AA118" s="1869"/>
      <c r="AB118" s="1869"/>
      <c r="AC118" s="1869"/>
      <c r="AD118" s="1869"/>
      <c r="AE118" s="1871"/>
      <c r="AF118" s="1869">
        <f>G118</f>
        <v>27876</v>
      </c>
      <c r="AH118" s="564">
        <f>SUM(O118:AE118)</f>
        <v>27876</v>
      </c>
      <c r="AI118" s="1738">
        <f t="shared" si="34"/>
        <v>27876</v>
      </c>
      <c r="AJ118" s="1739">
        <f t="shared" si="41"/>
        <v>0</v>
      </c>
    </row>
    <row r="119" spans="2:36" ht="39" hidden="1" customHeight="1" x14ac:dyDescent="0.25">
      <c r="B119" s="1861">
        <f>'[20]пот рем табл.'!B23</f>
        <v>0</v>
      </c>
      <c r="C119" s="1875">
        <f>'[20]пот рем табл.'!C23</f>
        <v>0</v>
      </c>
      <c r="D119" s="1876" t="str">
        <f>'[20]пот рем табл.'!D23</f>
        <v xml:space="preserve">од. </v>
      </c>
      <c r="E119" s="1876">
        <f>'[20]пот рем табл.'!E23</f>
        <v>0</v>
      </c>
      <c r="F119" s="1876">
        <f>'[20]пот рем табл.'!F23</f>
        <v>0</v>
      </c>
      <c r="G119" s="1876">
        <f>'[20]пот рем табл.'!G23</f>
        <v>0</v>
      </c>
      <c r="H119" s="1878"/>
      <c r="I119" s="1878"/>
      <c r="J119" s="1866">
        <f t="shared" si="36"/>
        <v>0</v>
      </c>
      <c r="K119" s="1877">
        <f t="shared" si="36"/>
        <v>0</v>
      </c>
      <c r="L119" s="1867" t="s">
        <v>1338</v>
      </c>
      <c r="M119" s="1874">
        <f t="shared" si="38"/>
        <v>0</v>
      </c>
      <c r="N119" s="1869">
        <f t="shared" si="39"/>
        <v>0</v>
      </c>
      <c r="O119" s="1869"/>
      <c r="P119" s="1869"/>
      <c r="Q119" s="1869"/>
      <c r="R119" s="1869"/>
      <c r="S119" s="1869"/>
      <c r="T119" s="1195"/>
      <c r="U119" s="1195"/>
      <c r="V119" s="1195"/>
      <c r="W119" s="1195"/>
      <c r="X119" s="1869"/>
      <c r="Y119" s="1869">
        <f t="shared" si="40"/>
        <v>0</v>
      </c>
      <c r="Z119" s="1869"/>
      <c r="AA119" s="1869"/>
      <c r="AB119" s="1869"/>
      <c r="AC119" s="1869"/>
      <c r="AD119" s="1869"/>
      <c r="AE119" s="1871"/>
      <c r="AF119" s="1869">
        <f t="shared" si="33"/>
        <v>0</v>
      </c>
      <c r="AH119" s="564">
        <f t="shared" si="37"/>
        <v>0</v>
      </c>
      <c r="AI119" s="1738">
        <f t="shared" si="34"/>
        <v>0</v>
      </c>
      <c r="AJ119" s="1739">
        <f t="shared" si="41"/>
        <v>0</v>
      </c>
    </row>
    <row r="120" spans="2:36" ht="39" hidden="1" customHeight="1" x14ac:dyDescent="0.25">
      <c r="B120" s="1861"/>
      <c r="C120" s="1879"/>
      <c r="D120" s="1861"/>
      <c r="E120" s="1861"/>
      <c r="F120" s="1864"/>
      <c r="G120" s="1864"/>
      <c r="H120" s="1840"/>
      <c r="I120" s="1865"/>
      <c r="J120" s="1866"/>
      <c r="K120" s="1877"/>
      <c r="L120" s="1867"/>
      <c r="M120" s="1874"/>
      <c r="N120" s="1869"/>
      <c r="O120" s="1869"/>
      <c r="P120" s="1869"/>
      <c r="Q120" s="1869"/>
      <c r="R120" s="1869"/>
      <c r="S120" s="1869"/>
      <c r="T120" s="1195"/>
      <c r="U120" s="1195"/>
      <c r="V120" s="1195"/>
      <c r="W120" s="1195"/>
      <c r="X120" s="1869"/>
      <c r="Y120" s="1869"/>
      <c r="Z120" s="1869"/>
      <c r="AA120" s="1869"/>
      <c r="AB120" s="1869"/>
      <c r="AC120" s="1869"/>
      <c r="AD120" s="1869"/>
      <c r="AE120" s="1871"/>
      <c r="AF120" s="1869"/>
      <c r="AH120" s="564"/>
      <c r="AI120" s="1738">
        <f t="shared" si="34"/>
        <v>0</v>
      </c>
      <c r="AJ120" s="1739">
        <f t="shared" si="41"/>
        <v>0</v>
      </c>
    </row>
    <row r="121" spans="2:36" ht="19.5" customHeight="1" x14ac:dyDescent="0.25">
      <c r="B121" s="1880" t="s">
        <v>1340</v>
      </c>
      <c r="C121" s="1881"/>
      <c r="D121" s="1881"/>
      <c r="E121" s="1881"/>
      <c r="F121" s="1881"/>
      <c r="G121" s="1882">
        <f>G110+G111+G112+G113+G114+G115+G116+G117+G118+G119+G120</f>
        <v>3630854.9991000001</v>
      </c>
      <c r="H121" s="609">
        <f>G106+H114</f>
        <v>3630854.9991000001</v>
      </c>
      <c r="J121" s="25"/>
      <c r="K121" s="1883" t="s">
        <v>1341</v>
      </c>
      <c r="L121" s="1695"/>
      <c r="M121" s="422"/>
      <c r="O121" s="564">
        <f t="shared" ref="O121:AE121" si="42">O106+O108+O109+O111+O112+O114+O115+O116+O117+O118+O119+O120</f>
        <v>7895</v>
      </c>
      <c r="P121" s="564">
        <f t="shared" si="42"/>
        <v>101381.14</v>
      </c>
      <c r="Q121" s="564">
        <f t="shared" si="42"/>
        <v>6770</v>
      </c>
      <c r="R121" s="564">
        <f t="shared" si="42"/>
        <v>0</v>
      </c>
      <c r="S121" s="564">
        <f t="shared" si="42"/>
        <v>308997.85760400002</v>
      </c>
      <c r="T121" s="564">
        <f t="shared" si="42"/>
        <v>269568.91634399997</v>
      </c>
      <c r="U121" s="564">
        <f t="shared" si="42"/>
        <v>175228.451688</v>
      </c>
      <c r="V121" s="564">
        <f t="shared" si="42"/>
        <v>0</v>
      </c>
      <c r="W121" s="564">
        <f t="shared" si="42"/>
        <v>0</v>
      </c>
      <c r="X121" s="564">
        <f t="shared" si="42"/>
        <v>652915.395624</v>
      </c>
      <c r="Y121" s="564">
        <f>Y106+Y108+Y109+Y111+Y112+Y114+Y115+Y116+Y117+Y118+Y119+Y120</f>
        <v>1322185.8380559999</v>
      </c>
      <c r="Z121" s="564">
        <f>Z106+Z108+Z109+Z111+Z112+Z113+Z114+Z115+Z116+Z117+Z118+Z119+Z120</f>
        <v>474842.28109599999</v>
      </c>
      <c r="AA121" s="564">
        <f t="shared" si="42"/>
        <v>0</v>
      </c>
      <c r="AB121" s="564">
        <f t="shared" si="42"/>
        <v>0</v>
      </c>
      <c r="AC121" s="564">
        <f t="shared" si="42"/>
        <v>202958.53848799999</v>
      </c>
      <c r="AD121" s="564">
        <f t="shared" si="42"/>
        <v>101365.57999999997</v>
      </c>
      <c r="AE121" s="564">
        <f t="shared" si="42"/>
        <v>6746</v>
      </c>
      <c r="AF121" s="564">
        <f>AF106+AF108+AF109+AF111+AF112+AF113+AF114+AF115+AF116+AF117+AF118+AF119+AF120</f>
        <v>3630854.9989</v>
      </c>
      <c r="AH121" s="564">
        <f t="shared" si="37"/>
        <v>3630854.9989000005</v>
      </c>
      <c r="AI121" s="1738">
        <f>G121</f>
        <v>3630854.9991000001</v>
      </c>
      <c r="AJ121" s="1739">
        <f t="shared" si="41"/>
        <v>1.9999966025352478E-4</v>
      </c>
    </row>
    <row r="122" spans="2:36" ht="16.350000000000001" customHeight="1" x14ac:dyDescent="0.2">
      <c r="C122" s="1434"/>
      <c r="J122" s="1884"/>
      <c r="K122" s="1885"/>
      <c r="L122" s="1884"/>
      <c r="M122" s="1884"/>
      <c r="N122" s="1878"/>
      <c r="O122" s="1878"/>
      <c r="P122" s="1878"/>
      <c r="Q122" s="1878"/>
      <c r="R122" s="1878"/>
      <c r="S122" s="1878"/>
      <c r="V122" s="148"/>
      <c r="W122" s="148"/>
      <c r="X122" s="1878"/>
      <c r="AA122" s="148"/>
      <c r="AB122" s="148"/>
      <c r="AC122" s="1878"/>
      <c r="AE122" s="1878"/>
      <c r="AF122" s="1878"/>
    </row>
    <row r="123" spans="2:36" s="4" customFormat="1" ht="15.75" customHeight="1" x14ac:dyDescent="0.25">
      <c r="B123" s="16" t="s">
        <v>1342</v>
      </c>
      <c r="C123" s="1886"/>
      <c r="D123" s="16"/>
      <c r="E123" s="16"/>
      <c r="F123" s="16" t="s">
        <v>495</v>
      </c>
      <c r="H123" s="517"/>
      <c r="I123" s="1"/>
      <c r="J123" s="1884"/>
      <c r="K123" s="1885"/>
      <c r="L123" s="1884"/>
      <c r="M123" s="1884"/>
      <c r="N123" s="1878"/>
      <c r="O123" s="1878"/>
      <c r="P123" s="1878"/>
      <c r="Q123" s="1878"/>
      <c r="R123" s="1878"/>
      <c r="S123" s="1878"/>
      <c r="T123" s="148"/>
      <c r="U123" s="148"/>
      <c r="V123" s="148"/>
      <c r="W123" s="148"/>
      <c r="X123" s="1878"/>
      <c r="Y123" s="148"/>
      <c r="Z123" s="148"/>
      <c r="AA123" s="148"/>
      <c r="AB123" s="148"/>
      <c r="AC123" s="1878"/>
      <c r="AD123" s="148"/>
      <c r="AE123" s="1878"/>
      <c r="AF123" s="1878"/>
      <c r="AG123" s="148"/>
      <c r="AH123" s="148"/>
      <c r="AJ123" s="1887"/>
    </row>
    <row r="124" spans="2:36" ht="15.75" customHeight="1" x14ac:dyDescent="0.25">
      <c r="B124" s="25"/>
      <c r="C124" s="1888"/>
      <c r="D124" s="25"/>
      <c r="E124" s="25"/>
      <c r="F124" s="25"/>
      <c r="G124" s="25"/>
      <c r="H124" s="517"/>
      <c r="K124" s="1434" t="s">
        <v>1343</v>
      </c>
      <c r="AF124" s="1887">
        <f>AF121-G121</f>
        <v>-2.0000012591481209E-4</v>
      </c>
      <c r="AG124" s="1"/>
    </row>
    <row r="125" spans="2:36" s="25" customFormat="1" ht="28.5" customHeight="1" x14ac:dyDescent="0.25">
      <c r="B125" s="25" t="s">
        <v>147</v>
      </c>
      <c r="C125" s="1715"/>
      <c r="F125" s="25" t="s">
        <v>148</v>
      </c>
      <c r="H125" s="1889"/>
      <c r="I125" s="12"/>
      <c r="J125" s="25" t="s">
        <v>147</v>
      </c>
      <c r="K125" s="514"/>
      <c r="R125" s="1890"/>
      <c r="V125" s="1890"/>
      <c r="W125" s="1890"/>
      <c r="AA125" s="1890"/>
      <c r="AB125" s="1890"/>
      <c r="AF125" s="1891" t="s">
        <v>148</v>
      </c>
      <c r="AJ125" s="1892"/>
    </row>
    <row r="127" spans="2:36" ht="19.350000000000001" customHeight="1" x14ac:dyDescent="0.2">
      <c r="G127" s="148">
        <f>G14+G17+G19+G63+G103+G68+G73+G93+G96+G97+G100+G101</f>
        <v>1364905.9990999999</v>
      </c>
    </row>
    <row r="128" spans="2:36" x14ac:dyDescent="0.2">
      <c r="G128" s="564">
        <f>G108+G109+G111+G120</f>
        <v>914138</v>
      </c>
    </row>
    <row r="129" spans="7:7" ht="12.75" customHeight="1" x14ac:dyDescent="0.2">
      <c r="G129" s="148">
        <f>G127+G128</f>
        <v>2279043.9990999997</v>
      </c>
    </row>
    <row r="130" spans="7:7" ht="12.75" customHeight="1" x14ac:dyDescent="0.2"/>
    <row r="131" spans="7:7" ht="12.75" customHeight="1" x14ac:dyDescent="0.2"/>
    <row r="132" spans="7:7" ht="12.75" customHeight="1" x14ac:dyDescent="0.2"/>
  </sheetData>
  <mergeCells count="8">
    <mergeCell ref="B12:G12"/>
    <mergeCell ref="J12:AF12"/>
    <mergeCell ref="B9:G9"/>
    <mergeCell ref="J9:AF9"/>
    <mergeCell ref="B10:G10"/>
    <mergeCell ref="J10:AF10"/>
    <mergeCell ref="B11:G11"/>
    <mergeCell ref="J11:AF11"/>
  </mergeCells>
  <pageMargins left="0.70866141732283472"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2</vt:i4>
      </vt:variant>
    </vt:vector>
  </HeadingPairs>
  <TitlesOfParts>
    <vt:vector size="17" baseType="lpstr">
      <vt:lpstr>ФП</vt:lpstr>
      <vt:lpstr>ШР 01</vt:lpstr>
      <vt:lpstr>ШР 04</vt:lpstr>
      <vt:lpstr>ШР 11</vt:lpstr>
      <vt:lpstr>ФОП</vt:lpstr>
      <vt:lpstr>м3</vt:lpstr>
      <vt:lpstr>Дох</vt:lpstr>
      <vt:lpstr>витр</vt:lpstr>
      <vt:lpstr>ВНС</vt:lpstr>
      <vt:lpstr>КНС</vt:lpstr>
      <vt:lpstr>АВР</vt:lpstr>
      <vt:lpstr>АДМ</vt:lpstr>
      <vt:lpstr>ЗБ</vt:lpstr>
      <vt:lpstr>ПЛ</vt:lpstr>
      <vt:lpstr>Злив</vt:lpstr>
      <vt:lpstr>ВНС!Область_друку</vt:lpstr>
      <vt:lpstr>ФП!Область_друку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2024-10-29T12:01:32Z</dcterms:modified>
</cp:coreProperties>
</file>