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firstSheet="1" activeTab="7"/>
  </bookViews>
  <sheets>
    <sheet name="дод 1 Доходи " sheetId="29" r:id="rId1"/>
    <sheet name="дод 2 Джерела" sheetId="23" r:id="rId2"/>
    <sheet name="дод 3 Видатки" sheetId="19" r:id="rId3"/>
    <sheet name="дод 4 Кредитування" sheetId="28" r:id="rId4"/>
    <sheet name="дод 5 Трансферти" sheetId="32" r:id="rId5"/>
    <sheet name="дод 6 Програми" sheetId="27" r:id="rId6"/>
    <sheet name="дод 7 Бюдж розвитку" sheetId="21" r:id="rId7"/>
    <sheet name="дод 8 ФОНС " sheetId="26" r:id="rId8"/>
    <sheet name="дод 9 Дороги" sheetId="31" r:id="rId9"/>
  </sheets>
  <definedNames>
    <definedName name="_xlnm.Print_Titles" localSheetId="0">'дод 1 Доходи '!$11:$14</definedName>
    <definedName name="_xlnm.Print_Titles" localSheetId="2">'дод 3 Видатки'!$16:$20</definedName>
    <definedName name="_xlnm.Print_Area" localSheetId="0">'дод 1 Доходи '!$A$1:$K$90</definedName>
    <definedName name="_xlnm.Print_Area" localSheetId="1">'дод 2 Джерела'!$A$1:$J$32</definedName>
    <definedName name="_xlnm.Print_Area" localSheetId="2">'дод 3 Видатки'!$A$1:$M$332</definedName>
    <definedName name="_xlnm.Print_Area" localSheetId="4">'дод 5 Трансферти'!$A$1:$F$65</definedName>
    <definedName name="_xlnm.Print_Area" localSheetId="5">'дод 6 Програми'!$A$1:$O$113</definedName>
    <definedName name="_xlnm.Print_Area" localSheetId="6">'дод 7 Бюдж розвитку'!$A$1:$L$96</definedName>
    <definedName name="_xlnm.Print_Area" localSheetId="7">'дод 8 ФОНС '!$A$1:$H$26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32" l="1"/>
  <c r="F23" i="32"/>
  <c r="E61" i="32"/>
  <c r="D61" i="32"/>
  <c r="E62" i="32"/>
  <c r="D62" i="32"/>
  <c r="F57" i="32"/>
  <c r="F56" i="32"/>
  <c r="F47" i="32"/>
  <c r="F44" i="32"/>
  <c r="F43" i="32"/>
  <c r="E78" i="29"/>
  <c r="C78" i="29"/>
  <c r="K329" i="19" l="1"/>
  <c r="D86" i="29"/>
  <c r="I21" i="23" l="1"/>
  <c r="F21" i="23"/>
  <c r="F19" i="23"/>
  <c r="G21" i="23" l="1"/>
  <c r="E21" i="23"/>
  <c r="E19" i="23"/>
  <c r="K46" i="27" l="1"/>
  <c r="H109" i="27"/>
  <c r="H83" i="27"/>
  <c r="H82" i="27"/>
  <c r="H79" i="27"/>
  <c r="H71" i="27"/>
  <c r="H70" i="27"/>
  <c r="H69" i="27"/>
  <c r="H61" i="27"/>
  <c r="H45" i="27"/>
  <c r="H42" i="27"/>
  <c r="H39" i="27"/>
  <c r="H38" i="27"/>
  <c r="H25" i="31" l="1"/>
  <c r="G16" i="31"/>
  <c r="F16" i="31"/>
  <c r="F15" i="31" s="1"/>
  <c r="F25" i="31" s="1"/>
  <c r="G15" i="31"/>
  <c r="G25" i="31" s="1"/>
  <c r="F20" i="26" l="1"/>
  <c r="F18" i="26"/>
  <c r="G16" i="26"/>
  <c r="H16" i="26" s="1"/>
  <c r="G15" i="26"/>
  <c r="H15" i="26" s="1"/>
  <c r="F15" i="26"/>
  <c r="F14" i="26" s="1"/>
  <c r="F13" i="26" s="1"/>
  <c r="F22" i="26" s="1"/>
  <c r="G14" i="26" l="1"/>
  <c r="H14" i="26" l="1"/>
  <c r="G13" i="26"/>
  <c r="G22" i="26" l="1"/>
  <c r="H22" i="26" s="1"/>
  <c r="H13" i="26"/>
  <c r="K90" i="21" l="1"/>
  <c r="J90" i="21"/>
  <c r="J89" i="21" s="1"/>
  <c r="K89" i="21"/>
  <c r="L83" i="21"/>
  <c r="J83" i="21"/>
  <c r="G82" i="21"/>
  <c r="G81" i="21"/>
  <c r="J80" i="21"/>
  <c r="L78" i="21"/>
  <c r="I78" i="21"/>
  <c r="J77" i="21"/>
  <c r="L74" i="21"/>
  <c r="I74" i="21"/>
  <c r="K71" i="21"/>
  <c r="L71" i="21" s="1"/>
  <c r="J71" i="21"/>
  <c r="J66" i="21"/>
  <c r="H66" i="21"/>
  <c r="L66" i="21" s="1"/>
  <c r="I60" i="21"/>
  <c r="J58" i="21"/>
  <c r="H56" i="21"/>
  <c r="H55" i="21" s="1"/>
  <c r="G56" i="21"/>
  <c r="J55" i="21"/>
  <c r="J53" i="21"/>
  <c r="I53" i="21"/>
  <c r="L52" i="21"/>
  <c r="I52" i="21"/>
  <c r="J50" i="21"/>
  <c r="I48" i="21"/>
  <c r="K47" i="21"/>
  <c r="J47" i="21"/>
  <c r="H47" i="21"/>
  <c r="I47" i="21" s="1"/>
  <c r="K44" i="21"/>
  <c r="L44" i="21" s="1"/>
  <c r="I44" i="21"/>
  <c r="K38" i="21"/>
  <c r="K37" i="21" s="1"/>
  <c r="J38" i="21"/>
  <c r="J37" i="21" s="1"/>
  <c r="K31" i="21"/>
  <c r="K30" i="21" s="1"/>
  <c r="J31" i="21"/>
  <c r="J30" i="21" s="1"/>
  <c r="K26" i="21"/>
  <c r="K25" i="21" s="1"/>
  <c r="J26" i="21"/>
  <c r="J25" i="21" s="1"/>
  <c r="K24" i="21"/>
  <c r="K16" i="21" s="1"/>
  <c r="K15" i="21" s="1"/>
  <c r="J24" i="21"/>
  <c r="J17" i="21"/>
  <c r="J16" i="21" l="1"/>
  <c r="J15" i="21" s="1"/>
  <c r="I66" i="21"/>
  <c r="K42" i="21"/>
  <c r="K41" i="21" s="1"/>
  <c r="K93" i="21" s="1"/>
  <c r="J42" i="21"/>
  <c r="J41" i="21" s="1"/>
  <c r="L55" i="21"/>
  <c r="I55" i="21"/>
  <c r="L47" i="21"/>
  <c r="J93" i="21" l="1"/>
  <c r="I345" i="19"/>
  <c r="K333" i="19"/>
  <c r="H345" i="19"/>
  <c r="I320" i="19" l="1"/>
  <c r="H320" i="19"/>
  <c r="L321" i="19"/>
  <c r="M321" i="19" s="1"/>
  <c r="K321" i="19"/>
  <c r="J321" i="19"/>
  <c r="J320" i="19" l="1"/>
  <c r="I319" i="19"/>
  <c r="H319" i="19"/>
  <c r="J319" i="19" s="1"/>
  <c r="L320" i="19"/>
  <c r="K320" i="19"/>
  <c r="L289" i="19"/>
  <c r="K289" i="19"/>
  <c r="J289" i="19"/>
  <c r="I288" i="19"/>
  <c r="I287" i="19" s="1"/>
  <c r="L287" i="19" s="1"/>
  <c r="H288" i="19"/>
  <c r="H287" i="19" s="1"/>
  <c r="I270" i="19"/>
  <c r="I269" i="19" s="1"/>
  <c r="L269" i="19" s="1"/>
  <c r="H270" i="19"/>
  <c r="K270" i="19" s="1"/>
  <c r="L271" i="19"/>
  <c r="K271" i="19"/>
  <c r="J271" i="19"/>
  <c r="J256" i="19"/>
  <c r="I255" i="19"/>
  <c r="L255" i="19" s="1"/>
  <c r="H255" i="19"/>
  <c r="H251" i="19" s="1"/>
  <c r="L256" i="19"/>
  <c r="K256" i="19"/>
  <c r="J239" i="19"/>
  <c r="I238" i="19"/>
  <c r="I236" i="19" s="1"/>
  <c r="H238" i="19"/>
  <c r="K238" i="19" s="1"/>
  <c r="L239" i="19"/>
  <c r="K239" i="19"/>
  <c r="J210" i="19"/>
  <c r="I209" i="19"/>
  <c r="L209" i="19" s="1"/>
  <c r="H209" i="19"/>
  <c r="K209" i="19" s="1"/>
  <c r="L210" i="19"/>
  <c r="K210" i="19"/>
  <c r="J151" i="19"/>
  <c r="L151" i="19"/>
  <c r="K151" i="19"/>
  <c r="I150" i="19"/>
  <c r="I149" i="19" s="1"/>
  <c r="L149" i="19" s="1"/>
  <c r="H150" i="19"/>
  <c r="H149" i="19" s="1"/>
  <c r="K149" i="19" s="1"/>
  <c r="J140" i="19"/>
  <c r="I129" i="19"/>
  <c r="H236" i="19" l="1"/>
  <c r="J236" i="19"/>
  <c r="L319" i="19"/>
  <c r="I251" i="19"/>
  <c r="K288" i="19"/>
  <c r="J149" i="19"/>
  <c r="I207" i="19"/>
  <c r="K255" i="19"/>
  <c r="M255" i="19" s="1"/>
  <c r="J255" i="19"/>
  <c r="M271" i="19"/>
  <c r="K319" i="19"/>
  <c r="M319" i="19" s="1"/>
  <c r="J238" i="19"/>
  <c r="K150" i="19"/>
  <c r="J150" i="19"/>
  <c r="H207" i="19"/>
  <c r="L238" i="19"/>
  <c r="M238" i="19" s="1"/>
  <c r="J209" i="19"/>
  <c r="J270" i="19"/>
  <c r="M320" i="19"/>
  <c r="L288" i="19"/>
  <c r="M289" i="19"/>
  <c r="J287" i="19"/>
  <c r="K287" i="19"/>
  <c r="M287" i="19" s="1"/>
  <c r="J288" i="19"/>
  <c r="L270" i="19"/>
  <c r="M270" i="19" s="1"/>
  <c r="H269" i="19"/>
  <c r="M209" i="19"/>
  <c r="M256" i="19"/>
  <c r="M239" i="19"/>
  <c r="M210" i="19"/>
  <c r="M151" i="19"/>
  <c r="L150" i="19"/>
  <c r="M149" i="19"/>
  <c r="G75" i="27"/>
  <c r="H104" i="27"/>
  <c r="I104" i="27"/>
  <c r="K104" i="27"/>
  <c r="G104" i="27"/>
  <c r="N106" i="27"/>
  <c r="M106" i="27"/>
  <c r="L106" i="27"/>
  <c r="K87" i="27"/>
  <c r="N87" i="27" s="1"/>
  <c r="I87" i="27"/>
  <c r="M87" i="27" s="1"/>
  <c r="N99" i="27"/>
  <c r="J99" i="27"/>
  <c r="M99" i="27"/>
  <c r="N92" i="27"/>
  <c r="M92" i="27"/>
  <c r="L92" i="27"/>
  <c r="J92" i="27"/>
  <c r="L89" i="27"/>
  <c r="L90" i="27"/>
  <c r="L91" i="27"/>
  <c r="L93" i="27"/>
  <c r="L94" i="27"/>
  <c r="L95" i="27"/>
  <c r="L96" i="27"/>
  <c r="L97" i="27"/>
  <c r="L98" i="27"/>
  <c r="J89" i="27"/>
  <c r="J90" i="27"/>
  <c r="J91" i="27"/>
  <c r="J93" i="27"/>
  <c r="J94" i="27"/>
  <c r="J95" i="27"/>
  <c r="J96" i="27"/>
  <c r="J97" i="27"/>
  <c r="J98" i="27"/>
  <c r="L88" i="27"/>
  <c r="J88" i="27"/>
  <c r="I79" i="27"/>
  <c r="I75" i="27" s="1"/>
  <c r="K75" i="27"/>
  <c r="N81" i="27"/>
  <c r="M81" i="27"/>
  <c r="L81" i="27"/>
  <c r="N80" i="27"/>
  <c r="M80" i="27"/>
  <c r="L80" i="27"/>
  <c r="N79" i="27"/>
  <c r="M70" i="27"/>
  <c r="J70" i="27"/>
  <c r="N70" i="27"/>
  <c r="H57" i="27"/>
  <c r="N38" i="27"/>
  <c r="K19" i="27"/>
  <c r="L25" i="27"/>
  <c r="L26" i="27"/>
  <c r="L27" i="27"/>
  <c r="L28" i="27"/>
  <c r="L29" i="27"/>
  <c r="L30" i="27"/>
  <c r="L31" i="27"/>
  <c r="L32" i="27"/>
  <c r="L33" i="27"/>
  <c r="L34" i="27"/>
  <c r="L35" i="27"/>
  <c r="N35" i="27"/>
  <c r="M35" i="27"/>
  <c r="J20" i="27"/>
  <c r="J21" i="27"/>
  <c r="J22" i="27"/>
  <c r="J23" i="27"/>
  <c r="J25" i="27"/>
  <c r="J26" i="27"/>
  <c r="J27" i="27"/>
  <c r="J28" i="27"/>
  <c r="J29" i="27"/>
  <c r="J30" i="27"/>
  <c r="J31" i="27"/>
  <c r="J32" i="27"/>
  <c r="J33" i="27"/>
  <c r="J34" i="27"/>
  <c r="J35" i="27"/>
  <c r="J24" i="27"/>
  <c r="I19" i="27"/>
  <c r="H19" i="27"/>
  <c r="G19" i="27"/>
  <c r="N27" i="27"/>
  <c r="M27" i="27"/>
  <c r="O80" i="27" l="1"/>
  <c r="M75" i="27"/>
  <c r="O106" i="27"/>
  <c r="M288" i="19"/>
  <c r="J251" i="19"/>
  <c r="M150" i="19"/>
  <c r="J207" i="19"/>
  <c r="J269" i="19"/>
  <c r="K269" i="19"/>
  <c r="M269" i="19" s="1"/>
  <c r="J19" i="27"/>
  <c r="O99" i="27"/>
  <c r="J87" i="27"/>
  <c r="H75" i="27"/>
  <c r="N75" i="27" s="1"/>
  <c r="J79" i="27"/>
  <c r="J75" i="27" s="1"/>
  <c r="M79" i="27"/>
  <c r="L87" i="27"/>
  <c r="O92" i="27"/>
  <c r="O35" i="27"/>
  <c r="O81" i="27"/>
  <c r="O27" i="27"/>
  <c r="I59" i="19" l="1"/>
  <c r="L59" i="19" s="1"/>
  <c r="L60" i="19"/>
  <c r="K60" i="19"/>
  <c r="J50" i="19"/>
  <c r="J60" i="19"/>
  <c r="H59" i="19"/>
  <c r="K59" i="19" s="1"/>
  <c r="L34" i="19"/>
  <c r="K34" i="19"/>
  <c r="J34" i="19"/>
  <c r="I33" i="19"/>
  <c r="I31" i="19" s="1"/>
  <c r="H33" i="19"/>
  <c r="K33" i="19" s="1"/>
  <c r="I23" i="19"/>
  <c r="E340" i="19"/>
  <c r="F340" i="19"/>
  <c r="F337" i="19"/>
  <c r="E337" i="19"/>
  <c r="L305" i="19"/>
  <c r="K305" i="19"/>
  <c r="G305" i="19"/>
  <c r="F304" i="19"/>
  <c r="L304" i="19" s="1"/>
  <c r="E304" i="19"/>
  <c r="K304" i="19" s="1"/>
  <c r="E176" i="19"/>
  <c r="L109" i="19"/>
  <c r="L110" i="19"/>
  <c r="K109" i="19"/>
  <c r="K110" i="19"/>
  <c r="G109" i="19"/>
  <c r="G110" i="19"/>
  <c r="F108" i="19"/>
  <c r="L108" i="19" s="1"/>
  <c r="E108" i="19"/>
  <c r="E73" i="19"/>
  <c r="F73" i="19"/>
  <c r="L54" i="19"/>
  <c r="K54" i="19"/>
  <c r="K52" i="19"/>
  <c r="G54" i="19"/>
  <c r="F53" i="19"/>
  <c r="L53" i="19" s="1"/>
  <c r="E53" i="19"/>
  <c r="K53" i="19" s="1"/>
  <c r="F29" i="19"/>
  <c r="E23" i="19"/>
  <c r="H31" i="19" l="1"/>
  <c r="M60" i="19"/>
  <c r="J33" i="19"/>
  <c r="G108" i="19"/>
  <c r="H57" i="19"/>
  <c r="G53" i="19"/>
  <c r="G304" i="19"/>
  <c r="M305" i="19"/>
  <c r="M59" i="19"/>
  <c r="J59" i="19"/>
  <c r="I57" i="19"/>
  <c r="M34" i="19"/>
  <c r="L33" i="19"/>
  <c r="M33" i="19" s="1"/>
  <c r="J31" i="19"/>
  <c r="M304" i="19"/>
  <c r="M109" i="19"/>
  <c r="M110" i="19"/>
  <c r="K108" i="19"/>
  <c r="M108" i="19" s="1"/>
  <c r="M53" i="19"/>
  <c r="M54" i="19"/>
  <c r="E23" i="32"/>
  <c r="D23" i="32"/>
  <c r="F29" i="32"/>
  <c r="F28" i="32"/>
  <c r="E29" i="32"/>
  <c r="E35" i="32"/>
  <c r="G73" i="29"/>
  <c r="D78" i="29"/>
  <c r="F73" i="29"/>
  <c r="D74" i="29"/>
  <c r="E74" i="29" s="1"/>
  <c r="C74" i="29"/>
  <c r="H74" i="29"/>
  <c r="H77" i="29"/>
  <c r="J57" i="19" l="1"/>
  <c r="N102" i="27"/>
  <c r="M102" i="27"/>
  <c r="M52" i="27"/>
  <c r="N52" i="27"/>
  <c r="O102" i="27" l="1"/>
  <c r="O52" i="27"/>
  <c r="N98" i="27"/>
  <c r="M98" i="27"/>
  <c r="N97" i="27"/>
  <c r="M97" i="27"/>
  <c r="N96" i="27"/>
  <c r="M96" i="27"/>
  <c r="N94" i="27"/>
  <c r="M94" i="27"/>
  <c r="N91" i="27"/>
  <c r="M91" i="27"/>
  <c r="N88" i="27"/>
  <c r="N89" i="27"/>
  <c r="M88" i="27"/>
  <c r="M89" i="27"/>
  <c r="N85" i="27"/>
  <c r="M84" i="27"/>
  <c r="N84" i="27"/>
  <c r="N62" i="27"/>
  <c r="M62" i="27"/>
  <c r="L37" i="27"/>
  <c r="K37" i="27"/>
  <c r="J37" i="27"/>
  <c r="I37" i="27"/>
  <c r="N46" i="27"/>
  <c r="N47" i="27"/>
  <c r="M46" i="27"/>
  <c r="M47" i="27"/>
  <c r="N45" i="27"/>
  <c r="M45" i="27"/>
  <c r="N31" i="27"/>
  <c r="N32" i="27"/>
  <c r="N33" i="27"/>
  <c r="N34" i="27"/>
  <c r="M31" i="27"/>
  <c r="M32" i="27"/>
  <c r="M33" i="27"/>
  <c r="M34" i="27"/>
  <c r="N109" i="27"/>
  <c r="N110" i="27"/>
  <c r="M109" i="27"/>
  <c r="M110" i="27"/>
  <c r="H108" i="27"/>
  <c r="I108" i="27"/>
  <c r="J108" i="27"/>
  <c r="J107" i="27" s="1"/>
  <c r="K108" i="27"/>
  <c r="K107" i="27" s="1"/>
  <c r="L108" i="27"/>
  <c r="L107" i="27" s="1"/>
  <c r="G108" i="27"/>
  <c r="H101" i="27"/>
  <c r="H100" i="27" s="1"/>
  <c r="I101" i="27"/>
  <c r="J101" i="27"/>
  <c r="J100" i="27" s="1"/>
  <c r="K101" i="27"/>
  <c r="L101" i="27"/>
  <c r="L100" i="27" s="1"/>
  <c r="G101" i="27"/>
  <c r="G100" i="27" s="1"/>
  <c r="H49" i="27"/>
  <c r="H37" i="27"/>
  <c r="G37" i="27"/>
  <c r="O84" i="27" l="1"/>
  <c r="G107" i="27"/>
  <c r="M108" i="27"/>
  <c r="H107" i="27"/>
  <c r="N107" i="27" s="1"/>
  <c r="N108" i="27"/>
  <c r="O45" i="27"/>
  <c r="O33" i="27"/>
  <c r="M101" i="27"/>
  <c r="O62" i="27"/>
  <c r="O98" i="27"/>
  <c r="K100" i="27"/>
  <c r="N100" i="27" s="1"/>
  <c r="N101" i="27"/>
  <c r="I100" i="27"/>
  <c r="M100" i="27" s="1"/>
  <c r="O96" i="27"/>
  <c r="O97" i="27"/>
  <c r="O94" i="27"/>
  <c r="O89" i="27"/>
  <c r="O109" i="27"/>
  <c r="O110" i="27"/>
  <c r="O91" i="27"/>
  <c r="O88" i="27"/>
  <c r="O34" i="27"/>
  <c r="O47" i="27"/>
  <c r="O46" i="27"/>
  <c r="I107" i="27"/>
  <c r="O32" i="27"/>
  <c r="O31" i="27"/>
  <c r="O108" i="27" l="1"/>
  <c r="M107" i="27"/>
  <c r="O107" i="27" s="1"/>
  <c r="O101" i="27"/>
  <c r="O100" i="27"/>
  <c r="F60" i="32" l="1"/>
  <c r="F59" i="32" s="1"/>
  <c r="E59" i="32"/>
  <c r="E63" i="32" s="1"/>
  <c r="D59" i="32"/>
  <c r="D63" i="32" s="1"/>
  <c r="F55" i="32"/>
  <c r="F54" i="32" s="1"/>
  <c r="E54" i="32"/>
  <c r="D54" i="32"/>
  <c r="D53" i="32"/>
  <c r="D52" i="32" s="1"/>
  <c r="E43" i="32"/>
  <c r="E47" i="32" s="1"/>
  <c r="D43" i="32"/>
  <c r="F40" i="32"/>
  <c r="F39" i="32" s="1"/>
  <c r="E39" i="32"/>
  <c r="D39" i="32"/>
  <c r="F38" i="32"/>
  <c r="E37" i="32"/>
  <c r="D37" i="32"/>
  <c r="F36" i="32"/>
  <c r="D35" i="32"/>
  <c r="F34" i="32"/>
  <c r="E33" i="32"/>
  <c r="D33" i="32"/>
  <c r="E31" i="32"/>
  <c r="D31" i="32"/>
  <c r="E27" i="32"/>
  <c r="D27" i="32"/>
  <c r="F26" i="32"/>
  <c r="E25" i="32"/>
  <c r="D25" i="32"/>
  <c r="F22" i="32"/>
  <c r="F21" i="32" s="1"/>
  <c r="E21" i="32"/>
  <c r="D21" i="32"/>
  <c r="F20" i="32"/>
  <c r="E19" i="32"/>
  <c r="D19" i="32"/>
  <c r="F18" i="32"/>
  <c r="E17" i="32"/>
  <c r="D17" i="32"/>
  <c r="F25" i="32" l="1"/>
  <c r="E46" i="32"/>
  <c r="E45" i="32" s="1"/>
  <c r="D46" i="32"/>
  <c r="D45" i="32" s="1"/>
  <c r="F19" i="32"/>
  <c r="F27" i="32"/>
  <c r="F35" i="32"/>
  <c r="F17" i="32"/>
  <c r="F33" i="32"/>
  <c r="F37" i="32"/>
  <c r="F62" i="32"/>
  <c r="F63" i="32"/>
  <c r="F45" i="32" l="1"/>
  <c r="F46" i="32"/>
  <c r="F61" i="32"/>
  <c r="I346" i="19" l="1"/>
  <c r="I178" i="19"/>
  <c r="L333" i="19"/>
  <c r="H46" i="19"/>
  <c r="L47" i="19"/>
  <c r="K47" i="19"/>
  <c r="J47" i="19"/>
  <c r="I49" i="19"/>
  <c r="H49" i="19"/>
  <c r="L50" i="19"/>
  <c r="K50" i="19"/>
  <c r="I188" i="19"/>
  <c r="M50" i="19" l="1"/>
  <c r="M47" i="19"/>
  <c r="D84" i="29"/>
  <c r="H83" i="29"/>
  <c r="E83" i="29" s="1"/>
  <c r="D83" i="29"/>
  <c r="C83" i="29"/>
  <c r="H82" i="29"/>
  <c r="E82" i="29" s="1"/>
  <c r="D82" i="29"/>
  <c r="C82" i="29"/>
  <c r="H81" i="29"/>
  <c r="E81" i="29" s="1"/>
  <c r="D81" i="29"/>
  <c r="C81" i="29"/>
  <c r="H80" i="29"/>
  <c r="E80" i="29" s="1"/>
  <c r="D80" i="29"/>
  <c r="C80" i="29"/>
  <c r="H79" i="29"/>
  <c r="E79" i="29" s="1"/>
  <c r="D79" i="29"/>
  <c r="C79" i="29"/>
  <c r="E77" i="29"/>
  <c r="D77" i="29"/>
  <c r="C77" i="29"/>
  <c r="K76" i="29"/>
  <c r="E76" i="29" s="1"/>
  <c r="D76" i="29"/>
  <c r="C76" i="29"/>
  <c r="H75" i="29"/>
  <c r="D75" i="29"/>
  <c r="C75" i="29"/>
  <c r="J73" i="29"/>
  <c r="I73" i="29"/>
  <c r="H72" i="29"/>
  <c r="H71" i="29" s="1"/>
  <c r="D72" i="29"/>
  <c r="C72" i="29"/>
  <c r="G71" i="29"/>
  <c r="D71" i="29" s="1"/>
  <c r="F71" i="29"/>
  <c r="C71" i="29" s="1"/>
  <c r="H70" i="29"/>
  <c r="D70" i="29"/>
  <c r="C70" i="29"/>
  <c r="G69" i="29"/>
  <c r="F69" i="29"/>
  <c r="H68" i="29"/>
  <c r="D68" i="29"/>
  <c r="C68" i="29"/>
  <c r="G67" i="29"/>
  <c r="D67" i="29" s="1"/>
  <c r="F67" i="29"/>
  <c r="C67" i="29" s="1"/>
  <c r="E63" i="29"/>
  <c r="D63" i="29"/>
  <c r="C63" i="29"/>
  <c r="C62" i="29" s="1"/>
  <c r="K62" i="29"/>
  <c r="E62" i="29" s="1"/>
  <c r="J62" i="29"/>
  <c r="D62" i="29" s="1"/>
  <c r="I62" i="29"/>
  <c r="D61" i="29"/>
  <c r="K60" i="29"/>
  <c r="D60" i="29"/>
  <c r="C60" i="29"/>
  <c r="J59" i="29"/>
  <c r="I59" i="29"/>
  <c r="C59" i="29" s="1"/>
  <c r="K58" i="29"/>
  <c r="D58" i="29"/>
  <c r="C58" i="29"/>
  <c r="H57" i="29"/>
  <c r="D57" i="29"/>
  <c r="C57" i="29"/>
  <c r="E56" i="29"/>
  <c r="D56" i="29"/>
  <c r="C56" i="29"/>
  <c r="J55" i="29"/>
  <c r="I55" i="29"/>
  <c r="G55" i="29"/>
  <c r="F55" i="29"/>
  <c r="H54" i="29"/>
  <c r="D54" i="29"/>
  <c r="C54" i="29"/>
  <c r="H53" i="29"/>
  <c r="D53" i="29"/>
  <c r="C53" i="29"/>
  <c r="D52" i="29"/>
  <c r="C52" i="29"/>
  <c r="H51" i="29"/>
  <c r="D51" i="29"/>
  <c r="C51" i="29"/>
  <c r="H50" i="29"/>
  <c r="D50" i="29"/>
  <c r="C50" i="29"/>
  <c r="H49" i="29"/>
  <c r="D49" i="29"/>
  <c r="C49" i="29"/>
  <c r="G48" i="29"/>
  <c r="F48" i="29"/>
  <c r="C48" i="29" s="1"/>
  <c r="H47" i="29"/>
  <c r="D47" i="29"/>
  <c r="C47" i="29"/>
  <c r="D46" i="29"/>
  <c r="C46" i="29"/>
  <c r="H45" i="29"/>
  <c r="D45" i="29"/>
  <c r="C45" i="29"/>
  <c r="E44" i="29"/>
  <c r="D44" i="29"/>
  <c r="C44" i="29"/>
  <c r="G43" i="29"/>
  <c r="F43" i="29"/>
  <c r="C43" i="29" s="1"/>
  <c r="K41" i="29"/>
  <c r="D41" i="29"/>
  <c r="C41" i="29"/>
  <c r="J40" i="29"/>
  <c r="J15" i="29" s="1"/>
  <c r="I40" i="29"/>
  <c r="C40" i="29" s="1"/>
  <c r="H39" i="29"/>
  <c r="D39" i="29"/>
  <c r="C39" i="29"/>
  <c r="H38" i="29"/>
  <c r="D38" i="29"/>
  <c r="C38" i="29"/>
  <c r="D37" i="29"/>
  <c r="C37" i="29"/>
  <c r="H36" i="29"/>
  <c r="D36" i="29"/>
  <c r="C36" i="29"/>
  <c r="H35" i="29"/>
  <c r="D35" i="29"/>
  <c r="C35" i="29"/>
  <c r="H34" i="29"/>
  <c r="D34" i="29"/>
  <c r="C34" i="29"/>
  <c r="H33" i="29"/>
  <c r="D33" i="29"/>
  <c r="C33" i="29"/>
  <c r="G32" i="29"/>
  <c r="D32" i="29" s="1"/>
  <c r="F32" i="29"/>
  <c r="C32" i="29" s="1"/>
  <c r="H31" i="29"/>
  <c r="D31" i="29"/>
  <c r="C31" i="29"/>
  <c r="H30" i="29"/>
  <c r="D30" i="29"/>
  <c r="C30" i="29"/>
  <c r="H29" i="29"/>
  <c r="D29" i="29"/>
  <c r="C29" i="29"/>
  <c r="H28" i="29"/>
  <c r="D28" i="29"/>
  <c r="C28" i="29"/>
  <c r="G27" i="29"/>
  <c r="F27" i="29"/>
  <c r="H24" i="29"/>
  <c r="D24" i="29"/>
  <c r="C24" i="29"/>
  <c r="H23" i="29"/>
  <c r="D23" i="29"/>
  <c r="C23" i="29"/>
  <c r="H22" i="29"/>
  <c r="D22" i="29"/>
  <c r="C22" i="29"/>
  <c r="G21" i="29"/>
  <c r="D21" i="29" s="1"/>
  <c r="F21" i="29"/>
  <c r="C21" i="29" s="1"/>
  <c r="D20" i="29"/>
  <c r="G19" i="29"/>
  <c r="D19" i="29" s="1"/>
  <c r="E18" i="29"/>
  <c r="D18" i="29"/>
  <c r="C18" i="29"/>
  <c r="H17" i="29"/>
  <c r="D17" i="29"/>
  <c r="C17" i="29"/>
  <c r="G16" i="29"/>
  <c r="F16" i="29"/>
  <c r="C16" i="29" s="1"/>
  <c r="I66" i="29" l="1"/>
  <c r="I65" i="29" s="1"/>
  <c r="C73" i="29"/>
  <c r="J66" i="29"/>
  <c r="J65" i="29" s="1"/>
  <c r="D73" i="29"/>
  <c r="C55" i="29"/>
  <c r="E24" i="29"/>
  <c r="E68" i="29"/>
  <c r="E71" i="29"/>
  <c r="K73" i="29"/>
  <c r="E35" i="29"/>
  <c r="H43" i="29"/>
  <c r="G42" i="29"/>
  <c r="E67" i="29"/>
  <c r="E75" i="29"/>
  <c r="I15" i="29"/>
  <c r="E22" i="29"/>
  <c r="E23" i="29"/>
  <c r="E36" i="29"/>
  <c r="D43" i="29"/>
  <c r="E43" i="29" s="1"/>
  <c r="E47" i="29"/>
  <c r="K55" i="29"/>
  <c r="E58" i="29"/>
  <c r="E34" i="29"/>
  <c r="E57" i="29"/>
  <c r="E53" i="29"/>
  <c r="E31" i="29"/>
  <c r="E32" i="29"/>
  <c r="E17" i="29"/>
  <c r="G26" i="29"/>
  <c r="E41" i="29"/>
  <c r="E33" i="29"/>
  <c r="E54" i="29"/>
  <c r="H21" i="29"/>
  <c r="E21" i="29" s="1"/>
  <c r="F42" i="29"/>
  <c r="H48" i="29"/>
  <c r="E51" i="29"/>
  <c r="E70" i="29"/>
  <c r="D40" i="29"/>
  <c r="E40" i="29" s="1"/>
  <c r="H67" i="29"/>
  <c r="J42" i="29"/>
  <c r="E60" i="29"/>
  <c r="G66" i="29"/>
  <c r="G65" i="29" s="1"/>
  <c r="E72" i="29"/>
  <c r="F26" i="29"/>
  <c r="C27" i="29"/>
  <c r="H16" i="29"/>
  <c r="H27" i="29"/>
  <c r="E30" i="29"/>
  <c r="E39" i="29"/>
  <c r="E50" i="29"/>
  <c r="F66" i="29"/>
  <c r="C69" i="29"/>
  <c r="D16" i="29"/>
  <c r="E16" i="29" s="1"/>
  <c r="E29" i="29"/>
  <c r="H32" i="29"/>
  <c r="E38" i="29"/>
  <c r="K15" i="29"/>
  <c r="E45" i="29"/>
  <c r="E49" i="29"/>
  <c r="H55" i="29"/>
  <c r="K59" i="29"/>
  <c r="E28" i="29"/>
  <c r="K40" i="29"/>
  <c r="I42" i="29"/>
  <c r="I64" i="29" s="1"/>
  <c r="H73" i="29"/>
  <c r="D69" i="29"/>
  <c r="E69" i="29" s="1"/>
  <c r="H69" i="29"/>
  <c r="D27" i="29"/>
  <c r="D48" i="29"/>
  <c r="E48" i="29" s="1"/>
  <c r="D55" i="29"/>
  <c r="D59" i="29"/>
  <c r="E59" i="29" s="1"/>
  <c r="I86" i="29" l="1"/>
  <c r="D65" i="29"/>
  <c r="E55" i="29"/>
  <c r="H26" i="29"/>
  <c r="D66" i="29"/>
  <c r="E73" i="29"/>
  <c r="D42" i="29"/>
  <c r="H42" i="29"/>
  <c r="D26" i="29"/>
  <c r="G25" i="29"/>
  <c r="J64" i="29"/>
  <c r="J86" i="29" s="1"/>
  <c r="C66" i="29"/>
  <c r="F65" i="29"/>
  <c r="H66" i="29"/>
  <c r="C26" i="29"/>
  <c r="F25" i="29"/>
  <c r="E27" i="29"/>
  <c r="C42" i="29"/>
  <c r="K42" i="29"/>
  <c r="K86" i="29" l="1"/>
  <c r="E66" i="29"/>
  <c r="E26" i="29"/>
  <c r="K64" i="29"/>
  <c r="E42" i="29"/>
  <c r="G15" i="29"/>
  <c r="D25" i="29"/>
  <c r="C65" i="29"/>
  <c r="E65" i="29" s="1"/>
  <c r="H65" i="29"/>
  <c r="C25" i="29"/>
  <c r="F15" i="29"/>
  <c r="H25" i="29"/>
  <c r="E25" i="29" l="1"/>
  <c r="G64" i="29"/>
  <c r="D15" i="29"/>
  <c r="C15" i="29"/>
  <c r="F64" i="29"/>
  <c r="H15" i="29"/>
  <c r="C64" i="29" l="1"/>
  <c r="F86" i="29"/>
  <c r="E15" i="29"/>
  <c r="G86" i="29"/>
  <c r="D64" i="29"/>
  <c r="H64" i="29"/>
  <c r="E64" i="29" l="1"/>
  <c r="C86" i="29"/>
  <c r="E86" i="29" s="1"/>
  <c r="H86" i="29"/>
  <c r="J21" i="23" l="1"/>
  <c r="F20" i="23" l="1"/>
  <c r="F27" i="23" s="1"/>
  <c r="E20" i="23"/>
  <c r="E27" i="23" l="1"/>
  <c r="E18" i="23"/>
  <c r="F18" i="23"/>
  <c r="C19" i="23"/>
  <c r="L314" i="19"/>
  <c r="I313" i="19"/>
  <c r="L313" i="19" s="1"/>
  <c r="H313" i="19"/>
  <c r="K313" i="19" s="1"/>
  <c r="K314" i="19"/>
  <c r="J312" i="19"/>
  <c r="L286" i="19" l="1"/>
  <c r="K286" i="19"/>
  <c r="J286" i="19"/>
  <c r="I285" i="19"/>
  <c r="L285" i="19" s="1"/>
  <c r="H285" i="19"/>
  <c r="L283" i="19"/>
  <c r="K283" i="19"/>
  <c r="J283" i="19"/>
  <c r="I282" i="19"/>
  <c r="L282" i="19" s="1"/>
  <c r="H282" i="19"/>
  <c r="L280" i="19"/>
  <c r="K280" i="19"/>
  <c r="J280" i="19"/>
  <c r="I279" i="19"/>
  <c r="L279" i="19" s="1"/>
  <c r="H279" i="19"/>
  <c r="L268" i="19"/>
  <c r="K268" i="19"/>
  <c r="J268" i="19"/>
  <c r="I267" i="19"/>
  <c r="L267" i="19" s="1"/>
  <c r="H267" i="19"/>
  <c r="L262" i="19"/>
  <c r="K262" i="19"/>
  <c r="J262" i="19"/>
  <c r="I261" i="19"/>
  <c r="L261" i="19" s="1"/>
  <c r="H261" i="19"/>
  <c r="J259" i="19"/>
  <c r="I258" i="19"/>
  <c r="H258" i="19"/>
  <c r="K258" i="19" s="1"/>
  <c r="L259" i="19"/>
  <c r="K259" i="19"/>
  <c r="J117" i="19"/>
  <c r="I116" i="19"/>
  <c r="L116" i="19" s="1"/>
  <c r="H116" i="19"/>
  <c r="K116" i="19" s="1"/>
  <c r="L117" i="19"/>
  <c r="K117" i="19"/>
  <c r="H85" i="19"/>
  <c r="L90" i="19"/>
  <c r="L89" i="19"/>
  <c r="K89" i="19"/>
  <c r="H43" i="19"/>
  <c r="H41" i="19" s="1"/>
  <c r="I43" i="19"/>
  <c r="L43" i="19" s="1"/>
  <c r="L44" i="19"/>
  <c r="K44" i="19"/>
  <c r="J44" i="19"/>
  <c r="L66" i="19"/>
  <c r="K66" i="19"/>
  <c r="J66" i="19"/>
  <c r="I65" i="19"/>
  <c r="I63" i="19" s="1"/>
  <c r="H65" i="19"/>
  <c r="F327" i="19"/>
  <c r="L222" i="19"/>
  <c r="K222" i="19"/>
  <c r="G222" i="19"/>
  <c r="F324" i="19"/>
  <c r="E324" i="19"/>
  <c r="F317" i="19"/>
  <c r="L317" i="19" s="1"/>
  <c r="E317" i="19"/>
  <c r="K317" i="19" s="1"/>
  <c r="L316" i="19"/>
  <c r="L318" i="19"/>
  <c r="K316" i="19"/>
  <c r="K318" i="19"/>
  <c r="G309" i="19"/>
  <c r="G310" i="19"/>
  <c r="G316" i="19"/>
  <c r="G318" i="19"/>
  <c r="F315" i="19"/>
  <c r="E315" i="19"/>
  <c r="K315" i="19" s="1"/>
  <c r="F295" i="19"/>
  <c r="L295" i="19" s="1"/>
  <c r="E295" i="19"/>
  <c r="K295" i="19" s="1"/>
  <c r="L296" i="19"/>
  <c r="K296" i="19"/>
  <c r="G296" i="19"/>
  <c r="F244" i="19"/>
  <c r="L244" i="19" s="1"/>
  <c r="E244" i="19"/>
  <c r="L245" i="19"/>
  <c r="K245" i="19"/>
  <c r="G245" i="19"/>
  <c r="F212" i="19"/>
  <c r="L212" i="19" s="1"/>
  <c r="E212" i="19"/>
  <c r="G213" i="19"/>
  <c r="L213" i="19"/>
  <c r="K213" i="19"/>
  <c r="F176" i="19"/>
  <c r="F104" i="19"/>
  <c r="F119" i="19"/>
  <c r="L119" i="19" s="1"/>
  <c r="E119" i="19"/>
  <c r="L121" i="19"/>
  <c r="L122" i="19"/>
  <c r="K121" i="19"/>
  <c r="K122" i="19"/>
  <c r="G121" i="19"/>
  <c r="G122" i="19"/>
  <c r="F114" i="19"/>
  <c r="E114" i="19"/>
  <c r="K114" i="19" s="1"/>
  <c r="L115" i="19"/>
  <c r="L120" i="19"/>
  <c r="K115" i="19"/>
  <c r="K120" i="19"/>
  <c r="G115" i="19"/>
  <c r="G120" i="19"/>
  <c r="F112" i="19"/>
  <c r="F111" i="19" s="1"/>
  <c r="E112" i="19"/>
  <c r="E111" i="19" s="1"/>
  <c r="K111" i="19" s="1"/>
  <c r="L113" i="19"/>
  <c r="K113" i="19"/>
  <c r="G113" i="19"/>
  <c r="F23" i="19"/>
  <c r="F63" i="19"/>
  <c r="L64" i="19"/>
  <c r="K64" i="19"/>
  <c r="G64" i="19"/>
  <c r="E63" i="19"/>
  <c r="K119" i="19" l="1"/>
  <c r="M119" i="19" s="1"/>
  <c r="L114" i="19"/>
  <c r="M114" i="19" s="1"/>
  <c r="J279" i="19"/>
  <c r="K112" i="19"/>
  <c r="L118" i="19"/>
  <c r="I41" i="19"/>
  <c r="J41" i="19" s="1"/>
  <c r="J65" i="19"/>
  <c r="J261" i="19"/>
  <c r="H63" i="19"/>
  <c r="J63" i="19" s="1"/>
  <c r="J267" i="19"/>
  <c r="K43" i="19"/>
  <c r="M43" i="19" s="1"/>
  <c r="H257" i="19"/>
  <c r="J258" i="19"/>
  <c r="I260" i="19"/>
  <c r="L260" i="19" s="1"/>
  <c r="G212" i="19"/>
  <c r="L258" i="19"/>
  <c r="M258" i="19" s="1"/>
  <c r="I278" i="19"/>
  <c r="L278" i="19" s="1"/>
  <c r="M280" i="19"/>
  <c r="M286" i="19"/>
  <c r="M316" i="19"/>
  <c r="I284" i="19"/>
  <c r="L284" i="19" s="1"/>
  <c r="J285" i="19"/>
  <c r="K285" i="19"/>
  <c r="M285" i="19" s="1"/>
  <c r="H284" i="19"/>
  <c r="M283" i="19"/>
  <c r="I281" i="19"/>
  <c r="L281" i="19" s="1"/>
  <c r="J282" i="19"/>
  <c r="K282" i="19"/>
  <c r="M282" i="19" s="1"/>
  <c r="H281" i="19"/>
  <c r="M268" i="19"/>
  <c r="K279" i="19"/>
  <c r="M279" i="19" s="1"/>
  <c r="H278" i="19"/>
  <c r="M262" i="19"/>
  <c r="I266" i="19"/>
  <c r="L266" i="19" s="1"/>
  <c r="K267" i="19"/>
  <c r="M267" i="19" s="1"/>
  <c r="H266" i="19"/>
  <c r="K261" i="19"/>
  <c r="M261" i="19" s="1"/>
  <c r="H260" i="19"/>
  <c r="M259" i="19"/>
  <c r="I257" i="19"/>
  <c r="L257" i="19" s="1"/>
  <c r="J118" i="19"/>
  <c r="E211" i="19"/>
  <c r="K211" i="19" s="1"/>
  <c r="M318" i="19"/>
  <c r="K118" i="19"/>
  <c r="F211" i="19"/>
  <c r="L211" i="19" s="1"/>
  <c r="G315" i="19"/>
  <c r="J116" i="19"/>
  <c r="M117" i="19"/>
  <c r="M116" i="19"/>
  <c r="K212" i="19"/>
  <c r="M212" i="19" s="1"/>
  <c r="G112" i="19"/>
  <c r="G119" i="19"/>
  <c r="G244" i="19"/>
  <c r="M222" i="19"/>
  <c r="M115" i="19"/>
  <c r="G111" i="19"/>
  <c r="L111" i="19"/>
  <c r="M111" i="19" s="1"/>
  <c r="L315" i="19"/>
  <c r="M315" i="19" s="1"/>
  <c r="L112" i="19"/>
  <c r="K244" i="19"/>
  <c r="M244" i="19" s="1"/>
  <c r="J43" i="19"/>
  <c r="G295" i="19"/>
  <c r="K65" i="19"/>
  <c r="I85" i="19"/>
  <c r="L65" i="19"/>
  <c r="M44" i="19"/>
  <c r="K90" i="19"/>
  <c r="M66" i="19"/>
  <c r="L63" i="19"/>
  <c r="M317" i="19"/>
  <c r="G317" i="19"/>
  <c r="M245" i="19"/>
  <c r="M295" i="19"/>
  <c r="M296" i="19"/>
  <c r="M213" i="19"/>
  <c r="M121" i="19"/>
  <c r="M122" i="19"/>
  <c r="M120" i="19"/>
  <c r="G114" i="19"/>
  <c r="M113" i="19"/>
  <c r="M64" i="19"/>
  <c r="G63" i="19"/>
  <c r="K257" i="19" l="1"/>
  <c r="M257" i="19" s="1"/>
  <c r="M112" i="19"/>
  <c r="M118" i="19"/>
  <c r="K63" i="19"/>
  <c r="M63" i="19" s="1"/>
  <c r="J257" i="19"/>
  <c r="G211" i="19"/>
  <c r="J284" i="19"/>
  <c r="K284" i="19"/>
  <c r="M284" i="19" s="1"/>
  <c r="J281" i="19"/>
  <c r="K281" i="19"/>
  <c r="M281" i="19" s="1"/>
  <c r="K278" i="19"/>
  <c r="M278" i="19" s="1"/>
  <c r="J278" i="19"/>
  <c r="K266" i="19"/>
  <c r="M266" i="19" s="1"/>
  <c r="J266" i="19"/>
  <c r="J260" i="19"/>
  <c r="K260" i="19"/>
  <c r="M260" i="19" s="1"/>
  <c r="M211" i="19"/>
  <c r="M65" i="19"/>
  <c r="J28" i="23" l="1"/>
  <c r="I28" i="23"/>
  <c r="I25" i="23" s="1"/>
  <c r="F28" i="23"/>
  <c r="F26" i="23"/>
  <c r="D26" i="23" s="1"/>
  <c r="D27" i="23"/>
  <c r="D19" i="23"/>
  <c r="D20" i="23"/>
  <c r="D21" i="23"/>
  <c r="I18" i="23"/>
  <c r="I17" i="23" s="1"/>
  <c r="I22" i="23" s="1"/>
  <c r="J18" i="23"/>
  <c r="J17" i="23" s="1"/>
  <c r="C27" i="23"/>
  <c r="C20" i="23"/>
  <c r="D28" i="23" l="1"/>
  <c r="I24" i="23"/>
  <c r="I29" i="23"/>
  <c r="D18" i="23"/>
  <c r="J22" i="23"/>
  <c r="J29" i="23" s="1"/>
  <c r="J24" i="23"/>
  <c r="F25" i="23"/>
  <c r="D25" i="23" s="1"/>
  <c r="F17" i="23"/>
  <c r="F22" i="23" l="1"/>
  <c r="F24" i="23"/>
  <c r="D24" i="23" s="1"/>
  <c r="D17" i="23"/>
  <c r="F29" i="23" l="1"/>
  <c r="D29" i="23" s="1"/>
  <c r="D22" i="23"/>
  <c r="L21" i="28" l="1"/>
  <c r="H21" i="28"/>
  <c r="K20" i="28"/>
  <c r="J20" i="28"/>
  <c r="J19" i="28" s="1"/>
  <c r="J18" i="28" s="1"/>
  <c r="J22" i="28" s="1"/>
  <c r="I20" i="28"/>
  <c r="L20" i="28" s="1"/>
  <c r="E20" i="28"/>
  <c r="H20" i="28" s="1"/>
  <c r="K19" i="28"/>
  <c r="K18" i="28" s="1"/>
  <c r="K22" i="28" s="1"/>
  <c r="G19" i="28"/>
  <c r="G18" i="28" s="1"/>
  <c r="G22" i="28" s="1"/>
  <c r="F19" i="28"/>
  <c r="F18" i="28" s="1"/>
  <c r="F22" i="28" s="1"/>
  <c r="E19" i="28" l="1"/>
  <c r="I19" i="28"/>
  <c r="N105" i="27"/>
  <c r="M105" i="27"/>
  <c r="L105" i="27"/>
  <c r="L104" i="27" s="1"/>
  <c r="J105" i="27"/>
  <c r="K103" i="27"/>
  <c r="L103" i="27" s="1"/>
  <c r="I103" i="27"/>
  <c r="H103" i="27"/>
  <c r="N95" i="27"/>
  <c r="M95" i="27"/>
  <c r="N93" i="27"/>
  <c r="M93" i="27"/>
  <c r="N90" i="27"/>
  <c r="M90" i="27"/>
  <c r="K86" i="27"/>
  <c r="N86" i="27" s="1"/>
  <c r="M85" i="27"/>
  <c r="N83" i="27"/>
  <c r="M83" i="27"/>
  <c r="N82" i="27"/>
  <c r="M82" i="27"/>
  <c r="L79" i="27"/>
  <c r="N78" i="27"/>
  <c r="M78" i="27"/>
  <c r="N77" i="27"/>
  <c r="M77" i="27"/>
  <c r="N76" i="27"/>
  <c r="M76" i="27"/>
  <c r="K74" i="27"/>
  <c r="J74" i="27"/>
  <c r="I74" i="27"/>
  <c r="G74" i="27"/>
  <c r="N73" i="27"/>
  <c r="M73" i="27"/>
  <c r="N72" i="27"/>
  <c r="M72" i="27"/>
  <c r="N71" i="27"/>
  <c r="M71" i="27"/>
  <c r="N69" i="27"/>
  <c r="M69" i="27"/>
  <c r="N68" i="27"/>
  <c r="M68" i="27"/>
  <c r="N67" i="27"/>
  <c r="M67" i="27"/>
  <c r="N66" i="27"/>
  <c r="M66" i="27"/>
  <c r="N65" i="27"/>
  <c r="M65" i="27"/>
  <c r="N64" i="27"/>
  <c r="M64" i="27"/>
  <c r="N63" i="27"/>
  <c r="M63" i="27"/>
  <c r="N61" i="27"/>
  <c r="M61" i="27"/>
  <c r="L60" i="27"/>
  <c r="L59" i="27" s="1"/>
  <c r="K60" i="27"/>
  <c r="J60" i="27"/>
  <c r="J59" i="27" s="1"/>
  <c r="I60" i="27"/>
  <c r="I59" i="27" s="1"/>
  <c r="H60" i="27"/>
  <c r="H59" i="27" s="1"/>
  <c r="G60" i="27"/>
  <c r="G59" i="27" s="1"/>
  <c r="N58" i="27"/>
  <c r="M58" i="27"/>
  <c r="L57" i="27"/>
  <c r="L56" i="27" s="1"/>
  <c r="K57" i="27"/>
  <c r="J57" i="27"/>
  <c r="J56" i="27" s="1"/>
  <c r="I56" i="27"/>
  <c r="H56" i="27"/>
  <c r="G57" i="27"/>
  <c r="G56" i="27" s="1"/>
  <c r="N55" i="27"/>
  <c r="M55" i="27"/>
  <c r="N54" i="27"/>
  <c r="M54" i="27"/>
  <c r="N53" i="27"/>
  <c r="M53" i="27"/>
  <c r="N51" i="27"/>
  <c r="M51" i="27"/>
  <c r="N50" i="27"/>
  <c r="M50" i="27"/>
  <c r="L49" i="27"/>
  <c r="L48" i="27" s="1"/>
  <c r="K49" i="27"/>
  <c r="K48" i="27" s="1"/>
  <c r="J49" i="27"/>
  <c r="J48" i="27" s="1"/>
  <c r="I49" i="27"/>
  <c r="I48" i="27" s="1"/>
  <c r="G49" i="27"/>
  <c r="G48" i="27" s="1"/>
  <c r="N44" i="27"/>
  <c r="M44" i="27"/>
  <c r="N43" i="27"/>
  <c r="M43" i="27"/>
  <c r="N42" i="27"/>
  <c r="M42" i="27"/>
  <c r="N41" i="27"/>
  <c r="M41" i="27"/>
  <c r="N40" i="27"/>
  <c r="M40" i="27"/>
  <c r="N39" i="27"/>
  <c r="M39" i="27"/>
  <c r="M38" i="27"/>
  <c r="L36" i="27"/>
  <c r="K36" i="27"/>
  <c r="J36" i="27"/>
  <c r="I36" i="27"/>
  <c r="H36" i="27"/>
  <c r="G36" i="27"/>
  <c r="N30" i="27"/>
  <c r="M30" i="27"/>
  <c r="N29" i="27"/>
  <c r="M29" i="27"/>
  <c r="N28" i="27"/>
  <c r="M28" i="27"/>
  <c r="N26" i="27"/>
  <c r="M26" i="27"/>
  <c r="N25" i="27"/>
  <c r="M25" i="27"/>
  <c r="N24" i="27"/>
  <c r="M24" i="27"/>
  <c r="L24" i="27"/>
  <c r="L19" i="27" s="1"/>
  <c r="N23" i="27"/>
  <c r="M23" i="27"/>
  <c r="N22" i="27"/>
  <c r="M22" i="27"/>
  <c r="N21" i="27"/>
  <c r="M21" i="27"/>
  <c r="N20" i="27"/>
  <c r="M20" i="27"/>
  <c r="K18" i="27"/>
  <c r="I18" i="27"/>
  <c r="H18" i="27"/>
  <c r="G18" i="27"/>
  <c r="N36" i="27" l="1"/>
  <c r="L75" i="27"/>
  <c r="L74" i="27" s="1"/>
  <c r="J104" i="27"/>
  <c r="J103" i="27" s="1"/>
  <c r="N37" i="27"/>
  <c r="N19" i="27"/>
  <c r="K56" i="27"/>
  <c r="N57" i="27"/>
  <c r="N56" i="27" s="1"/>
  <c r="M19" i="27"/>
  <c r="M18" i="27"/>
  <c r="M36" i="27"/>
  <c r="M37" i="27"/>
  <c r="J86" i="27"/>
  <c r="O41" i="27"/>
  <c r="J18" i="27"/>
  <c r="O28" i="27"/>
  <c r="O43" i="27"/>
  <c r="O38" i="27"/>
  <c r="O40" i="27"/>
  <c r="O44" i="27"/>
  <c r="O95" i="27"/>
  <c r="M104" i="27"/>
  <c r="O22" i="27"/>
  <c r="O26" i="27"/>
  <c r="O69" i="27"/>
  <c r="O73" i="27"/>
  <c r="N49" i="27"/>
  <c r="N48" i="27" s="1"/>
  <c r="O51" i="27"/>
  <c r="O58" i="27"/>
  <c r="O63" i="27"/>
  <c r="O65" i="27"/>
  <c r="L18" i="27"/>
  <c r="O93" i="27"/>
  <c r="H48" i="27"/>
  <c r="N60" i="27"/>
  <c r="N59" i="27" s="1"/>
  <c r="O77" i="27"/>
  <c r="O105" i="27"/>
  <c r="O23" i="27"/>
  <c r="O24" i="27"/>
  <c r="O71" i="27"/>
  <c r="N103" i="27"/>
  <c r="O42" i="27"/>
  <c r="O54" i="27"/>
  <c r="O78" i="27"/>
  <c r="O85" i="27"/>
  <c r="L86" i="27"/>
  <c r="E18" i="28"/>
  <c r="H19" i="28"/>
  <c r="I18" i="28"/>
  <c r="L19" i="28"/>
  <c r="O50" i="27"/>
  <c r="O66" i="27"/>
  <c r="O68" i="27"/>
  <c r="N74" i="27"/>
  <c r="O83" i="27"/>
  <c r="O20" i="27"/>
  <c r="O29" i="27"/>
  <c r="O25" i="27"/>
  <c r="O21" i="27"/>
  <c r="O30" i="27"/>
  <c r="O39" i="27"/>
  <c r="O53" i="27"/>
  <c r="O55" i="27"/>
  <c r="M57" i="27"/>
  <c r="O67" i="27"/>
  <c r="O70" i="27"/>
  <c r="O72" i="27"/>
  <c r="H74" i="27"/>
  <c r="O76" i="27"/>
  <c r="O79" i="27"/>
  <c r="O82" i="27"/>
  <c r="O90" i="27"/>
  <c r="M56" i="27"/>
  <c r="O61" i="27"/>
  <c r="O64" i="27"/>
  <c r="G103" i="27"/>
  <c r="M103" i="27" s="1"/>
  <c r="N18" i="27"/>
  <c r="I86" i="27"/>
  <c r="M86" i="27" s="1"/>
  <c r="O86" i="27" s="1"/>
  <c r="O87" i="27"/>
  <c r="M49" i="27"/>
  <c r="M48" i="27" s="1"/>
  <c r="M60" i="27"/>
  <c r="M59" i="27" s="1"/>
  <c r="N104" i="27"/>
  <c r="M74" i="27"/>
  <c r="K59" i="27"/>
  <c r="H346" i="19"/>
  <c r="I340" i="19"/>
  <c r="I341" i="19" s="1"/>
  <c r="H340" i="19"/>
  <c r="H341" i="19" s="1"/>
  <c r="I337" i="19"/>
  <c r="I338" i="19" s="1"/>
  <c r="H337" i="19"/>
  <c r="H338" i="19" s="1"/>
  <c r="F341" i="19"/>
  <c r="E341" i="19"/>
  <c r="F338" i="19"/>
  <c r="E338" i="19"/>
  <c r="L325" i="19"/>
  <c r="L326" i="19"/>
  <c r="L328" i="19"/>
  <c r="K325" i="19"/>
  <c r="K326" i="19"/>
  <c r="K328" i="19"/>
  <c r="L324" i="19"/>
  <c r="K324" i="19"/>
  <c r="F323" i="19"/>
  <c r="F322" i="19" s="1"/>
  <c r="E327" i="19"/>
  <c r="E323" i="19" s="1"/>
  <c r="E322" i="19" s="1"/>
  <c r="G328" i="19"/>
  <c r="G325" i="19"/>
  <c r="G326" i="19"/>
  <c r="L310" i="19"/>
  <c r="L312" i="19"/>
  <c r="L309" i="19"/>
  <c r="K310" i="19"/>
  <c r="K312" i="19"/>
  <c r="K309" i="19"/>
  <c r="K308" i="19" s="1"/>
  <c r="K307" i="19" s="1"/>
  <c r="I311" i="19"/>
  <c r="H311" i="19"/>
  <c r="K311" i="19" s="1"/>
  <c r="F308" i="19"/>
  <c r="E308" i="19"/>
  <c r="L300" i="19"/>
  <c r="L301" i="19"/>
  <c r="L303" i="19"/>
  <c r="K300" i="19"/>
  <c r="K301" i="19"/>
  <c r="K303" i="19"/>
  <c r="F302" i="19"/>
  <c r="L302" i="19" s="1"/>
  <c r="E302" i="19"/>
  <c r="K302" i="19" s="1"/>
  <c r="G303" i="19"/>
  <c r="F299" i="19"/>
  <c r="E299" i="19"/>
  <c r="G301" i="19"/>
  <c r="G300" i="19"/>
  <c r="L293" i="19"/>
  <c r="L294" i="19"/>
  <c r="K293" i="19"/>
  <c r="K294" i="19"/>
  <c r="G293" i="19"/>
  <c r="G294" i="19"/>
  <c r="F292" i="19"/>
  <c r="E292" i="19"/>
  <c r="L252" i="19"/>
  <c r="L253" i="19"/>
  <c r="L254" i="19"/>
  <c r="L265" i="19"/>
  <c r="L274" i="19"/>
  <c r="L277" i="19"/>
  <c r="K252" i="19"/>
  <c r="K253" i="19"/>
  <c r="K254" i="19"/>
  <c r="K265" i="19"/>
  <c r="K274" i="19"/>
  <c r="K277" i="19"/>
  <c r="J277" i="19"/>
  <c r="I276" i="19"/>
  <c r="L276" i="19" s="1"/>
  <c r="H276" i="19"/>
  <c r="H275" i="19" s="1"/>
  <c r="K275" i="19" s="1"/>
  <c r="J274" i="19"/>
  <c r="I273" i="19"/>
  <c r="L273" i="19" s="1"/>
  <c r="H273" i="19"/>
  <c r="H272" i="19" s="1"/>
  <c r="J265" i="19"/>
  <c r="I264" i="19"/>
  <c r="I263" i="19" s="1"/>
  <c r="H264" i="19"/>
  <c r="H263" i="19" s="1"/>
  <c r="G252" i="19"/>
  <c r="G253" i="19"/>
  <c r="G254" i="19"/>
  <c r="F251" i="19"/>
  <c r="L251" i="19" s="1"/>
  <c r="E251" i="19"/>
  <c r="K251" i="19" s="1"/>
  <c r="L226" i="19"/>
  <c r="L227" i="19"/>
  <c r="L229" i="19"/>
  <c r="L231" i="19"/>
  <c r="L233" i="19"/>
  <c r="L235" i="19"/>
  <c r="L237" i="19"/>
  <c r="L241" i="19"/>
  <c r="L243" i="19"/>
  <c r="L247" i="19"/>
  <c r="K226" i="19"/>
  <c r="K227" i="19"/>
  <c r="K229" i="19"/>
  <c r="K231" i="19"/>
  <c r="K233" i="19"/>
  <c r="K235" i="19"/>
  <c r="K237" i="19"/>
  <c r="K241" i="19"/>
  <c r="K243" i="19"/>
  <c r="K247" i="19"/>
  <c r="J247" i="19"/>
  <c r="I246" i="19"/>
  <c r="K248" i="19"/>
  <c r="F242" i="19"/>
  <c r="L242" i="19" s="1"/>
  <c r="E242" i="19"/>
  <c r="K242" i="19" s="1"/>
  <c r="G243" i="19"/>
  <c r="F240" i="19"/>
  <c r="L240" i="19" s="1"/>
  <c r="E240" i="19"/>
  <c r="K240" i="19" s="1"/>
  <c r="G241" i="19"/>
  <c r="F236" i="19"/>
  <c r="L236" i="19" s="1"/>
  <c r="E236" i="19"/>
  <c r="K236" i="19" s="1"/>
  <c r="G237" i="19"/>
  <c r="F234" i="19"/>
  <c r="L234" i="19" s="1"/>
  <c r="E234" i="19"/>
  <c r="K234" i="19" s="1"/>
  <c r="G235" i="19"/>
  <c r="G233" i="19"/>
  <c r="F232" i="19"/>
  <c r="L232" i="19" s="1"/>
  <c r="E232" i="19"/>
  <c r="K232" i="19" s="1"/>
  <c r="G231" i="19"/>
  <c r="F230" i="19"/>
  <c r="L230" i="19" s="1"/>
  <c r="E230" i="19"/>
  <c r="K230" i="19" s="1"/>
  <c r="J229" i="19"/>
  <c r="I228" i="19"/>
  <c r="I225" i="19" s="1"/>
  <c r="H228" i="19"/>
  <c r="H225" i="19" s="1"/>
  <c r="G226" i="19"/>
  <c r="G227" i="19"/>
  <c r="F225" i="19"/>
  <c r="E225" i="19"/>
  <c r="L168" i="19"/>
  <c r="L169" i="19"/>
  <c r="L172" i="19"/>
  <c r="L173" i="19"/>
  <c r="L175" i="19"/>
  <c r="L176" i="19"/>
  <c r="L177" i="19"/>
  <c r="L179" i="19"/>
  <c r="L180" i="19"/>
  <c r="L181" i="19"/>
  <c r="L183" i="19"/>
  <c r="L185" i="19"/>
  <c r="L186" i="19"/>
  <c r="L187" i="19"/>
  <c r="L189" i="19"/>
  <c r="L191" i="19"/>
  <c r="L192" i="19"/>
  <c r="L193" i="19"/>
  <c r="L195" i="19"/>
  <c r="L196" i="19"/>
  <c r="L198" i="19"/>
  <c r="L200" i="19"/>
  <c r="L202" i="19"/>
  <c r="L204" i="19"/>
  <c r="L205" i="19"/>
  <c r="L206" i="19"/>
  <c r="L208" i="19"/>
  <c r="L215" i="19"/>
  <c r="L216" i="19"/>
  <c r="L217" i="19"/>
  <c r="L219" i="19"/>
  <c r="L221" i="19"/>
  <c r="K168" i="19"/>
  <c r="K169" i="19"/>
  <c r="K172" i="19"/>
  <c r="K173" i="19"/>
  <c r="K175" i="19"/>
  <c r="K176" i="19"/>
  <c r="K177" i="19"/>
  <c r="K179" i="19"/>
  <c r="K180" i="19"/>
  <c r="K181" i="19"/>
  <c r="K183" i="19"/>
  <c r="M183" i="19" s="1"/>
  <c r="K185" i="19"/>
  <c r="K186" i="19"/>
  <c r="K187" i="19"/>
  <c r="K189" i="19"/>
  <c r="K191" i="19"/>
  <c r="M191" i="19" s="1"/>
  <c r="K192" i="19"/>
  <c r="K193" i="19"/>
  <c r="K195" i="19"/>
  <c r="K196" i="19"/>
  <c r="K198" i="19"/>
  <c r="K200" i="19"/>
  <c r="K202" i="19"/>
  <c r="K204" i="19"/>
  <c r="K205" i="19"/>
  <c r="K206" i="19"/>
  <c r="K208" i="19"/>
  <c r="K215" i="19"/>
  <c r="K216" i="19"/>
  <c r="K217" i="19"/>
  <c r="K219" i="19"/>
  <c r="K221" i="19"/>
  <c r="F220" i="19"/>
  <c r="L220" i="19" s="1"/>
  <c r="E220" i="19"/>
  <c r="K220" i="19" s="1"/>
  <c r="G221" i="19"/>
  <c r="F218" i="19"/>
  <c r="L218" i="19" s="1"/>
  <c r="E218" i="19"/>
  <c r="K218" i="19" s="1"/>
  <c r="G219" i="19"/>
  <c r="F214" i="19"/>
  <c r="L214" i="19" s="1"/>
  <c r="E214" i="19"/>
  <c r="K214" i="19" s="1"/>
  <c r="G217" i="19"/>
  <c r="G216" i="19"/>
  <c r="G215" i="19"/>
  <c r="F207" i="19"/>
  <c r="L207" i="19" s="1"/>
  <c r="E207" i="19"/>
  <c r="K207" i="19" s="1"/>
  <c r="G208" i="19"/>
  <c r="F203" i="19"/>
  <c r="L203" i="19" s="1"/>
  <c r="E203" i="19"/>
  <c r="K203" i="19" s="1"/>
  <c r="G206" i="19"/>
  <c r="G205" i="19"/>
  <c r="G204" i="19"/>
  <c r="G202" i="19"/>
  <c r="F201" i="19"/>
  <c r="L201" i="19" s="1"/>
  <c r="E201" i="19"/>
  <c r="K201" i="19" s="1"/>
  <c r="G200" i="19"/>
  <c r="F199" i="19"/>
  <c r="L199" i="19" s="1"/>
  <c r="E199" i="19"/>
  <c r="K199" i="19" s="1"/>
  <c r="I197" i="19"/>
  <c r="L197" i="19" s="1"/>
  <c r="H197" i="19"/>
  <c r="J191" i="19"/>
  <c r="J198" i="19"/>
  <c r="F194" i="19"/>
  <c r="E194" i="19"/>
  <c r="G196" i="19"/>
  <c r="G195" i="19"/>
  <c r="F190" i="19"/>
  <c r="E190" i="19"/>
  <c r="I190" i="19"/>
  <c r="H190" i="19"/>
  <c r="G191" i="19"/>
  <c r="G192" i="19"/>
  <c r="G193" i="19"/>
  <c r="I184" i="19"/>
  <c r="H188" i="19"/>
  <c r="H184" i="19" s="1"/>
  <c r="J189" i="19"/>
  <c r="G185" i="19"/>
  <c r="G186" i="19"/>
  <c r="G187" i="19"/>
  <c r="F184" i="19"/>
  <c r="E184" i="19"/>
  <c r="J183" i="19"/>
  <c r="H182" i="19"/>
  <c r="H178" i="19" s="1"/>
  <c r="G179" i="19"/>
  <c r="G180" i="19"/>
  <c r="G181" i="19"/>
  <c r="F178" i="19"/>
  <c r="E178" i="19"/>
  <c r="J172" i="19"/>
  <c r="J175" i="19"/>
  <c r="I174" i="19"/>
  <c r="L174" i="19" s="1"/>
  <c r="H174" i="19"/>
  <c r="K174" i="19" s="1"/>
  <c r="I171" i="19"/>
  <c r="L171" i="19" s="1"/>
  <c r="H171" i="19"/>
  <c r="G173" i="19"/>
  <c r="G172" i="19"/>
  <c r="F170" i="19"/>
  <c r="E170" i="19"/>
  <c r="G171" i="19"/>
  <c r="G168" i="19"/>
  <c r="G169" i="19"/>
  <c r="F167" i="19"/>
  <c r="E167" i="19"/>
  <c r="L161" i="19"/>
  <c r="L162" i="19"/>
  <c r="L164" i="19"/>
  <c r="K161" i="19"/>
  <c r="K162" i="19"/>
  <c r="K164" i="19"/>
  <c r="F163" i="19"/>
  <c r="L163" i="19" s="1"/>
  <c r="E163" i="19"/>
  <c r="K163" i="19" s="1"/>
  <c r="G164" i="19"/>
  <c r="F160" i="19"/>
  <c r="L160" i="19" s="1"/>
  <c r="E160" i="19"/>
  <c r="G161" i="19"/>
  <c r="G162" i="19"/>
  <c r="L126" i="19"/>
  <c r="L127" i="19"/>
  <c r="L128" i="19"/>
  <c r="L129" i="19"/>
  <c r="L130" i="19"/>
  <c r="L132" i="19"/>
  <c r="L134" i="19"/>
  <c r="L136" i="19"/>
  <c r="L137" i="19"/>
  <c r="L138" i="19"/>
  <c r="L140" i="19"/>
  <c r="L142" i="19"/>
  <c r="L144" i="19"/>
  <c r="L146" i="19"/>
  <c r="L148" i="19"/>
  <c r="L153" i="19"/>
  <c r="L154" i="19"/>
  <c r="L155" i="19"/>
  <c r="L157" i="19"/>
  <c r="K126" i="19"/>
  <c r="K127" i="19"/>
  <c r="K128" i="19"/>
  <c r="K130" i="19"/>
  <c r="K132" i="19"/>
  <c r="K134" i="19"/>
  <c r="K136" i="19"/>
  <c r="K137" i="19"/>
  <c r="K138" i="19"/>
  <c r="K140" i="19"/>
  <c r="K142" i="19"/>
  <c r="K144" i="19"/>
  <c r="K146" i="19"/>
  <c r="K148" i="19"/>
  <c r="K153" i="19"/>
  <c r="K154" i="19"/>
  <c r="K155" i="19"/>
  <c r="K157" i="19"/>
  <c r="I156" i="19"/>
  <c r="F156" i="19"/>
  <c r="E156" i="19"/>
  <c r="K156" i="19" s="1"/>
  <c r="G157" i="19"/>
  <c r="J153" i="19"/>
  <c r="I152" i="19"/>
  <c r="H152" i="19"/>
  <c r="F152" i="19"/>
  <c r="E152" i="19"/>
  <c r="G155" i="19"/>
  <c r="G154" i="19"/>
  <c r="G153" i="19"/>
  <c r="F147" i="19"/>
  <c r="L147" i="19" s="1"/>
  <c r="E147" i="19"/>
  <c r="K147" i="19" s="1"/>
  <c r="G148" i="19"/>
  <c r="F145" i="19"/>
  <c r="L145" i="19" s="1"/>
  <c r="E145" i="19"/>
  <c r="K145" i="19" s="1"/>
  <c r="G146" i="19"/>
  <c r="I139" i="19"/>
  <c r="L139" i="19" s="1"/>
  <c r="H139" i="19"/>
  <c r="K139" i="19" s="1"/>
  <c r="F135" i="19"/>
  <c r="E135" i="19"/>
  <c r="G137" i="19"/>
  <c r="G138" i="19"/>
  <c r="G136" i="19"/>
  <c r="F143" i="19"/>
  <c r="L143" i="19" s="1"/>
  <c r="E143" i="19"/>
  <c r="K143" i="19" s="1"/>
  <c r="G144" i="19"/>
  <c r="F141" i="19"/>
  <c r="L141" i="19" s="1"/>
  <c r="E141" i="19"/>
  <c r="K141" i="19" s="1"/>
  <c r="G142" i="19"/>
  <c r="G134" i="19"/>
  <c r="F133" i="19"/>
  <c r="L133" i="19" s="1"/>
  <c r="E133" i="19"/>
  <c r="K133" i="19" s="1"/>
  <c r="G132" i="19"/>
  <c r="F131" i="19"/>
  <c r="E131" i="19"/>
  <c r="K131" i="19" s="1"/>
  <c r="J130" i="19"/>
  <c r="I125" i="19"/>
  <c r="H129" i="19"/>
  <c r="J129" i="19" s="1"/>
  <c r="F125" i="19"/>
  <c r="E125" i="19"/>
  <c r="G128" i="19"/>
  <c r="G127" i="19"/>
  <c r="G126" i="19"/>
  <c r="L70" i="19"/>
  <c r="L71" i="19"/>
  <c r="L72" i="19"/>
  <c r="L75" i="19"/>
  <c r="L76" i="19"/>
  <c r="L78" i="19"/>
  <c r="L79" i="19"/>
  <c r="L80" i="19"/>
  <c r="L84" i="19"/>
  <c r="L86" i="19"/>
  <c r="L87" i="19"/>
  <c r="L88" i="19"/>
  <c r="L92" i="19"/>
  <c r="L93" i="19"/>
  <c r="L94" i="19"/>
  <c r="L96" i="19"/>
  <c r="L98" i="19"/>
  <c r="L99" i="19"/>
  <c r="L100" i="19"/>
  <c r="L102" i="19"/>
  <c r="L103" i="19"/>
  <c r="L105" i="19"/>
  <c r="L106" i="19"/>
  <c r="L107" i="19"/>
  <c r="K70" i="19"/>
  <c r="K71" i="19"/>
  <c r="K72" i="19"/>
  <c r="K74" i="19"/>
  <c r="K75" i="19"/>
  <c r="K76" i="19"/>
  <c r="K78" i="19"/>
  <c r="K79" i="19"/>
  <c r="K80" i="19"/>
  <c r="K81" i="19"/>
  <c r="K84" i="19"/>
  <c r="K86" i="19"/>
  <c r="K87" i="19"/>
  <c r="K88" i="19"/>
  <c r="K92" i="19"/>
  <c r="K93" i="19"/>
  <c r="K94" i="19"/>
  <c r="K96" i="19"/>
  <c r="K98" i="19"/>
  <c r="K99" i="19"/>
  <c r="K100" i="19"/>
  <c r="K102" i="19"/>
  <c r="K103" i="19"/>
  <c r="K105" i="19"/>
  <c r="K106" i="19"/>
  <c r="K107" i="19"/>
  <c r="G107" i="19"/>
  <c r="L104" i="19"/>
  <c r="E104" i="19"/>
  <c r="K104" i="19" s="1"/>
  <c r="G106" i="19"/>
  <c r="G105" i="19"/>
  <c r="G102" i="19"/>
  <c r="G103" i="19"/>
  <c r="F101" i="19"/>
  <c r="E101" i="19"/>
  <c r="K101" i="19" s="1"/>
  <c r="I97" i="19"/>
  <c r="G99" i="19"/>
  <c r="G100" i="19"/>
  <c r="F97" i="19"/>
  <c r="E97" i="19"/>
  <c r="K97" i="19" s="1"/>
  <c r="G98" i="19"/>
  <c r="H250" i="19" l="1"/>
  <c r="H249" i="19" s="1"/>
  <c r="K272" i="19"/>
  <c r="L246" i="19"/>
  <c r="I224" i="19"/>
  <c r="I223" i="19" s="1"/>
  <c r="M310" i="19"/>
  <c r="E298" i="19"/>
  <c r="E297" i="19" s="1"/>
  <c r="F298" i="19"/>
  <c r="F297" i="19" s="1"/>
  <c r="K111" i="27"/>
  <c r="O104" i="27"/>
  <c r="G111" i="27"/>
  <c r="O57" i="27"/>
  <c r="O103" i="27"/>
  <c r="J111" i="27"/>
  <c r="L111" i="27"/>
  <c r="H111" i="27"/>
  <c r="O37" i="27"/>
  <c r="O48" i="27"/>
  <c r="M309" i="19"/>
  <c r="O19" i="27"/>
  <c r="M175" i="19"/>
  <c r="M303" i="19"/>
  <c r="L159" i="19"/>
  <c r="O36" i="27"/>
  <c r="L311" i="19"/>
  <c r="M311" i="19" s="1"/>
  <c r="J311" i="19"/>
  <c r="M312" i="19"/>
  <c r="J197" i="19"/>
  <c r="H170" i="19"/>
  <c r="L188" i="19"/>
  <c r="K225" i="19"/>
  <c r="E224" i="19"/>
  <c r="E223" i="19" s="1"/>
  <c r="L299" i="19"/>
  <c r="L298" i="19" s="1"/>
  <c r="K167" i="19"/>
  <c r="E166" i="19"/>
  <c r="E165" i="19" s="1"/>
  <c r="L225" i="19"/>
  <c r="L224" i="19" s="1"/>
  <c r="F224" i="19"/>
  <c r="L167" i="19"/>
  <c r="F166" i="19"/>
  <c r="K299" i="19"/>
  <c r="K298" i="19" s="1"/>
  <c r="E307" i="19"/>
  <c r="E306" i="19" s="1"/>
  <c r="F307" i="19"/>
  <c r="F306" i="19" s="1"/>
  <c r="L292" i="19"/>
  <c r="L291" i="19" s="1"/>
  <c r="F291" i="19"/>
  <c r="F290" i="19" s="1"/>
  <c r="K292" i="19"/>
  <c r="E291" i="19"/>
  <c r="E290" i="19" s="1"/>
  <c r="L101" i="19"/>
  <c r="M101" i="19" s="1"/>
  <c r="M247" i="19"/>
  <c r="M235" i="19"/>
  <c r="M243" i="19"/>
  <c r="K184" i="19"/>
  <c r="L190" i="19"/>
  <c r="M301" i="19"/>
  <c r="I194" i="19"/>
  <c r="L194" i="19" s="1"/>
  <c r="M254" i="19"/>
  <c r="M206" i="19"/>
  <c r="M201" i="19"/>
  <c r="M189" i="19"/>
  <c r="M251" i="19"/>
  <c r="M328" i="19"/>
  <c r="F250" i="19"/>
  <c r="L178" i="19"/>
  <c r="K190" i="19"/>
  <c r="M216" i="19"/>
  <c r="M205" i="19"/>
  <c r="M186" i="19"/>
  <c r="M324" i="19"/>
  <c r="M181" i="19"/>
  <c r="K273" i="19"/>
  <c r="M273" i="19" s="1"/>
  <c r="M155" i="19"/>
  <c r="M203" i="19"/>
  <c r="M221" i="19"/>
  <c r="M215" i="19"/>
  <c r="M173" i="19"/>
  <c r="M274" i="19"/>
  <c r="M252" i="19"/>
  <c r="M294" i="19"/>
  <c r="M202" i="19"/>
  <c r="M230" i="19"/>
  <c r="M241" i="19"/>
  <c r="M265" i="19"/>
  <c r="M326" i="19"/>
  <c r="M325" i="19"/>
  <c r="E22" i="28"/>
  <c r="H18" i="28"/>
  <c r="H22" i="28" s="1"/>
  <c r="I22" i="28"/>
  <c r="L22" i="28" s="1"/>
  <c r="L18" i="28"/>
  <c r="M220" i="19"/>
  <c r="M180" i="19"/>
  <c r="M168" i="19"/>
  <c r="M300" i="19"/>
  <c r="K129" i="19"/>
  <c r="M129" i="19" s="1"/>
  <c r="M148" i="19"/>
  <c r="M162" i="19"/>
  <c r="M217" i="19"/>
  <c r="M208" i="19"/>
  <c r="M198" i="19"/>
  <c r="M192" i="19"/>
  <c r="M187" i="19"/>
  <c r="M176" i="19"/>
  <c r="M169" i="19"/>
  <c r="H246" i="19"/>
  <c r="K246" i="19" s="1"/>
  <c r="M233" i="19"/>
  <c r="M227" i="19"/>
  <c r="L228" i="19"/>
  <c r="E250" i="19"/>
  <c r="E249" i="19" s="1"/>
  <c r="I272" i="19"/>
  <c r="M277" i="19"/>
  <c r="I308" i="19"/>
  <c r="I307" i="19" s="1"/>
  <c r="M253" i="19"/>
  <c r="E159" i="19"/>
  <c r="E158" i="19" s="1"/>
  <c r="M174" i="19"/>
  <c r="K178" i="19"/>
  <c r="M199" i="19"/>
  <c r="M207" i="19"/>
  <c r="M218" i="19"/>
  <c r="M195" i="19"/>
  <c r="M185" i="19"/>
  <c r="M179" i="19"/>
  <c r="M240" i="19"/>
  <c r="M237" i="19"/>
  <c r="M231" i="19"/>
  <c r="M226" i="19"/>
  <c r="J273" i="19"/>
  <c r="K327" i="19"/>
  <c r="M196" i="19"/>
  <c r="M242" i="19"/>
  <c r="H125" i="19"/>
  <c r="K152" i="19"/>
  <c r="M153" i="19"/>
  <c r="M137" i="19"/>
  <c r="K160" i="19"/>
  <c r="K159" i="19" s="1"/>
  <c r="M219" i="19"/>
  <c r="M204" i="19"/>
  <c r="M200" i="19"/>
  <c r="M193" i="19"/>
  <c r="M177" i="19"/>
  <c r="M172" i="19"/>
  <c r="M229" i="19"/>
  <c r="J264" i="19"/>
  <c r="K264" i="19"/>
  <c r="L264" i="19"/>
  <c r="M293" i="19"/>
  <c r="O18" i="27"/>
  <c r="O74" i="27"/>
  <c r="O75" i="27"/>
  <c r="O60" i="27"/>
  <c r="O56" i="27"/>
  <c r="O49" i="27"/>
  <c r="I111" i="27"/>
  <c r="O59" i="27"/>
  <c r="M214" i="19"/>
  <c r="M236" i="19"/>
  <c r="K263" i="19"/>
  <c r="K250" i="19" s="1"/>
  <c r="M232" i="19"/>
  <c r="M234" i="19"/>
  <c r="M302" i="19"/>
  <c r="M164" i="19"/>
  <c r="J228" i="19"/>
  <c r="J248" i="19"/>
  <c r="I275" i="19"/>
  <c r="L275" i="19" s="1"/>
  <c r="M275" i="19" s="1"/>
  <c r="L327" i="19"/>
  <c r="K171" i="19"/>
  <c r="M171" i="19" s="1"/>
  <c r="M142" i="19"/>
  <c r="J182" i="19"/>
  <c r="K182" i="19"/>
  <c r="K228" i="19"/>
  <c r="K276" i="19"/>
  <c r="M276" i="19" s="1"/>
  <c r="H308" i="19"/>
  <c r="H307" i="19" s="1"/>
  <c r="G327" i="19"/>
  <c r="F124" i="19"/>
  <c r="M161" i="19"/>
  <c r="H194" i="19"/>
  <c r="K194" i="19" s="1"/>
  <c r="K197" i="19"/>
  <c r="M197" i="19" s="1"/>
  <c r="L182" i="19"/>
  <c r="J276" i="19"/>
  <c r="K188" i="19"/>
  <c r="L263" i="19"/>
  <c r="L248" i="19"/>
  <c r="M248" i="19" s="1"/>
  <c r="M143" i="19"/>
  <c r="M130" i="19"/>
  <c r="M126" i="19"/>
  <c r="E124" i="19"/>
  <c r="E123" i="19" s="1"/>
  <c r="M139" i="19"/>
  <c r="M147" i="19"/>
  <c r="L156" i="19"/>
  <c r="M156" i="19" s="1"/>
  <c r="M136" i="19"/>
  <c r="J171" i="19"/>
  <c r="L125" i="19"/>
  <c r="I135" i="19"/>
  <c r="I124" i="19" s="1"/>
  <c r="M145" i="19"/>
  <c r="L152" i="19"/>
  <c r="M157" i="19"/>
  <c r="M146" i="19"/>
  <c r="M140" i="19"/>
  <c r="M134" i="19"/>
  <c r="M128" i="19"/>
  <c r="M163" i="19"/>
  <c r="J188" i="19"/>
  <c r="M133" i="19"/>
  <c r="M141" i="19"/>
  <c r="M154" i="19"/>
  <c r="M144" i="19"/>
  <c r="M138" i="19"/>
  <c r="M132" i="19"/>
  <c r="M127" i="19"/>
  <c r="G163" i="19"/>
  <c r="J174" i="19"/>
  <c r="M96" i="19"/>
  <c r="M80" i="19"/>
  <c r="J139" i="19"/>
  <c r="L131" i="19"/>
  <c r="M131" i="19" s="1"/>
  <c r="F159" i="19"/>
  <c r="F158" i="19" s="1"/>
  <c r="M71" i="19"/>
  <c r="M99" i="19"/>
  <c r="H135" i="19"/>
  <c r="K135" i="19" s="1"/>
  <c r="M70" i="19"/>
  <c r="M98" i="19"/>
  <c r="I170" i="19"/>
  <c r="L184" i="19"/>
  <c r="L97" i="19"/>
  <c r="M97" i="19" s="1"/>
  <c r="M100" i="19"/>
  <c r="M72" i="19"/>
  <c r="M86" i="19"/>
  <c r="M92" i="19"/>
  <c r="M107" i="19"/>
  <c r="M102" i="19"/>
  <c r="M105" i="19"/>
  <c r="M94" i="19"/>
  <c r="M87" i="19"/>
  <c r="M104" i="19"/>
  <c r="M75" i="19"/>
  <c r="M93" i="19"/>
  <c r="M103" i="19"/>
  <c r="M79" i="19"/>
  <c r="M84" i="19"/>
  <c r="M78" i="19"/>
  <c r="M106" i="19"/>
  <c r="M88" i="19"/>
  <c r="M76" i="19"/>
  <c r="F95" i="19"/>
  <c r="E95" i="19"/>
  <c r="K95" i="19" s="1"/>
  <c r="G96" i="19"/>
  <c r="F91" i="19"/>
  <c r="L91" i="19" s="1"/>
  <c r="E91" i="19"/>
  <c r="K91" i="19" s="1"/>
  <c r="G92" i="19"/>
  <c r="G93" i="19"/>
  <c r="G94" i="19"/>
  <c r="G86" i="19"/>
  <c r="G87" i="19"/>
  <c r="G88" i="19"/>
  <c r="F85" i="19"/>
  <c r="L85" i="19" s="1"/>
  <c r="E85" i="19"/>
  <c r="K85" i="19" s="1"/>
  <c r="G84" i="19"/>
  <c r="F83" i="19"/>
  <c r="E83" i="19"/>
  <c r="K83" i="19" s="1"/>
  <c r="L81" i="19"/>
  <c r="J78" i="19"/>
  <c r="J79" i="19"/>
  <c r="J80" i="19"/>
  <c r="H77" i="19"/>
  <c r="H73" i="19"/>
  <c r="G78" i="19"/>
  <c r="G79" i="19"/>
  <c r="G80" i="19"/>
  <c r="F77" i="19"/>
  <c r="E77" i="19"/>
  <c r="G76" i="19"/>
  <c r="G75" i="19"/>
  <c r="G74" i="19"/>
  <c r="F69" i="19"/>
  <c r="E69" i="19"/>
  <c r="G70" i="19"/>
  <c r="G71" i="19"/>
  <c r="G72" i="19"/>
  <c r="L24" i="19"/>
  <c r="L25" i="19"/>
  <c r="L26" i="19"/>
  <c r="L28" i="19"/>
  <c r="L29" i="19"/>
  <c r="L30" i="19"/>
  <c r="L32" i="19"/>
  <c r="L36" i="19"/>
  <c r="L38" i="19"/>
  <c r="L40" i="19"/>
  <c r="L42" i="19"/>
  <c r="L46" i="19"/>
  <c r="L49" i="19"/>
  <c r="L52" i="19"/>
  <c r="L56" i="19"/>
  <c r="L58" i="19"/>
  <c r="L62" i="19"/>
  <c r="K24" i="19"/>
  <c r="K25" i="19"/>
  <c r="K26" i="19"/>
  <c r="K28" i="19"/>
  <c r="K30" i="19"/>
  <c r="K32" i="19"/>
  <c r="K36" i="19"/>
  <c r="K38" i="19"/>
  <c r="K40" i="19"/>
  <c r="K42" i="19"/>
  <c r="K46" i="19"/>
  <c r="K49" i="19"/>
  <c r="K56" i="19"/>
  <c r="K58" i="19"/>
  <c r="K62" i="19"/>
  <c r="I48" i="19"/>
  <c r="L48" i="19" s="1"/>
  <c r="H48" i="19"/>
  <c r="K48" i="19" s="1"/>
  <c r="I45" i="19"/>
  <c r="L45" i="19" s="1"/>
  <c r="H45" i="19"/>
  <c r="K45" i="19" s="1"/>
  <c r="J46" i="19"/>
  <c r="J49" i="19"/>
  <c r="J38" i="19"/>
  <c r="I37" i="19"/>
  <c r="I35" i="19" s="1"/>
  <c r="H37" i="19"/>
  <c r="H35" i="19" s="1"/>
  <c r="J28" i="19"/>
  <c r="J152" i="19"/>
  <c r="J178" i="19"/>
  <c r="J190" i="19"/>
  <c r="J225" i="19"/>
  <c r="J263" i="19"/>
  <c r="L23" i="19"/>
  <c r="H27" i="19"/>
  <c r="H23" i="19" s="1"/>
  <c r="G24" i="19"/>
  <c r="G25" i="19"/>
  <c r="G26" i="19"/>
  <c r="F55" i="19"/>
  <c r="L55" i="19" s="1"/>
  <c r="E55" i="19"/>
  <c r="K55" i="19" s="1"/>
  <c r="G56" i="19"/>
  <c r="F61" i="19"/>
  <c r="L61" i="19" s="1"/>
  <c r="E61" i="19"/>
  <c r="K61" i="19" s="1"/>
  <c r="G62" i="19"/>
  <c r="F57" i="19"/>
  <c r="E57" i="19"/>
  <c r="G58" i="19"/>
  <c r="F51" i="19"/>
  <c r="L51" i="19" s="1"/>
  <c r="E51" i="19"/>
  <c r="K51" i="19" s="1"/>
  <c r="G52" i="19"/>
  <c r="F41" i="19"/>
  <c r="L41" i="19" s="1"/>
  <c r="E41" i="19"/>
  <c r="G42" i="19"/>
  <c r="F39" i="19"/>
  <c r="L39" i="19" s="1"/>
  <c r="E39" i="19"/>
  <c r="F35" i="19"/>
  <c r="E35" i="19"/>
  <c r="G36" i="19"/>
  <c r="G32" i="19"/>
  <c r="F31" i="19"/>
  <c r="E31" i="19"/>
  <c r="K31" i="19" s="1"/>
  <c r="E29" i="19"/>
  <c r="G30" i="19"/>
  <c r="G23" i="19"/>
  <c r="G40" i="19"/>
  <c r="G97" i="19"/>
  <c r="G101" i="19"/>
  <c r="G104" i="19"/>
  <c r="G125" i="19"/>
  <c r="G131" i="19"/>
  <c r="G133" i="19"/>
  <c r="G135" i="19"/>
  <c r="G141" i="19"/>
  <c r="G143" i="19"/>
  <c r="G145" i="19"/>
  <c r="G147" i="19"/>
  <c r="G152" i="19"/>
  <c r="G156" i="19"/>
  <c r="G160" i="19"/>
  <c r="G167" i="19"/>
  <c r="G170" i="19"/>
  <c r="G176" i="19"/>
  <c r="G178" i="19"/>
  <c r="G184" i="19"/>
  <c r="G190" i="19"/>
  <c r="G194" i="19"/>
  <c r="G199" i="19"/>
  <c r="G201" i="19"/>
  <c r="G203" i="19"/>
  <c r="G207" i="19"/>
  <c r="G214" i="19"/>
  <c r="G218" i="19"/>
  <c r="G220" i="19"/>
  <c r="G225" i="19"/>
  <c r="G230" i="19"/>
  <c r="G232" i="19"/>
  <c r="G234" i="19"/>
  <c r="G236" i="19"/>
  <c r="G240" i="19"/>
  <c r="G242" i="19"/>
  <c r="G251" i="19"/>
  <c r="G292" i="19"/>
  <c r="G299" i="19"/>
  <c r="G302" i="19"/>
  <c r="G308" i="19"/>
  <c r="G324" i="19"/>
  <c r="I250" i="19" l="1"/>
  <c r="N111" i="27"/>
  <c r="K166" i="19"/>
  <c r="K224" i="19"/>
  <c r="K223" i="19" s="1"/>
  <c r="K170" i="19"/>
  <c r="H166" i="19"/>
  <c r="H165" i="19" s="1"/>
  <c r="K125" i="19"/>
  <c r="H124" i="19"/>
  <c r="H123" i="19" s="1"/>
  <c r="H224" i="19"/>
  <c r="L272" i="19"/>
  <c r="I249" i="19"/>
  <c r="J249" i="19" s="1"/>
  <c r="K23" i="19"/>
  <c r="H22" i="19"/>
  <c r="I22" i="19"/>
  <c r="L69" i="19"/>
  <c r="L57" i="19"/>
  <c r="F22" i="19"/>
  <c r="K57" i="19"/>
  <c r="E22" i="19"/>
  <c r="K22" i="19" s="1"/>
  <c r="M188" i="19"/>
  <c r="L308" i="19"/>
  <c r="L307" i="19" s="1"/>
  <c r="H306" i="19"/>
  <c r="K323" i="19"/>
  <c r="K322" i="19" s="1"/>
  <c r="K158" i="19"/>
  <c r="K306" i="19"/>
  <c r="K291" i="19"/>
  <c r="K290" i="19" s="1"/>
  <c r="M167" i="19"/>
  <c r="K297" i="19"/>
  <c r="L297" i="19"/>
  <c r="J308" i="19"/>
  <c r="M225" i="19"/>
  <c r="H68" i="19"/>
  <c r="H67" i="19" s="1"/>
  <c r="M299" i="19"/>
  <c r="M246" i="19"/>
  <c r="H21" i="19"/>
  <c r="M292" i="19"/>
  <c r="M182" i="19"/>
  <c r="M152" i="19"/>
  <c r="M190" i="19"/>
  <c r="M184" i="19"/>
  <c r="M263" i="19"/>
  <c r="M178" i="19"/>
  <c r="K29" i="19"/>
  <c r="M29" i="19" s="1"/>
  <c r="J194" i="19"/>
  <c r="J246" i="19"/>
  <c r="M160" i="19"/>
  <c r="M228" i="19"/>
  <c r="J275" i="19"/>
  <c r="J170" i="19"/>
  <c r="M327" i="19"/>
  <c r="J125" i="19"/>
  <c r="J272" i="19"/>
  <c r="M264" i="19"/>
  <c r="H223" i="19"/>
  <c r="J223" i="19" s="1"/>
  <c r="M111" i="27"/>
  <c r="O111" i="27" s="1"/>
  <c r="K249" i="19"/>
  <c r="M194" i="19"/>
  <c r="L290" i="19"/>
  <c r="L135" i="19"/>
  <c r="M135" i="19" s="1"/>
  <c r="J184" i="19"/>
  <c r="L170" i="19"/>
  <c r="L166" i="19" s="1"/>
  <c r="L223" i="19"/>
  <c r="L323" i="19"/>
  <c r="G39" i="19"/>
  <c r="G85" i="19"/>
  <c r="I166" i="19"/>
  <c r="I165" i="19" s="1"/>
  <c r="J165" i="19" s="1"/>
  <c r="L158" i="19"/>
  <c r="J135" i="19"/>
  <c r="L37" i="19"/>
  <c r="G61" i="19"/>
  <c r="L35" i="19"/>
  <c r="G41" i="19"/>
  <c r="J48" i="19"/>
  <c r="K73" i="19"/>
  <c r="K77" i="19"/>
  <c r="I77" i="19"/>
  <c r="L77" i="19" s="1"/>
  <c r="K37" i="19"/>
  <c r="G91" i="19"/>
  <c r="G29" i="19"/>
  <c r="K35" i="19"/>
  <c r="J37" i="19"/>
  <c r="F82" i="19"/>
  <c r="L82" i="19" s="1"/>
  <c r="L83" i="19"/>
  <c r="M83" i="19" s="1"/>
  <c r="M85" i="19"/>
  <c r="M91" i="19"/>
  <c r="K69" i="19"/>
  <c r="G73" i="19"/>
  <c r="J74" i="19"/>
  <c r="L74" i="19"/>
  <c r="M74" i="19" s="1"/>
  <c r="G95" i="19"/>
  <c r="L95" i="19"/>
  <c r="M95" i="19" s="1"/>
  <c r="E82" i="19"/>
  <c r="K82" i="19" s="1"/>
  <c r="M52" i="19"/>
  <c r="M42" i="19"/>
  <c r="M40" i="19"/>
  <c r="M32" i="19"/>
  <c r="M24" i="19"/>
  <c r="M49" i="19"/>
  <c r="M36" i="19"/>
  <c r="M28" i="19"/>
  <c r="M61" i="19"/>
  <c r="G83" i="19"/>
  <c r="G57" i="19"/>
  <c r="M45" i="19"/>
  <c r="M58" i="19"/>
  <c r="G77" i="19"/>
  <c r="G55" i="19"/>
  <c r="M56" i="19"/>
  <c r="M48" i="19"/>
  <c r="M26" i="19"/>
  <c r="G69" i="19"/>
  <c r="J27" i="19"/>
  <c r="J45" i="19"/>
  <c r="K27" i="19"/>
  <c r="M62" i="19"/>
  <c r="M46" i="19"/>
  <c r="M38" i="19"/>
  <c r="M30" i="19"/>
  <c r="M25" i="19"/>
  <c r="M51" i="19"/>
  <c r="J35" i="19"/>
  <c r="M55" i="19"/>
  <c r="L27" i="19"/>
  <c r="J23" i="19"/>
  <c r="I73" i="19"/>
  <c r="K41" i="19"/>
  <c r="M41" i="19" s="1"/>
  <c r="L31" i="19"/>
  <c r="M31" i="19" s="1"/>
  <c r="G31" i="19"/>
  <c r="K39" i="19"/>
  <c r="M39" i="19" s="1"/>
  <c r="G51" i="19"/>
  <c r="G35" i="19"/>
  <c r="K336" i="19" l="1"/>
  <c r="K337" i="19" s="1"/>
  <c r="M125" i="19"/>
  <c r="K124" i="19"/>
  <c r="K123" i="19" s="1"/>
  <c r="M272" i="19"/>
  <c r="L250" i="19"/>
  <c r="L249" i="19" s="1"/>
  <c r="M249" i="19" s="1"/>
  <c r="L124" i="19"/>
  <c r="K68" i="19"/>
  <c r="M291" i="19"/>
  <c r="L22" i="19"/>
  <c r="E68" i="19"/>
  <c r="E67" i="19" s="1"/>
  <c r="M57" i="19"/>
  <c r="F68" i="19"/>
  <c r="M298" i="19"/>
  <c r="M297" i="19"/>
  <c r="M308" i="19"/>
  <c r="M158" i="19"/>
  <c r="M159" i="19"/>
  <c r="M290" i="19"/>
  <c r="E21" i="19"/>
  <c r="K21" i="19" s="1"/>
  <c r="L306" i="19"/>
  <c r="M306" i="19" s="1"/>
  <c r="M307" i="19"/>
  <c r="I68" i="19"/>
  <c r="I67" i="19" s="1"/>
  <c r="J250" i="19"/>
  <c r="I306" i="19"/>
  <c r="M223" i="19"/>
  <c r="M224" i="19"/>
  <c r="H329" i="19"/>
  <c r="H334" i="19" s="1"/>
  <c r="F67" i="19"/>
  <c r="J224" i="19"/>
  <c r="L322" i="19"/>
  <c r="M322" i="19" s="1"/>
  <c r="M323" i="19"/>
  <c r="M170" i="19"/>
  <c r="L165" i="19"/>
  <c r="K165" i="19"/>
  <c r="J77" i="19"/>
  <c r="M23" i="19"/>
  <c r="J166" i="19"/>
  <c r="M35" i="19"/>
  <c r="M27" i="19"/>
  <c r="M37" i="19"/>
  <c r="M77" i="19"/>
  <c r="M69" i="19"/>
  <c r="L73" i="19"/>
  <c r="L336" i="19" s="1"/>
  <c r="M82" i="19"/>
  <c r="G82" i="19"/>
  <c r="J73" i="19"/>
  <c r="I123" i="19"/>
  <c r="J123" i="19" s="1"/>
  <c r="J124" i="19"/>
  <c r="G323" i="19"/>
  <c r="G307" i="19"/>
  <c r="G298" i="19"/>
  <c r="G291" i="19"/>
  <c r="G250" i="19"/>
  <c r="G224" i="19"/>
  <c r="G166" i="19"/>
  <c r="G159" i="19"/>
  <c r="G124" i="19"/>
  <c r="G22" i="19"/>
  <c r="M250" i="19" l="1"/>
  <c r="M124" i="19"/>
  <c r="L68" i="19"/>
  <c r="L67" i="19" s="1"/>
  <c r="L337" i="19"/>
  <c r="E329" i="19"/>
  <c r="E334" i="19" s="1"/>
  <c r="L123" i="19"/>
  <c r="M123" i="19" s="1"/>
  <c r="M166" i="19"/>
  <c r="M165" i="19"/>
  <c r="J67" i="19"/>
  <c r="M22" i="19"/>
  <c r="G68" i="19"/>
  <c r="K67" i="19"/>
  <c r="K334" i="19" s="1"/>
  <c r="M73" i="19"/>
  <c r="J68" i="19"/>
  <c r="F123" i="19"/>
  <c r="G123" i="19" s="1"/>
  <c r="F165" i="19"/>
  <c r="G165" i="19" s="1"/>
  <c r="F249" i="19"/>
  <c r="G249" i="19" s="1"/>
  <c r="G297" i="19"/>
  <c r="G322" i="19"/>
  <c r="G158" i="19"/>
  <c r="F223" i="19"/>
  <c r="G223" i="19" s="1"/>
  <c r="G290" i="19"/>
  <c r="G306" i="19"/>
  <c r="G67" i="19"/>
  <c r="I21" i="19"/>
  <c r="J21" i="19" s="1"/>
  <c r="J22" i="19"/>
  <c r="F21" i="19"/>
  <c r="G28" i="23"/>
  <c r="G25" i="23" s="1"/>
  <c r="H21" i="23"/>
  <c r="H28" i="23" s="1"/>
  <c r="H25" i="23" s="1"/>
  <c r="G18" i="23"/>
  <c r="G17" i="23" s="1"/>
  <c r="G24" i="23" s="1"/>
  <c r="F329" i="19" l="1"/>
  <c r="G329" i="19" s="1"/>
  <c r="E28" i="23"/>
  <c r="C28" i="23" s="1"/>
  <c r="C21" i="23"/>
  <c r="I329" i="19"/>
  <c r="I334" i="19" s="1"/>
  <c r="M67" i="19"/>
  <c r="M68" i="19"/>
  <c r="G21" i="19"/>
  <c r="L21" i="19"/>
  <c r="H18" i="23"/>
  <c r="H17" i="23" s="1"/>
  <c r="H24" i="23" s="1"/>
  <c r="E26" i="23"/>
  <c r="C26" i="23" s="1"/>
  <c r="G22" i="23"/>
  <c r="G29" i="23" s="1"/>
  <c r="J329" i="19" l="1"/>
  <c r="M21" i="19"/>
  <c r="L329" i="19"/>
  <c r="M329" i="19" s="1"/>
  <c r="E25" i="23"/>
  <c r="C25" i="23" s="1"/>
  <c r="C18" i="23"/>
  <c r="F334" i="19"/>
  <c r="H22" i="23"/>
  <c r="H29" i="23" s="1"/>
  <c r="E17" i="23"/>
  <c r="C17" i="23" s="1"/>
  <c r="L334" i="19" l="1"/>
  <c r="E24" i="23"/>
  <c r="C24" i="23" s="1"/>
  <c r="E22" i="23"/>
  <c r="C22" i="23" s="1"/>
  <c r="E29" i="23" l="1"/>
  <c r="C29" i="23" s="1"/>
</calcChain>
</file>

<file path=xl/sharedStrings.xml><?xml version="1.0" encoding="utf-8"?>
<sst xmlns="http://schemas.openxmlformats.org/spreadsheetml/2006/main" count="1856" uniqueCount="710">
  <si>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</si>
  <si>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</si>
  <si>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</si>
  <si>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</si>
  <si>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</si>
  <si>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</si>
  <si>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</si>
  <si>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</si>
  <si>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</si>
  <si>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</si>
  <si>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</si>
  <si>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</si>
  <si>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</si>
  <si>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</si>
  <si>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</si>
  <si>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</si>
  <si>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</si>
  <si>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</si>
  <si>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</si>
  <si>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</si>
  <si>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</si>
  <si>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</si>
  <si>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</si>
  <si>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</si>
  <si>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</si>
  <si>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</si>
  <si>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</si>
  <si>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</si>
  <si>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</si>
  <si>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</si>
  <si>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</si>
  <si>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</si>
  <si>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</si>
  <si>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</si>
  <si>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</si>
  <si>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</si>
  <si>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</si>
  <si>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</si>
  <si>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</si>
  <si>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</si>
  <si>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</si>
  <si>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</si>
  <si>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</si>
  <si>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</si>
  <si>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</si>
  <si>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</si>
  <si>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</si>
  <si>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</si>
  <si>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</si>
  <si>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</si>
  <si>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</si>
  <si>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</si>
  <si>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</si>
  <si>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</si>
  <si>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</si>
  <si>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</si>
  <si>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</si>
  <si>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</si>
  <si>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</si>
  <si>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</si>
  <si>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</si>
  <si>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</si>
  <si>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</si>
  <si>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</si>
  <si>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</si>
  <si>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</si>
  <si>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</si>
  <si>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</si>
  <si>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</si>
  <si>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</si>
  <si>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</si>
  <si>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</si>
  <si>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</si>
  <si>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</si>
  <si>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</si>
  <si>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</si>
  <si>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</si>
  <si>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</si>
  <si>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</si>
  <si>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</si>
  <si>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</si>
  <si>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</si>
  <si>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</si>
  <si>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</si>
  <si>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</si>
  <si>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</si>
  <si>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</si>
  <si>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</si>
  <si>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</si>
  <si>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</si>
  <si>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</si>
  <si>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</si>
  <si>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</si>
  <si>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</si>
  <si>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</si>
  <si>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</si>
  <si>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</si>
  <si>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</si>
  <si>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</si>
  <si>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</si>
  <si>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</si>
  <si>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</si>
  <si>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</si>
  <si>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</si>
  <si>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</si>
  <si>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</si>
  <si>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</si>
  <si>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</si>
  <si>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</si>
  <si>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</si>
  <si>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</si>
  <si>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</si>
  <si>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</si>
  <si>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</si>
  <si>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</si>
  <si>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</si>
  <si>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</si>
  <si>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</si>
  <si>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</si>
  <si>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</si>
  <si>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</si>
  <si>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</si>
  <si>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</si>
  <si>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</si>
  <si>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</si>
  <si>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</si>
  <si>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</si>
  <si>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</si>
  <si>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</si>
  <si>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</si>
  <si>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</si>
  <si>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</si>
  <si>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</si>
  <si>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</si>
  <si>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</si>
  <si>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</si>
  <si>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</si>
  <si>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</si>
  <si>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</si>
  <si>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</si>
  <si>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</si>
  <si>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</si>
  <si>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</si>
  <si>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</si>
  <si>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</si>
  <si>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</si>
  <si>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</si>
  <si>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</si>
  <si>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</si>
  <si>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</si>
  <si>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</si>
  <si>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</si>
  <si>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</si>
  <si>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</si>
  <si>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</si>
  <si>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</si>
  <si>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</si>
  <si>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</si>
  <si>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</si>
  <si>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</si>
  <si>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</si>
  <si>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</si>
  <si>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</si>
  <si>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</si>
  <si>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</si>
  <si>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</si>
  <si>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</si>
  <si>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</si>
  <si>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</si>
  <si>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</si>
  <si>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</si>
  <si>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</si>
  <si>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</si>
  <si>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</si>
  <si>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</si>
  <si>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</si>
  <si>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</si>
  <si>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</si>
  <si>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</si>
  <si>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</si>
  <si>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</si>
  <si>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</si>
  <si>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</si>
  <si>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</si>
  <si>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</si>
  <si>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</si>
  <si>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</si>
  <si>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</si>
  <si>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</si>
  <si>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</si>
  <si>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</si>
  <si>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</si>
  <si>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</si>
  <si>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</si>
  <si>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</si>
  <si>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</si>
  <si>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</si>
  <si>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</si>
  <si>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</si>
  <si>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</si>
  <si>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</si>
  <si>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</si>
  <si>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</si>
  <si>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</si>
  <si>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</si>
  <si>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</si>
  <si>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</si>
  <si>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</si>
  <si>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</si>
  <si>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</si>
  <si>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</si>
  <si>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</si>
  <si>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</si>
  <si>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</si>
  <si>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</si>
  <si>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</si>
  <si>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</si>
  <si>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</si>
  <si>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</si>
  <si>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</si>
  <si>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</si>
  <si>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</si>
  <si>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</si>
  <si>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</si>
  <si>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</si>
  <si>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</si>
  <si>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</si>
  <si>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</si>
  <si>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</si>
  <si>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</si>
  <si>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</si>
  <si>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</si>
  <si>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</si>
  <si>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</si>
  <si>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</si>
  <si>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</si>
  <si>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</si>
  <si>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</si>
  <si>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</si>
  <si>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</si>
  <si>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</si>
  <si>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</si>
  <si>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</si>
  <si>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</si>
  <si>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</si>
  <si>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</si>
  <si>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</si>
  <si>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</si>
  <si>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</si>
  <si>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</si>
  <si>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</si>
  <si>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</si>
  <si>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</si>
  <si>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</si>
  <si>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</si>
  <si>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</si>
  <si>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</si>
  <si>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</si>
  <si>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</si>
  <si>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</si>
  <si>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</si>
  <si>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</si>
  <si>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</si>
  <si>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</si>
  <si>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</si>
  <si>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</si>
  <si>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</si>
  <si>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</si>
  <si>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</si>
  <si>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</si>
  <si>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</si>
  <si>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</si>
  <si>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</si>
  <si>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</si>
  <si>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</si>
  <si>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</si>
  <si>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</si>
  <si>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</si>
  <si>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</si>
  <si>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</si>
  <si>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</si>
  <si>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</si>
  <si>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</si>
  <si>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</si>
  <si>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</si>
  <si>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</si>
  <si>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</si>
  <si>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</si>
  <si>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</si>
  <si>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</si>
  <si>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</si>
  <si>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</si>
  <si>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</si>
  <si>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</si>
  <si>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</si>
  <si>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</si>
  <si>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коригування проектної документації</t>
  </si>
  <si>
    <t>х</t>
  </si>
  <si>
    <t>2021-2024 роки</t>
  </si>
  <si>
    <t xml:space="preserve"> проектні роботи</t>
  </si>
  <si>
    <t>1517322</t>
  </si>
  <si>
    <t>7322</t>
  </si>
  <si>
    <t>0443</t>
  </si>
  <si>
    <t>коригування проектно-вишукувальної документації</t>
  </si>
  <si>
    <t>Будівництво  медичних установ та закладів</t>
  </si>
  <si>
    <t>Програма розвитку інфраструктури Южненської міської територіальної громади на 2020-2024 роки</t>
  </si>
  <si>
    <t>Рішення ЮМР від 07.12.2022року №1177-VIIІ з внесеними змінами від  14.12.2023 року № 1602-VIII, шляхом викладення у новій редакції</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</si>
  <si>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</si>
  <si>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проектно-вишукувальні роботи</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</si>
  <si>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</si>
  <si>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</si>
  <si>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</si>
  <si>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</si>
  <si>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</si>
  <si>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</si>
  <si>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</si>
  <si>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</si>
  <si>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</si>
  <si>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</si>
  <si>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</si>
  <si>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</si>
  <si>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</si>
  <si>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</si>
  <si>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</si>
  <si>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</si>
  <si>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</si>
  <si>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</si>
  <si>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</si>
  <si>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</si>
  <si>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</si>
  <si>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</si>
  <si>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</si>
  <si>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</si>
  <si>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</si>
  <si>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</si>
  <si>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</si>
  <si>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</si>
  <si>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</si>
  <si>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</si>
  <si>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</si>
  <si>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</si>
  <si>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</si>
  <si>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</si>
  <si>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</si>
  <si>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</si>
  <si>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</si>
  <si>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</si>
  <si>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</si>
  <si>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</si>
  <si>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</si>
  <si>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</si>
  <si>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</si>
  <si>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</si>
  <si>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</si>
  <si>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</si>
  <si>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</si>
  <si>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</si>
  <si>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</si>
  <si>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</si>
  <si>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</si>
  <si>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</si>
  <si>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</si>
  <si>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</si>
  <si>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</si>
  <si>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</si>
  <si>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</si>
  <si>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</si>
  <si>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</si>
  <si>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</si>
  <si>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</si>
  <si>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</si>
  <si>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</si>
  <si>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</si>
  <si>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</si>
  <si>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</si>
  <si>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</si>
  <si>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</si>
  <si>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</si>
  <si>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</si>
  <si>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</si>
  <si>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</si>
  <si>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</si>
  <si>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</si>
  <si>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</si>
  <si>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</si>
  <si>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</si>
  <si>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</si>
  <si>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</si>
  <si>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</si>
  <si>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</si>
  <si>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</si>
  <si>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</si>
  <si>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</si>
  <si>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</si>
  <si>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</si>
  <si>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</si>
  <si>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</si>
  <si>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</si>
  <si>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</si>
  <si>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</si>
  <si>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</si>
  <si>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</si>
  <si>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</si>
  <si>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</si>
  <si>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</si>
  <si>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</si>
  <si>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</si>
  <si>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</si>
  <si>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</si>
  <si>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</si>
  <si>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</si>
  <si>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</si>
  <si>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</si>
  <si>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</si>
  <si>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</si>
  <si>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</si>
  <si>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</si>
  <si>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</si>
  <si>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</si>
  <si>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</si>
  <si>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</si>
  <si>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</si>
  <si>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</si>
  <si>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</si>
  <si>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</si>
  <si>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</si>
  <si>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</si>
  <si>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</si>
  <si>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</si>
  <si>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</si>
  <si>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</si>
  <si>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</si>
  <si>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</si>
  <si>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</si>
  <si>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Бюджетні позички суб'єктам господарювання та їх повернення</t>
  </si>
  <si>
    <t>Повернення бюджетних позичок, наданих суб'єктам господарювання</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</si>
  <si>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</si>
  <si>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</si>
  <si>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</si>
  <si>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</si>
  <si>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</si>
  <si>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</si>
  <si>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</si>
  <si>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</si>
  <si>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</si>
  <si>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</si>
  <si>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</si>
  <si>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</si>
  <si>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</si>
  <si>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</si>
  <si>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</si>
  <si>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</si>
  <si>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</si>
  <si>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</si>
  <si>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</si>
  <si>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</si>
  <si>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</si>
  <si>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</si>
  <si>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</si>
  <si>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Затверджено на 2024 рік з урахуванням внесених змін</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</si>
  <si>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</si>
  <si>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</si>
  <si>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</si>
  <si>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</si>
  <si>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</si>
  <si>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</si>
  <si>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</si>
  <si>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оплата праці з нарахуваннями</t>
  </si>
  <si>
    <t>оплата комунальних послуг</t>
  </si>
  <si>
    <t>бюджет розвитку</t>
  </si>
  <si>
    <t>видатки розвитку</t>
  </si>
  <si>
    <t xml:space="preserve">Придбання пластикових сміттєприймальних контейнерів, об'ємом 240 л (3 шт)                                         </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</si>
  <si>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</si>
  <si>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</si>
  <si>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</si>
  <si>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</si>
  <si>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</si>
  <si>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</si>
  <si>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</si>
  <si>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</si>
  <si>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</si>
  <si>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</si>
  <si>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</si>
  <si>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Затверджено на 2024  рік з урахув. змін</t>
  </si>
  <si>
    <t xml:space="preserve">Виконавчий комітет Южненської міської ради  Одеського району Одеської області </t>
  </si>
  <si>
    <t xml:space="preserve">Управління освіти Южненської міської ради Одеського району Одеської області </t>
  </si>
  <si>
    <t>0</t>
  </si>
  <si>
    <t xml:space="preserve">Управління соціальної політики Южненської міської ради Одеського району Одеської області </t>
  </si>
  <si>
    <t xml:space="preserve">Управління праці та соціального захисту населення Южненської міської ради Одеського району Одеської області </t>
  </si>
  <si>
    <t>1516030</t>
  </si>
  <si>
    <t>Додаток 4</t>
  </si>
  <si>
    <t xml:space="preserve">до  рішення Южненської міської ради </t>
  </si>
  <si>
    <t xml:space="preserve">Затверджено на 2024 рік   </t>
  </si>
  <si>
    <t>Додаток 7</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</si>
  <si>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</si>
  <si>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</si>
  <si>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</si>
  <si>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</si>
  <si>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</si>
  <si>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</si>
  <si>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</si>
  <si>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</si>
  <si>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Рентна плата за користування надрами загальнодержавного значення</t>
  </si>
  <si>
    <t>місцевого бюджету у 2024 році</t>
  </si>
  <si>
    <t xml:space="preserve">Секретар Южненської міської ради                                                                                                       Ігор ЧУГУННИКОВ                                                      </t>
  </si>
  <si>
    <t>І. ТРАНФЕРТИ ДО ЗАГАЛЬНОГО ФОНДУ БЮДЖЕТУ</t>
  </si>
  <si>
    <t>ІІ. ТРАНСФЕРТИ ДО СПЕЦІАЛЬНОГО ФОНДУ БЮДЖЕТУ</t>
  </si>
  <si>
    <t>Затверджено на 2024  рік з урахуванням внесених змін</t>
  </si>
  <si>
    <t>Додаток 3</t>
  </si>
  <si>
    <t>Додаток 5</t>
  </si>
  <si>
    <t>Виконано за І півріччя 2024 року</t>
  </si>
  <si>
    <t>0219800</t>
  </si>
  <si>
    <t>Субвенція з місцевого бюджету державному бюджету на виконання програм соціально-економічного розвитку регіонів</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</si>
  <si>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</si>
  <si>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</si>
  <si>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</si>
  <si>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</si>
  <si>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</si>
  <si>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</si>
  <si>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</si>
  <si>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t>Інші заходи, пов'язані з економічною діяльністю</t>
  </si>
  <si>
    <t>Забезпечення збору та вивезення сміття і відходів</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</si>
  <si>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</si>
  <si>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</si>
  <si>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Надання загальної середньої освіти закладами загальної середньої освіти за рахунок коштів місцевого бюджету</t>
  </si>
  <si>
    <r>
      <t>Будівництво</t>
    </r>
    <r>
      <rPr>
        <sz val="12"/>
        <color rgb="FF333333"/>
        <rFont val="Times New Roman"/>
        <family val="1"/>
        <charset val="204"/>
      </rPr>
      <t>  установ та закладів культури</t>
    </r>
  </si>
  <si>
    <r>
      <t>Будівництво</t>
    </r>
    <r>
      <rPr>
        <sz val="12"/>
        <color rgb="FF333333"/>
        <rFont val="Times New Roman"/>
        <family val="1"/>
        <charset val="204"/>
      </rPr>
      <t> інших об'єктів комунальної власності</t>
    </r>
  </si>
  <si>
    <t>Інша діяльність у сфері державного управління</t>
  </si>
  <si>
    <t>Інші заходи у сфері зв'язку, телекомунікації та інформатики</t>
  </si>
  <si>
    <t>9800</t>
  </si>
  <si>
    <t>Капітальні трансферти органам державного управління інших рівнів</t>
  </si>
  <si>
    <t>1511021</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</si>
  <si>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</si>
  <si>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</si>
  <si>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</si>
  <si>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</si>
  <si>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</si>
  <si>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</si>
  <si>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</si>
  <si>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2020,2023-2024 роки</t>
  </si>
  <si>
    <t xml:space="preserve">проектні роботи </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</si>
  <si>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</si>
  <si>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</si>
  <si>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</si>
  <si>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</si>
  <si>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</si>
  <si>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</si>
  <si>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</si>
  <si>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</si>
  <si>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</si>
  <si>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</si>
  <si>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</si>
  <si>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</si>
  <si>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</si>
  <si>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</si>
  <si>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</si>
  <si>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</si>
  <si>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</si>
  <si>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</si>
  <si>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</si>
  <si>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</si>
  <si>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</si>
  <si>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</si>
  <si>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 xml:space="preserve">Секретар Южненської міської ради                                                                                                                                                       Ігор ЧУГУННИКОВ                                                         </t>
  </si>
  <si>
    <t>Дотації з місцевих бюджетів іншим місцевим бюджетам</t>
  </si>
  <si>
    <t>Інші дотації з місцевого бюджету</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</si>
  <si>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</si>
  <si>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</si>
  <si>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</si>
  <si>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41057700</t>
  </si>
  <si>
    <t>збільшення у 135 разів</t>
  </si>
  <si>
    <t>до  рішення Южненської міської ради</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</si>
  <si>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</si>
  <si>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</si>
  <si>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</si>
  <si>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</si>
  <si>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</si>
  <si>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</si>
  <si>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</si>
  <si>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</si>
  <si>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</si>
  <si>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</si>
  <si>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</si>
  <si>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</si>
  <si>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</si>
  <si>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</si>
  <si>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ВСЬОГО</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</si>
  <si>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</si>
  <si>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</si>
  <si>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29.03.2024 року № 1680-VIІІ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</si>
  <si>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</si>
  <si>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</si>
  <si>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</si>
  <si>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</si>
  <si>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Рішення ЮМР від 22.07.2021 року № 476-VІІІ з внесеними змінами від 06.06.2024 року  № 1728-VIIІ, шляхом викладення у новій редакції</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</si>
  <si>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</si>
  <si>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</si>
  <si>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Управління архітектури Южненської міської ради Одеського району Одеської області</t>
  </si>
  <si>
    <t>1616014</t>
  </si>
  <si>
    <t>Рішення ЮМР від 07.03.2023 року № 1299-VIIІ з внесеними змінами від 06.06.2024 року № 1732-VIII, шляхом викладення у новій редакції</t>
  </si>
  <si>
    <t>1516012</t>
  </si>
  <si>
    <t>6012</t>
  </si>
  <si>
    <t>Будівництво установ та закладів культури</t>
  </si>
  <si>
    <t>Будівництво інших об'єктів комунальної власності</t>
  </si>
  <si>
    <t>Рішення ЮМР від 23.08.2023 року № 1431- VIIІ з внесеними змінами від  14.12.2023 року № 1562-VIIІ,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</si>
  <si>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</si>
  <si>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</si>
  <si>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</si>
  <si>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</si>
  <si>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</si>
  <si>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</si>
  <si>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 xml:space="preserve">Рішення Южненської міської ради від 26.10.2023 року № 1503-VIIІ  з внесеними змінами  від 14.12.2023  року № 1558-VIII, шляхом викладення у новій редакції  </t>
  </si>
  <si>
    <t>Додаток 9</t>
  </si>
  <si>
    <t>до рішення Южненської міської ради</t>
  </si>
  <si>
    <t xml:space="preserve">до рішення Южненської міської ради </t>
  </si>
  <si>
    <t>Виконано за 9 місяців 2024 року</t>
  </si>
  <si>
    <t>збільшення у 8,3 рази</t>
  </si>
  <si>
    <t>збільшення у 7,4 разів</t>
  </si>
  <si>
    <t>збільшення у 4 рази</t>
  </si>
  <si>
    <t>збільшення у 3,2 рази</t>
  </si>
  <si>
    <t>292110</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</si>
  <si>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</si>
  <si>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</si>
  <si>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41050600</t>
  </si>
  <si>
    <t>видатків місцевого бюджету за 9 місяців 2024 рік</t>
  </si>
  <si>
    <t>0218110</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</si>
  <si>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</si>
  <si>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</si>
  <si>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Інші субвенції з місцевого бюджету</t>
  </si>
  <si>
    <t>Виконання   місцевих  програм, які фінансувались   за рахунок коштів  бюджету Южненської міської територіальної громади за  9 місяців 2024 року</t>
  </si>
  <si>
    <t>Виконано за         9 місяців         2024 року</t>
  </si>
  <si>
    <t>Виконано за       9 місяців        2024 року</t>
  </si>
  <si>
    <t>Програма підвищення ефективності діяльності підрозділів Одеського прикордонного  загону на 2022-2024 роки</t>
  </si>
  <si>
    <t xml:space="preserve">Рішення ЮМР від 22.09.2022 року № 1078-VIІІ з внесеними змінами  від     29.08.2024 року №  1844-VIII, шляхом викладення  у новій редакції  </t>
  </si>
  <si>
    <t xml:space="preserve">Рішення ЮМР від 28.10.2022 року           №1092-VIIІ з внесеними змінами  від     29.08.2024 року №  1828-VIII, шляхом викладення  у новій редакції  </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</si>
  <si>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</si>
  <si>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</si>
  <si>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</si>
  <si>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Рішення ЮМР від 28.10.2022 року № 1121-VIIІ з внесеними змінами від        29.08.2024 року №  1834-VIII, шляхом викладення у новій редакції</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</si>
  <si>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</si>
  <si>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</si>
  <si>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 xml:space="preserve">Рішення ЮМР від 04.03.2022 року № 948-VIІІ з внесеними змінами  від     29.08.2024 року №   1838-VIII, шляхом викладення  у новій редакції  </t>
  </si>
  <si>
    <t xml:space="preserve">Рішення ЮМР від 01.12.2022 року № 1170-VIІІ з внесеними змінами  від  29.08.2024 року №  1840 -VIII, шляхом викладення  у новій редакції  </t>
  </si>
  <si>
    <t xml:space="preserve">Рішення ЮМР від 22.07.2021 року № 470-VІІІ з внесеними змінами  від  29.08.2024 року №  1810 -VIII, шляхом викладення  у новій редакції  </t>
  </si>
  <si>
    <t xml:space="preserve">Рішення ЮМР від 13.07.2023 року № 1404-VII з внесеними змінами  від  29.08.2024 року №  1818 -VIII,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</si>
  <si>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</si>
  <si>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</si>
  <si>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29.08.2024 року №  1855-VIII,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</si>
  <si>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</si>
  <si>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</si>
  <si>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</si>
  <si>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 xml:space="preserve">Рішення ЮМР від 26.10.2023 року №1520-VІIІ з внесеними змінами  від  29.03.2024 року №  1700-VIII, шляхом викладення  у новій редакції   </t>
  </si>
  <si>
    <t xml:space="preserve">Рішення Южненської міської ради від 19.09.2019 року № 1529-VII, з внесеними змінами  від  29.08.2024 року № 1862-VIII, шляхом викладення  у новій редакції  </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</si>
  <si>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</si>
  <si>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</si>
  <si>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</si>
  <si>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</si>
  <si>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 xml:space="preserve">Рішення Южненської міської ради від      29.08.2024 року № 1808 -VIIІ </t>
  </si>
  <si>
    <t>3222</t>
  </si>
  <si>
    <t>0813220</t>
  </si>
  <si>
    <r>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t>
    </r>
    <r>
      <rPr>
        <u/>
        <sz val="10"/>
        <color rgb="FF000099"/>
        <rFont val="Times New Roman"/>
        <family val="1"/>
        <charset val="204"/>
      </rPr>
      <t>пунктів 11 - 14</t>
    </r>
    <r>
      <rPr>
        <sz val="10"/>
        <color rgb="FF333333"/>
        <rFont val="Times New Roman"/>
        <family val="1"/>
        <charset val="204"/>
      </rPr>
      <t> частини другої статті 7 або учасниками бойових дій відповідно до </t>
    </r>
    <r>
      <rPr>
        <u/>
        <sz val="10"/>
        <color rgb="FF000099"/>
        <rFont val="Times New Roman"/>
        <family val="1"/>
        <charset val="204"/>
      </rPr>
      <t>пунктів 19 - 21</t>
    </r>
    <r>
      <rPr>
        <sz val="10"/>
        <color rgb="FF333333"/>
        <rFont val="Times New Roman"/>
        <family val="1"/>
        <charset val="204"/>
      </rPr>
      <t> частини першої статті 6 Закону України "Про статус ветеранів війни, гарантії їх соціального захисту", та які потребують поліпшення житлових умов</t>
    </r>
  </si>
  <si>
    <t>1060</t>
  </si>
  <si>
    <t>Охорона та раціональне використання природних ресурсів</t>
  </si>
  <si>
    <t>0511</t>
  </si>
  <si>
    <t xml:space="preserve">Фінансування об'єктів, видатки по яких здійснювались у 9 місяців 2024 року за рахунок коштів  бюджету розвитку </t>
  </si>
  <si>
    <t>Капітальні трансферти підприємствам (установам, організаціям)</t>
  </si>
  <si>
    <t>0813222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</si>
  <si>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</si>
  <si>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</si>
  <si>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</si>
  <si>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</si>
  <si>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</si>
  <si>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</si>
  <si>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</si>
  <si>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'Забезпечення діяльності з виробництва, транспортування, постачання теплової енергії</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</si>
  <si>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</si>
  <si>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</si>
  <si>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</si>
  <si>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</si>
  <si>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</si>
  <si>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</si>
  <si>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</si>
  <si>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</si>
  <si>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1518110</t>
  </si>
  <si>
    <t>8110</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</si>
  <si>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</si>
  <si>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Виготовлення технічної документації з нормативної грошової оцінки земельних ділянок в межах території Южненської міської територіальної громади (крім м.Южного, с.Сичавка, с. Кошари) Одеського району Одеської області</t>
  </si>
  <si>
    <t xml:space="preserve">  Перелік об'єктів,  видатки на які проводились за 9 місяців 2024 року  на природоохоронні заходи  по Южненській міській територіальній громаді</t>
  </si>
  <si>
    <t>Виконання за 9 місяців 2024 року</t>
  </si>
  <si>
    <t xml:space="preserve">Придбання пластикових сміттєприймальних контейнерів, об'ємом 1,1 м³ (2 шт)                                         </t>
  </si>
  <si>
    <t xml:space="preserve">  Перелік об'єктів,  видатки по яких  здійснюються за 9 місяців 2024 року на ремонт доріг комунальної власності</t>
  </si>
  <si>
    <t>Разом видатків на поточний рік (загальний фонд)</t>
  </si>
  <si>
    <t>Виконано за 9 місяців  2024 року</t>
  </si>
  <si>
    <t>Поточний ремонт вулично-дорожньої мережі по вул.Центральної від села Кошари у напрямку села Любопіль в межах Южненської міської територіальної громади Одеського району Одеської області</t>
  </si>
  <si>
    <t>2719770</t>
  </si>
  <si>
    <t>15327200000</t>
  </si>
  <si>
    <t xml:space="preserve">від  14.11. 2024 року </t>
  </si>
  <si>
    <t>№  1938-VIII</t>
  </si>
  <si>
    <t>№   1938-VIII</t>
  </si>
  <si>
    <t>від 14.11.2024 року</t>
  </si>
  <si>
    <t xml:space="preserve">№  1938-VIII </t>
  </si>
  <si>
    <t>№ 1938-VIII</t>
  </si>
  <si>
    <t xml:space="preserve">№ 1938-VIII  </t>
  </si>
  <si>
    <t xml:space="preserve">№  1938-VIII         </t>
  </si>
  <si>
    <t xml:space="preserve">№   1938-VIII       </t>
  </si>
  <si>
    <t>від  14.11.  2024 року</t>
  </si>
  <si>
    <t xml:space="preserve">№  1938-VIII              </t>
  </si>
  <si>
    <t xml:space="preserve">від 14.11.2024 року            </t>
  </si>
  <si>
    <t>від 14.11. 2024 року</t>
  </si>
  <si>
    <t xml:space="preserve">№  1938-VIII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</si>
</sst>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quot;р.&quot;;[Red]\-#,##0&quot;р.&quot;"/>
    <numFmt numFmtId="165" formatCode="#,##0;\-#,##0;#,&quot;-&quot;"/>
    <numFmt numFmtId="166" formatCode="_-* #,##0.00\ _г_р_н_._-;\-* #,##0.00\ _г_р_н_._-;_-* &quot;-&quot;??\ _г_р_н_._-;_-@_-"/>
    <numFmt numFmtId="167" formatCode="_-* #,##0\ _г_р_н_._-;\-* #,##0\ _г_р_н_._-;_-* &quot;-&quot;??\ _г_р_н_._-;_-@_-"/>
    <numFmt numFmtId="168" formatCode="0.0%"/>
    <numFmt numFmtId="169" formatCode="#,##0.00;\-#,##0.00;#,&quot;-&quot;"/>
    <numFmt numFmtId="170" formatCode="_-* #,##0.00\ &quot;грн.&quot;_-;\-* #,##0.00\ &quot;грн.&quot;_-;_-* &quot;-&quot;??\ &quot;грн.&quot;_-;_-@_-"/>
    <numFmt numFmtId="171" formatCode="#,##0.0"/>
    <numFmt numFmtId="172" formatCode="#,##0.0;\-#,##0.0;#.0,&quot;-&quot;"/>
    <numFmt numFmtId="173" formatCode="#,##0_ ;\-#,##0\ "/>
    <numFmt numFmtId="174" formatCode="#,##0.0_ ;\-#,##0.0\ "/>
    <numFmt numFmtId="175" formatCode="0.0"/>
    <numFmt numFmtId="176" formatCode="_-* #,##0.0\ _₽_-;\-* #,##0.0\ _₽_-;_-* &quot;-&quot;?\ _₽_-;_-@_-"/>
  </numFmts>
  <fonts count="6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sz val="11"/>
      <name val="Arial"/>
      <family val="2"/>
      <charset val="204"/>
    </font>
    <font>
      <b/>
      <sz val="10"/>
      <name val="Arial Cyr"/>
      <charset val="204"/>
    </font>
    <font>
      <sz val="10"/>
      <color theme="0"/>
      <name val="Calibri"/>
      <family val="2"/>
      <charset val="204"/>
      <scheme val="minor"/>
    </font>
    <font>
      <sz val="12"/>
      <color rgb="FF333333"/>
      <name val="Times New Roman"/>
      <family val="1"/>
      <charset val="204"/>
    </font>
    <font>
      <sz val="14"/>
      <color rgb="FF333333"/>
      <name val="Times New Roman"/>
      <family val="1"/>
      <charset val="204"/>
    </font>
    <font>
      <b/>
      <i/>
      <sz val="16"/>
      <name val="Times New Roman"/>
      <family val="1"/>
      <charset val="204"/>
    </font>
    <font>
      <b/>
      <sz val="13.5"/>
      <name val="Arial"/>
      <family val="2"/>
      <charset val="204"/>
    </font>
    <font>
      <sz val="10"/>
      <color rgb="FF333333"/>
      <name val="Times New Roman"/>
      <family val="1"/>
      <charset val="204"/>
    </font>
    <font>
      <sz val="12"/>
      <color rgb="FFFF0000"/>
      <name val="Times New Roman"/>
      <family val="1"/>
      <charset val="204"/>
    </font>
    <font>
      <u/>
      <sz val="10"/>
      <color rgb="FF000099"/>
      <name val="Times New Roman"/>
      <family val="1"/>
      <charset val="204"/>
    </font>
    <font>
      <sz val="16"/>
      <color rgb="FF333333"/>
      <name val="Times New Roman"/>
      <family val="1"/>
      <charset val="204"/>
    </font>
    <font>
      <sz val="16"/>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7">
    <xf numFmtId="0" fontId="0" fillId="0" borderId="0"/>
    <xf numFmtId="166"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0" fontId="10" fillId="0" borderId="0" applyFont="0" applyFill="0" applyBorder="0" applyAlignment="0" applyProtection="0"/>
    <xf numFmtId="9" fontId="11" fillId="0" borderId="0" applyFont="0" applyFill="0" applyBorder="0" applyAlignment="0" applyProtection="0"/>
  </cellStyleXfs>
  <cellXfs count="1416">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5"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vertical="center"/>
    </xf>
    <xf numFmtId="0" fontId="5" fillId="2" borderId="27" xfId="0" applyFont="1" applyFill="1" applyBorder="1" applyAlignment="1">
      <alignment horizontal="center" vertical="center" wrapText="1"/>
    </xf>
    <xf numFmtId="165" fontId="6" fillId="2" borderId="15" xfId="0" applyNumberFormat="1" applyFont="1" applyFill="1" applyBorder="1" applyAlignment="1">
      <alignment horizontal="right" vertical="center"/>
    </xf>
    <xf numFmtId="165" fontId="5" fillId="0" borderId="1" xfId="0" applyNumberFormat="1" applyFont="1" applyBorder="1" applyAlignment="1">
      <alignment horizontal="right" vertical="center"/>
    </xf>
    <xf numFmtId="165" fontId="5" fillId="2" borderId="12" xfId="0" applyNumberFormat="1" applyFont="1" applyFill="1" applyBorder="1" applyAlignment="1">
      <alignment horizontal="right" vertical="center"/>
    </xf>
    <xf numFmtId="165" fontId="8" fillId="2" borderId="18"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0" fontId="5" fillId="2" borderId="26"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lignment vertical="center"/>
    </xf>
    <xf numFmtId="165" fontId="8" fillId="2" borderId="18" xfId="0" applyNumberFormat="1" applyFont="1" applyFill="1" applyBorder="1" applyAlignment="1">
      <alignment vertical="center"/>
    </xf>
    <xf numFmtId="165"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5" fontId="8" fillId="2" borderId="18" xfId="0" applyNumberFormat="1" applyFont="1" applyFill="1" applyBorder="1" applyAlignment="1">
      <alignment horizontal="center" vertical="center" wrapText="1"/>
    </xf>
    <xf numFmtId="165"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5" fontId="6" fillId="2" borderId="15" xfId="0" applyNumberFormat="1" applyFont="1" applyFill="1" applyBorder="1" applyAlignment="1">
      <alignment vertical="center"/>
    </xf>
    <xf numFmtId="0" fontId="6" fillId="2" borderId="15" xfId="0" applyFont="1" applyFill="1" applyBorder="1" applyAlignment="1">
      <alignment vertical="center" wrapText="1"/>
    </xf>
    <xf numFmtId="165"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9" fontId="7" fillId="0" borderId="0" xfId="0" applyNumberFormat="1" applyFont="1" applyAlignment="1">
      <alignment vertical="center"/>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15" xfId="0" applyNumberFormat="1" applyFont="1" applyBorder="1" applyAlignment="1">
      <alignment horizontal="center" vertical="center" wrapText="1"/>
    </xf>
    <xf numFmtId="0" fontId="13" fillId="0" borderId="0" xfId="0" applyFont="1"/>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5" fillId="0" borderId="1" xfId="0" applyFont="1" applyBorder="1" applyAlignment="1">
      <alignment vertical="center" wrapText="1"/>
    </xf>
    <xf numFmtId="0" fontId="25" fillId="3" borderId="1"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7" fontId="25" fillId="0" borderId="1" xfId="1" applyNumberFormat="1" applyFont="1" applyFill="1" applyBorder="1" applyAlignment="1">
      <alignment horizontal="right" vertical="center" wrapText="1"/>
    </xf>
    <xf numFmtId="9" fontId="2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49" fontId="20" fillId="3" borderId="18" xfId="0" applyNumberFormat="1" applyFont="1" applyFill="1" applyBorder="1" applyAlignment="1">
      <alignment horizontal="center" vertical="center" wrapText="1"/>
    </xf>
    <xf numFmtId="9" fontId="20" fillId="3" borderId="19" xfId="0" applyNumberFormat="1" applyFont="1" applyFill="1" applyBorder="1" applyAlignment="1">
      <alignment horizontal="right" vertical="center" wrapText="1"/>
    </xf>
    <xf numFmtId="3" fontId="25" fillId="2" borderId="1" xfId="0" applyNumberFormat="1" applyFont="1" applyFill="1" applyBorder="1" applyAlignment="1">
      <alignment vertical="center"/>
    </xf>
    <xf numFmtId="3" fontId="24" fillId="0" borderId="1" xfId="0" applyNumberFormat="1" applyFont="1" applyBorder="1" applyAlignment="1">
      <alignment vertical="center"/>
    </xf>
    <xf numFmtId="0" fontId="27" fillId="0" borderId="0" xfId="0" applyFont="1"/>
    <xf numFmtId="3" fontId="25" fillId="0" borderId="1" xfId="0" applyNumberFormat="1" applyFont="1" applyBorder="1" applyAlignment="1">
      <alignment vertical="center"/>
    </xf>
    <xf numFmtId="165" fontId="3" fillId="2" borderId="1" xfId="0" applyNumberFormat="1" applyFont="1" applyFill="1" applyBorder="1" applyAlignment="1">
      <alignment horizontal="right" vertical="center"/>
    </xf>
    <xf numFmtId="3" fontId="24" fillId="0" borderId="12" xfId="0" applyNumberFormat="1" applyFont="1" applyBorder="1" applyAlignment="1">
      <alignment vertical="center" wrapText="1"/>
    </xf>
    <xf numFmtId="3" fontId="24" fillId="0" borderId="1" xfId="0" applyNumberFormat="1" applyFont="1" applyBorder="1" applyAlignment="1">
      <alignment horizontal="right" vertical="center"/>
    </xf>
    <xf numFmtId="3" fontId="24" fillId="2" borderId="12" xfId="0" applyNumberFormat="1" applyFont="1" applyFill="1" applyBorder="1" applyAlignment="1">
      <alignment vertical="center"/>
    </xf>
    <xf numFmtId="168" fontId="24" fillId="0" borderId="12" xfId="0" applyNumberFormat="1" applyFont="1" applyBorder="1" applyAlignment="1">
      <alignment vertical="center" wrapText="1"/>
    </xf>
    <xf numFmtId="3" fontId="25" fillId="0" borderId="12" xfId="0" applyNumberFormat="1" applyFont="1" applyBorder="1" applyAlignment="1">
      <alignment horizontal="right" vertical="center"/>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167" fontId="20" fillId="3" borderId="15" xfId="1" applyNumberFormat="1" applyFont="1" applyFill="1" applyBorder="1" applyAlignment="1">
      <alignment horizontal="center" vertical="center" wrapText="1"/>
    </xf>
    <xf numFmtId="167" fontId="19" fillId="0" borderId="0" xfId="0" applyNumberFormat="1" applyFont="1"/>
    <xf numFmtId="0" fontId="19" fillId="0" borderId="0" xfId="0" applyFont="1" applyAlignment="1">
      <alignment horizontal="right" vertical="center"/>
    </xf>
    <xf numFmtId="0" fontId="7" fillId="2" borderId="0" xfId="0" applyFont="1" applyFill="1" applyAlignment="1">
      <alignment vertical="center"/>
    </xf>
    <xf numFmtId="3" fontId="24" fillId="0" borderId="1" xfId="0" applyNumberFormat="1" applyFont="1" applyBorder="1" applyAlignment="1">
      <alignment vertical="center" wrapText="1"/>
    </xf>
    <xf numFmtId="9" fontId="24"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right" vertical="center" wrapText="1"/>
    </xf>
    <xf numFmtId="3" fontId="24" fillId="2" borderId="1" xfId="0" applyNumberFormat="1" applyFont="1" applyFill="1" applyBorder="1" applyAlignment="1">
      <alignment horizontal="right" vertical="center"/>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vertical="center"/>
    </xf>
    <xf numFmtId="0" fontId="26" fillId="0" borderId="1" xfId="0" applyFont="1" applyBorder="1" applyAlignment="1">
      <alignment horizontal="left" vertical="center" wrapText="1"/>
    </xf>
    <xf numFmtId="3" fontId="25" fillId="2" borderId="1" xfId="0" applyNumberFormat="1" applyFont="1" applyFill="1" applyBorder="1" applyAlignment="1">
      <alignment vertical="center" wrapText="1"/>
    </xf>
    <xf numFmtId="168" fontId="25" fillId="0" borderId="1" xfId="0" applyNumberFormat="1" applyFont="1" applyBorder="1" applyAlignment="1">
      <alignment vertical="center" wrapText="1"/>
    </xf>
    <xf numFmtId="3" fontId="24" fillId="2" borderId="1" xfId="0" applyNumberFormat="1" applyFont="1" applyFill="1" applyBorder="1" applyAlignment="1">
      <alignment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5" fontId="6" fillId="2" borderId="1" xfId="0" applyNumberFormat="1" applyFont="1" applyFill="1" applyBorder="1" applyAlignment="1">
      <alignment horizontal="right" vertical="center"/>
    </xf>
    <xf numFmtId="165" fontId="6" fillId="0" borderId="1" xfId="0" applyNumberFormat="1" applyFont="1" applyBorder="1" applyAlignment="1">
      <alignment horizontal="right" vertical="center"/>
    </xf>
    <xf numFmtId="165" fontId="0" fillId="0" borderId="0" xfId="0" applyNumberFormat="1"/>
    <xf numFmtId="165" fontId="34" fillId="2" borderId="1" xfId="0" applyNumberFormat="1" applyFont="1" applyFill="1" applyBorder="1" applyAlignment="1">
      <alignment horizontal="right" vertical="center"/>
    </xf>
    <xf numFmtId="165" fontId="34"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15" fillId="0" borderId="0" xfId="0" applyFont="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5" fillId="2" borderId="9" xfId="0" applyNumberFormat="1" applyFont="1" applyFill="1" applyBorder="1" applyAlignment="1">
      <alignment vertical="center"/>
    </xf>
    <xf numFmtId="165" fontId="5" fillId="2" borderId="1" xfId="0" applyNumberFormat="1" applyFont="1" applyFill="1" applyBorder="1" applyAlignment="1">
      <alignment vertical="center" wrapText="1"/>
    </xf>
    <xf numFmtId="0" fontId="0" fillId="0" borderId="0" xfId="0" applyAlignment="1">
      <alignment horizontal="left"/>
    </xf>
    <xf numFmtId="165" fontId="5" fillId="2" borderId="11" xfId="0" applyNumberFormat="1" applyFont="1" applyFill="1" applyBorder="1" applyAlignment="1">
      <alignment vertical="center"/>
    </xf>
    <xf numFmtId="165" fontId="5" fillId="2" borderId="12" xfId="0" applyNumberFormat="1" applyFont="1" applyFill="1" applyBorder="1" applyAlignment="1">
      <alignment vertical="center" wrapText="1"/>
    </xf>
    <xf numFmtId="165" fontId="6" fillId="2" borderId="14" xfId="0" applyNumberFormat="1" applyFont="1" applyFill="1" applyBorder="1" applyAlignment="1">
      <alignment horizontal="center"/>
    </xf>
    <xf numFmtId="165" fontId="6" fillId="2" borderId="15" xfId="0" applyNumberFormat="1" applyFont="1" applyFill="1" applyBorder="1"/>
    <xf numFmtId="165" fontId="6" fillId="2" borderId="15" xfId="0" applyNumberFormat="1" applyFont="1" applyFill="1" applyBorder="1" applyAlignment="1">
      <alignment horizontal="right"/>
    </xf>
    <xf numFmtId="165" fontId="34" fillId="2" borderId="16" xfId="0" applyNumberFormat="1" applyFont="1" applyFill="1" applyBorder="1" applyAlignment="1">
      <alignment horizontal="right"/>
    </xf>
    <xf numFmtId="0" fontId="7" fillId="0" borderId="0" xfId="0" applyFont="1" applyAlignment="1">
      <alignment vertical="top"/>
    </xf>
    <xf numFmtId="0" fontId="36" fillId="0" borderId="0" xfId="0" applyFont="1" applyAlignment="1">
      <alignment horizontal="left" vertical="center"/>
    </xf>
    <xf numFmtId="0" fontId="7" fillId="0" borderId="0" xfId="0" applyFont="1" applyAlignment="1">
      <alignment horizontal="left" vertical="center" wrapText="1"/>
    </xf>
    <xf numFmtId="3" fontId="36" fillId="0" borderId="0" xfId="0" applyNumberFormat="1" applyFont="1" applyAlignment="1">
      <alignment horizontal="left" vertical="center"/>
    </xf>
    <xf numFmtId="2" fontId="7" fillId="0" borderId="0" xfId="0" applyNumberFormat="1" applyFont="1" applyAlignment="1">
      <alignment horizontal="left" vertical="center"/>
    </xf>
    <xf numFmtId="0" fontId="31" fillId="0" borderId="0" xfId="0" applyFont="1"/>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8"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5" fillId="0" borderId="1" xfId="0" applyFont="1" applyBorder="1" applyAlignment="1">
      <alignment horizontal="left"/>
    </xf>
    <xf numFmtId="49" fontId="6" fillId="0" borderId="11" xfId="0" applyNumberFormat="1" applyFont="1" applyBorder="1" applyAlignment="1">
      <alignment horizontal="center" vertical="center"/>
    </xf>
    <xf numFmtId="0" fontId="6" fillId="0" borderId="12" xfId="0" applyFont="1" applyBorder="1" applyAlignment="1">
      <alignment horizontal="centerContinuous" vertical="center"/>
    </xf>
    <xf numFmtId="0" fontId="7" fillId="0" borderId="3" xfId="0" applyFont="1" applyBorder="1" applyAlignment="1">
      <alignment horizontal="center" wrapText="1"/>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7" fillId="0" borderId="0" xfId="0" applyFont="1" applyAlignment="1">
      <alignment horizontal="left"/>
    </xf>
    <xf numFmtId="0" fontId="13" fillId="0" borderId="0" xfId="0" applyFont="1" applyAlignment="1">
      <alignment horizontal="left" wrapText="1"/>
    </xf>
    <xf numFmtId="3" fontId="27" fillId="0" borderId="0" xfId="0" applyNumberFormat="1" applyFont="1" applyAlignment="1">
      <alignment horizontal="left"/>
    </xf>
    <xf numFmtId="2" fontId="13" fillId="0" borderId="0" xfId="0" applyNumberFormat="1" applyFont="1" applyAlignment="1">
      <alignment horizontal="left"/>
    </xf>
    <xf numFmtId="0" fontId="32" fillId="0" borderId="0" xfId="0" applyFont="1"/>
    <xf numFmtId="0" fontId="33" fillId="0" borderId="0" xfId="0" applyFont="1"/>
    <xf numFmtId="0" fontId="39" fillId="0" borderId="0" xfId="0" applyFont="1"/>
    <xf numFmtId="49" fontId="7" fillId="0" borderId="0" xfId="0" applyNumberFormat="1" applyFont="1"/>
    <xf numFmtId="0" fontId="7" fillId="2" borderId="0" xfId="0" applyFont="1" applyFill="1"/>
    <xf numFmtId="0" fontId="40"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6" fillId="0" borderId="14" xfId="0" applyFont="1" applyBorder="1" applyAlignment="1">
      <alignment horizontal="center" vertical="center"/>
    </xf>
    <xf numFmtId="49" fontId="36" fillId="3" borderId="32" xfId="0" applyNumberFormat="1" applyFont="1" applyFill="1" applyBorder="1" applyAlignment="1">
      <alignment horizontal="center" vertical="center" wrapText="1"/>
    </xf>
    <xf numFmtId="49" fontId="36" fillId="0" borderId="32" xfId="0" applyNumberFormat="1" applyFont="1" applyBorder="1" applyAlignment="1">
      <alignment horizontal="center" vertical="center"/>
    </xf>
    <xf numFmtId="0" fontId="36" fillId="0" borderId="1" xfId="0" applyFont="1" applyBorder="1" applyAlignment="1">
      <alignment horizontal="left" vertical="center" wrapText="1"/>
    </xf>
    <xf numFmtId="0" fontId="41"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1" fillId="0" borderId="0" xfId="0" applyFont="1" applyAlignment="1">
      <alignment horizontal="center" vertical="center" wrapText="1"/>
    </xf>
    <xf numFmtId="0" fontId="27" fillId="0" borderId="0" xfId="0" applyFont="1" applyAlignment="1">
      <alignment horizontal="center" vertical="center" wrapText="1"/>
    </xf>
    <xf numFmtId="3" fontId="13" fillId="0" borderId="0" xfId="0" applyNumberFormat="1" applyFont="1" applyAlignment="1">
      <alignment horizontal="center" vertical="center" wrapText="1"/>
    </xf>
    <xf numFmtId="165" fontId="6" fillId="2" borderId="3" xfId="0" applyNumberFormat="1" applyFont="1" applyFill="1" applyBorder="1" applyAlignment="1">
      <alignment horizontal="right" vertical="center"/>
    </xf>
    <xf numFmtId="165" fontId="5" fillId="2" borderId="3" xfId="0" applyNumberFormat="1" applyFont="1" applyFill="1" applyBorder="1" applyAlignment="1">
      <alignment horizontal="right" vertical="center"/>
    </xf>
    <xf numFmtId="165" fontId="8" fillId="2" borderId="3" xfId="0" applyNumberFormat="1" applyFont="1" applyFill="1" applyBorder="1" applyAlignment="1">
      <alignment horizontal="right" vertical="center"/>
    </xf>
    <xf numFmtId="165" fontId="34" fillId="2" borderId="3" xfId="0" applyNumberFormat="1" applyFont="1" applyFill="1" applyBorder="1" applyAlignment="1">
      <alignment horizontal="right" vertical="center"/>
    </xf>
    <xf numFmtId="165" fontId="5" fillId="2" borderId="44" xfId="0" applyNumberFormat="1" applyFont="1" applyFill="1" applyBorder="1" applyAlignment="1">
      <alignment horizontal="right" vertical="center"/>
    </xf>
    <xf numFmtId="165" fontId="34" fillId="2" borderId="50" xfId="0" applyNumberFormat="1" applyFont="1" applyFill="1" applyBorder="1" applyAlignment="1">
      <alignment horizontal="right"/>
    </xf>
    <xf numFmtId="165" fontId="8" fillId="2" borderId="1" xfId="0" applyNumberFormat="1" applyFont="1" applyFill="1" applyBorder="1" applyAlignment="1">
      <alignment horizontal="right" vertical="center"/>
    </xf>
    <xf numFmtId="165"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0" fontId="5" fillId="2" borderId="37" xfId="0" applyFont="1" applyFill="1" applyBorder="1" applyAlignment="1">
      <alignment horizontal="center" vertical="center" wrapText="1"/>
    </xf>
    <xf numFmtId="165" fontId="6" fillId="2" borderId="15"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5" fillId="2" borderId="27" xfId="0" quotePrefix="1" applyFont="1" applyFill="1" applyBorder="1" applyAlignment="1">
      <alignment vertical="center" wrapText="1"/>
    </xf>
    <xf numFmtId="165" fontId="5" fillId="2" borderId="27" xfId="0" applyNumberFormat="1" applyFont="1" applyFill="1" applyBorder="1" applyAlignment="1">
      <alignment vertical="center"/>
    </xf>
    <xf numFmtId="165" fontId="5" fillId="2" borderId="27" xfId="0" applyNumberFormat="1" applyFont="1" applyFill="1" applyBorder="1" applyAlignment="1">
      <alignment horizontal="right" vertical="center"/>
    </xf>
    <xf numFmtId="165" fontId="5" fillId="2" borderId="12" xfId="0" applyNumberFormat="1"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2" xfId="0" applyFont="1" applyFill="1" applyBorder="1" applyAlignment="1">
      <alignment horizontal="center" vertical="center" wrapText="1"/>
    </xf>
    <xf numFmtId="165" fontId="6" fillId="2" borderId="15" xfId="0" applyNumberFormat="1" applyFont="1" applyFill="1" applyBorder="1" applyAlignment="1">
      <alignment horizontal="right" vertical="center" wrapText="1"/>
    </xf>
    <xf numFmtId="165" fontId="6" fillId="2" borderId="50" xfId="0" applyNumberFormat="1" applyFont="1" applyFill="1" applyBorder="1" applyAlignment="1">
      <alignment horizontal="right" vertical="center"/>
    </xf>
    <xf numFmtId="165" fontId="8" fillId="2" borderId="49" xfId="0" applyNumberFormat="1" applyFont="1" applyFill="1" applyBorder="1" applyAlignment="1">
      <alignment horizontal="right" vertical="center"/>
    </xf>
    <xf numFmtId="168" fontId="5" fillId="2" borderId="15" xfId="0" applyNumberFormat="1" applyFont="1" applyFill="1" applyBorder="1" applyAlignment="1">
      <alignment horizontal="center" vertical="center" wrapText="1"/>
    </xf>
    <xf numFmtId="168" fontId="5" fillId="2" borderId="18" xfId="0"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168" fontId="5" fillId="2" borderId="12" xfId="0" applyNumberFormat="1" applyFont="1" applyFill="1" applyBorder="1" applyAlignment="1">
      <alignment horizontal="center" vertical="center" wrapText="1"/>
    </xf>
    <xf numFmtId="165" fontId="8" fillId="2" borderId="1" xfId="0" applyNumberFormat="1" applyFont="1" applyFill="1" applyBorder="1" applyAlignment="1">
      <alignment horizontal="right" vertical="center" wrapText="1"/>
    </xf>
    <xf numFmtId="165" fontId="5" fillId="2" borderId="1" xfId="0" applyNumberFormat="1" applyFont="1" applyFill="1" applyBorder="1" applyAlignment="1">
      <alignment horizontal="right" vertical="center" wrapText="1"/>
    </xf>
    <xf numFmtId="165" fontId="8" fillId="2" borderId="12" xfId="0" applyNumberFormat="1" applyFont="1" applyFill="1" applyBorder="1" applyAlignment="1">
      <alignment horizontal="right" vertical="center" wrapText="1"/>
    </xf>
    <xf numFmtId="165" fontId="5" fillId="2" borderId="12" xfId="0" applyNumberFormat="1" applyFont="1" applyFill="1" applyBorder="1" applyAlignment="1">
      <alignment horizontal="right" vertical="center" wrapText="1"/>
    </xf>
    <xf numFmtId="165" fontId="5" fillId="2" borderId="18" xfId="0" applyNumberFormat="1" applyFont="1" applyFill="1" applyBorder="1" applyAlignment="1">
      <alignment horizontal="right" vertical="center" wrapText="1"/>
    </xf>
    <xf numFmtId="168" fontId="5" fillId="2" borderId="16" xfId="0" applyNumberFormat="1" applyFont="1" applyFill="1" applyBorder="1" applyAlignment="1">
      <alignment horizontal="center" vertical="center" wrapText="1"/>
    </xf>
    <xf numFmtId="168"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4" fillId="2" borderId="0" xfId="0" applyFont="1" applyFill="1" applyAlignment="1">
      <alignment horizontal="center" vertical="center"/>
    </xf>
    <xf numFmtId="0" fontId="44" fillId="2" borderId="0" xfId="0" applyFont="1" applyFill="1"/>
    <xf numFmtId="0" fontId="44" fillId="2" borderId="0" xfId="0" applyFont="1" applyFill="1" applyAlignment="1">
      <alignment horizontal="right"/>
    </xf>
    <xf numFmtId="4" fontId="44" fillId="2" borderId="0" xfId="0" applyNumberFormat="1" applyFont="1" applyFill="1"/>
    <xf numFmtId="4" fontId="44"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49" fontId="7" fillId="0" borderId="50" xfId="0" applyNumberFormat="1" applyFont="1" applyBorder="1" applyAlignment="1">
      <alignment horizontal="center" vertical="center" wrapText="1"/>
    </xf>
    <xf numFmtId="0" fontId="40" fillId="0" borderId="15" xfId="0" applyFont="1" applyBorder="1" applyAlignment="1">
      <alignment horizontal="center"/>
    </xf>
    <xf numFmtId="0" fontId="40" fillId="0" borderId="16" xfId="0" applyFont="1" applyBorder="1" applyAlignment="1">
      <alignment horizontal="center"/>
    </xf>
    <xf numFmtId="0" fontId="40" fillId="0" borderId="0" xfId="0" applyFont="1" applyAlignment="1">
      <alignment horizontal="center"/>
    </xf>
    <xf numFmtId="0" fontId="7" fillId="0" borderId="1" xfId="0" applyFont="1" applyBorder="1" applyAlignment="1">
      <alignment horizontal="right"/>
    </xf>
    <xf numFmtId="9" fontId="7" fillId="0" borderId="10" xfId="0" applyNumberFormat="1" applyFont="1" applyBorder="1" applyAlignment="1">
      <alignment horizontal="right"/>
    </xf>
    <xf numFmtId="3" fontId="36" fillId="0" borderId="50" xfId="0" applyNumberFormat="1" applyFont="1" applyBorder="1" applyAlignment="1">
      <alignment horizontal="right" wrapText="1"/>
    </xf>
    <xf numFmtId="3" fontId="7" fillId="0" borderId="3" xfId="0" applyNumberFormat="1" applyFont="1" applyBorder="1" applyAlignment="1">
      <alignment horizontal="right" wrapText="1"/>
    </xf>
    <xf numFmtId="3" fontId="7" fillId="0" borderId="44" xfId="0" applyNumberFormat="1" applyFont="1" applyBorder="1" applyAlignment="1">
      <alignment horizontal="right" wrapText="1"/>
    </xf>
    <xf numFmtId="3" fontId="44" fillId="0" borderId="50" xfId="0" applyNumberFormat="1" applyFont="1" applyBorder="1" applyAlignment="1">
      <alignment horizontal="right" vertical="center" wrapText="1"/>
    </xf>
    <xf numFmtId="9" fontId="44" fillId="0" borderId="16" xfId="0" applyNumberFormat="1" applyFont="1" applyBorder="1" applyAlignment="1">
      <alignment horizontal="right"/>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4" fillId="0" borderId="53" xfId="0" applyNumberFormat="1" applyFont="1" applyBorder="1" applyAlignment="1">
      <alignment horizontal="right" wrapText="1"/>
    </xf>
    <xf numFmtId="9" fontId="44"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9" fontId="7" fillId="0" borderId="19" xfId="0" applyNumberFormat="1" applyFont="1" applyBorder="1" applyAlignment="1">
      <alignment horizontal="right"/>
    </xf>
    <xf numFmtId="9" fontId="36" fillId="0" borderId="16" xfId="0" applyNumberFormat="1" applyFont="1" applyBorder="1" applyAlignment="1">
      <alignment horizontal="right"/>
    </xf>
    <xf numFmtId="49" fontId="9" fillId="0" borderId="0" xfId="0" applyNumberFormat="1" applyFont="1" applyAlignment="1">
      <alignment vertical="center"/>
    </xf>
    <xf numFmtId="0" fontId="9" fillId="0" borderId="0" xfId="0" applyFont="1" applyAlignment="1">
      <alignment horizontal="right" vertical="center"/>
    </xf>
    <xf numFmtId="0" fontId="7" fillId="3" borderId="0" xfId="0" applyFont="1" applyFill="1" applyAlignment="1">
      <alignment horizontal="right" vertical="center"/>
    </xf>
    <xf numFmtId="168" fontId="9" fillId="0" borderId="0" xfId="0" applyNumberFormat="1" applyFont="1" applyAlignment="1">
      <alignment horizontal="right" vertical="center"/>
    </xf>
    <xf numFmtId="0" fontId="7" fillId="0" borderId="2" xfId="0" applyFont="1" applyBorder="1" applyAlignment="1">
      <alignment horizontal="right" vertical="center"/>
    </xf>
    <xf numFmtId="0" fontId="7" fillId="3" borderId="2" xfId="0" applyFont="1" applyFill="1" applyBorder="1" applyAlignment="1">
      <alignment horizontal="right" vertical="center"/>
    </xf>
    <xf numFmtId="0" fontId="7" fillId="0" borderId="4" xfId="0" applyFont="1" applyBorder="1" applyAlignment="1">
      <alignment horizontal="right" vertical="center"/>
    </xf>
    <xf numFmtId="0" fontId="7" fillId="3" borderId="4" xfId="0" applyFont="1" applyFill="1" applyBorder="1" applyAlignment="1">
      <alignment horizontal="right" vertical="center"/>
    </xf>
    <xf numFmtId="0" fontId="9" fillId="3" borderId="0" xfId="0" applyFont="1" applyFill="1" applyAlignment="1">
      <alignment horizontal="right" vertical="center"/>
    </xf>
    <xf numFmtId="0" fontId="7" fillId="0" borderId="0" xfId="0" applyFont="1" applyAlignment="1">
      <alignment horizontal="right"/>
    </xf>
    <xf numFmtId="0" fontId="7" fillId="0" borderId="2" xfId="0" applyFont="1" applyBorder="1" applyAlignment="1">
      <alignment horizontal="right"/>
    </xf>
    <xf numFmtId="0" fontId="7" fillId="0" borderId="4" xfId="0" applyFont="1" applyBorder="1" applyAlignment="1">
      <alignment horizontal="right"/>
    </xf>
    <xf numFmtId="0" fontId="40" fillId="0" borderId="0" xfId="0" applyFont="1" applyAlignment="1">
      <alignment vertical="center"/>
    </xf>
    <xf numFmtId="0" fontId="40" fillId="0" borderId="0" xfId="0" applyFont="1" applyAlignment="1">
      <alignment horizontal="right" vertical="center"/>
    </xf>
    <xf numFmtId="168" fontId="40" fillId="0" borderId="0" xfId="0" applyNumberFormat="1" applyFont="1" applyAlignment="1">
      <alignment horizontal="right" vertical="center"/>
    </xf>
    <xf numFmtId="0" fontId="13" fillId="0" borderId="0" xfId="0" applyFont="1" applyAlignment="1">
      <alignment horizontal="right" vertical="center"/>
    </xf>
    <xf numFmtId="0" fontId="7" fillId="0" borderId="21" xfId="0" applyFont="1" applyBorder="1" applyAlignment="1">
      <alignment horizontal="center" vertical="center" wrapText="1"/>
    </xf>
    <xf numFmtId="168" fontId="7" fillId="0" borderId="29"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40" fillId="0" borderId="15" xfId="0" applyFont="1" applyBorder="1" applyAlignment="1">
      <alignment horizontal="center" vertical="center"/>
    </xf>
    <xf numFmtId="0" fontId="40" fillId="0" borderId="16" xfId="0"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horizontal="left" vertical="center" wrapText="1"/>
    </xf>
    <xf numFmtId="0" fontId="15" fillId="0" borderId="15" xfId="0" applyFont="1" applyBorder="1" applyAlignment="1">
      <alignment vertical="center" wrapText="1"/>
    </xf>
    <xf numFmtId="3" fontId="15" fillId="0" borderId="15" xfId="0" applyNumberFormat="1" applyFont="1" applyBorder="1" applyAlignment="1">
      <alignment horizontal="right" vertical="center"/>
    </xf>
    <xf numFmtId="168" fontId="15" fillId="0" borderId="16" xfId="0" applyNumberFormat="1" applyFont="1" applyBorder="1" applyAlignment="1">
      <alignment horizontal="right" vertical="center"/>
    </xf>
    <xf numFmtId="49" fontId="46" fillId="0" borderId="14" xfId="0" applyNumberFormat="1" applyFont="1" applyBorder="1" applyAlignment="1">
      <alignment horizontal="center" vertical="center"/>
    </xf>
    <xf numFmtId="49" fontId="46" fillId="0" borderId="15" xfId="0" applyNumberFormat="1" applyFont="1" applyBorder="1" applyAlignment="1">
      <alignment horizontal="center" vertical="center"/>
    </xf>
    <xf numFmtId="0" fontId="46" fillId="0" borderId="15" xfId="0" applyFont="1" applyBorder="1" applyAlignment="1">
      <alignment horizontal="left" vertical="center" wrapText="1"/>
    </xf>
    <xf numFmtId="0" fontId="46" fillId="0" borderId="15" xfId="0" applyFont="1" applyBorder="1" applyAlignment="1">
      <alignment horizontal="center" vertical="center" wrapText="1"/>
    </xf>
    <xf numFmtId="3" fontId="46" fillId="0" borderId="15" xfId="0" applyNumberFormat="1" applyFont="1" applyBorder="1" applyAlignment="1">
      <alignment horizontal="right" vertical="center" wrapText="1"/>
    </xf>
    <xf numFmtId="168" fontId="46" fillId="0" borderId="16" xfId="0" applyNumberFormat="1" applyFont="1" applyBorder="1" applyAlignment="1">
      <alignment horizontal="right" vertical="center"/>
    </xf>
    <xf numFmtId="0" fontId="40" fillId="2" borderId="1" xfId="0" quotePrefix="1" applyFont="1" applyFill="1" applyBorder="1" applyAlignment="1">
      <alignment vertical="center" wrapText="1"/>
    </xf>
    <xf numFmtId="3" fontId="40" fillId="2" borderId="18" xfId="0" applyNumberFormat="1" applyFont="1" applyFill="1" applyBorder="1" applyAlignment="1">
      <alignment horizontal="right" vertical="center"/>
    </xf>
    <xf numFmtId="168" fontId="40" fillId="2" borderId="19" xfId="0" applyNumberFormat="1" applyFont="1" applyFill="1" applyBorder="1" applyAlignment="1">
      <alignment horizontal="right" vertical="center"/>
    </xf>
    <xf numFmtId="49" fontId="40" fillId="0" borderId="18" xfId="0" applyNumberFormat="1" applyFont="1" applyBorder="1" applyAlignment="1">
      <alignment horizontal="center" vertical="center"/>
    </xf>
    <xf numFmtId="49" fontId="40" fillId="0" borderId="9" xfId="0" applyNumberFormat="1" applyFont="1" applyBorder="1" applyAlignment="1">
      <alignment horizontal="center" vertical="center"/>
    </xf>
    <xf numFmtId="49" fontId="40" fillId="0" borderId="1" xfId="0" applyNumberFormat="1" applyFont="1" applyBorder="1" applyAlignment="1">
      <alignment horizontal="center" vertical="center"/>
    </xf>
    <xf numFmtId="3" fontId="40" fillId="2" borderId="1" xfId="0" applyNumberFormat="1" applyFont="1" applyFill="1" applyBorder="1" applyAlignment="1">
      <alignment horizontal="right" vertical="center"/>
    </xf>
    <xf numFmtId="0" fontId="36" fillId="0" borderId="0" xfId="0" applyFont="1" applyAlignment="1">
      <alignment vertical="center"/>
    </xf>
    <xf numFmtId="9" fontId="40" fillId="2" borderId="19" xfId="0" applyNumberFormat="1" applyFont="1" applyFill="1" applyBorder="1" applyAlignment="1">
      <alignment horizontal="right" vertical="center"/>
    </xf>
    <xf numFmtId="49" fontId="40" fillId="2" borderId="9" xfId="0" applyNumberFormat="1" applyFont="1" applyFill="1" applyBorder="1" applyAlignment="1">
      <alignment horizontal="center" vertical="center"/>
    </xf>
    <xf numFmtId="168" fontId="40" fillId="2" borderId="10" xfId="0" applyNumberFormat="1" applyFont="1" applyFill="1" applyBorder="1" applyAlignment="1">
      <alignment horizontal="right" vertical="center"/>
    </xf>
    <xf numFmtId="49" fontId="46" fillId="0" borderId="15" xfId="0" applyNumberFormat="1" applyFont="1" applyBorder="1" applyAlignment="1">
      <alignment horizontal="left" vertical="center"/>
    </xf>
    <xf numFmtId="0" fontId="16" fillId="0" borderId="15" xfId="0" applyFont="1" applyBorder="1" applyAlignment="1">
      <alignment horizontal="left" vertical="center" wrapText="1"/>
    </xf>
    <xf numFmtId="168" fontId="46" fillId="2" borderId="16" xfId="0" applyNumberFormat="1" applyFont="1" applyFill="1" applyBorder="1" applyAlignment="1">
      <alignment horizontal="right" vertical="center"/>
    </xf>
    <xf numFmtId="3" fontId="40" fillId="0" borderId="27" xfId="0" applyNumberFormat="1" applyFont="1" applyBorder="1" applyAlignment="1">
      <alignment horizontal="right" vertical="center"/>
    </xf>
    <xf numFmtId="3" fontId="40" fillId="3" borderId="27" xfId="0" applyNumberFormat="1" applyFont="1" applyFill="1" applyBorder="1" applyAlignment="1">
      <alignment horizontal="right" vertical="center"/>
    </xf>
    <xf numFmtId="3" fontId="40" fillId="0" borderId="1" xfId="0" applyNumberFormat="1" applyFont="1" applyBorder="1" applyAlignment="1">
      <alignment horizontal="right" vertical="center"/>
    </xf>
    <xf numFmtId="3" fontId="40" fillId="0" borderId="1" xfId="0" applyNumberFormat="1" applyFont="1" applyBorder="1" applyAlignment="1">
      <alignment horizontal="right" vertical="center" wrapText="1"/>
    </xf>
    <xf numFmtId="3" fontId="46" fillId="2" borderId="1" xfId="0" applyNumberFormat="1" applyFont="1" applyFill="1" applyBorder="1" applyAlignment="1">
      <alignment horizontal="right" vertical="center"/>
    </xf>
    <xf numFmtId="9" fontId="40" fillId="2" borderId="10" xfId="0" applyNumberFormat="1" applyFont="1" applyFill="1" applyBorder="1" applyAlignment="1">
      <alignment horizontal="right" vertical="center"/>
    </xf>
    <xf numFmtId="3" fontId="40" fillId="0" borderId="18" xfId="0" applyNumberFormat="1" applyFont="1" applyBorder="1" applyAlignment="1">
      <alignment horizontal="right" vertical="center"/>
    </xf>
    <xf numFmtId="49" fontId="15" fillId="0" borderId="15" xfId="0" applyNumberFormat="1" applyFont="1" applyBorder="1" applyAlignment="1">
      <alignment horizontal="center" vertical="center" wrapText="1"/>
    </xf>
    <xf numFmtId="168" fontId="15" fillId="2" borderId="16" xfId="0" applyNumberFormat="1" applyFont="1" applyFill="1" applyBorder="1" applyAlignment="1">
      <alignment horizontal="right" vertical="center"/>
    </xf>
    <xf numFmtId="49" fontId="46" fillId="0" borderId="15" xfId="0" applyNumberFormat="1" applyFont="1" applyBorder="1" applyAlignment="1">
      <alignment horizontal="center" vertical="center" wrapText="1"/>
    </xf>
    <xf numFmtId="0" fontId="46" fillId="0" borderId="15" xfId="0" applyFont="1" applyBorder="1" applyAlignment="1">
      <alignment vertical="center" wrapText="1"/>
    </xf>
    <xf numFmtId="3" fontId="46" fillId="0" borderId="15" xfId="0" applyNumberFormat="1" applyFont="1" applyBorder="1" applyAlignment="1">
      <alignment horizontal="right" vertical="center"/>
    </xf>
    <xf numFmtId="3" fontId="40" fillId="0" borderId="12" xfId="0" applyNumberFormat="1" applyFont="1" applyBorder="1" applyAlignment="1">
      <alignment horizontal="right" vertical="center"/>
    </xf>
    <xf numFmtId="3" fontId="15" fillId="3" borderId="15" xfId="0" applyNumberFormat="1" applyFont="1" applyFill="1" applyBorder="1" applyAlignment="1">
      <alignment horizontal="right" vertical="center"/>
    </xf>
    <xf numFmtId="9" fontId="15" fillId="2" borderId="16" xfId="0" applyNumberFormat="1" applyFont="1" applyFill="1" applyBorder="1" applyAlignment="1">
      <alignment horizontal="right" vertical="center"/>
    </xf>
    <xf numFmtId="3" fontId="46" fillId="3" borderId="15" xfId="0" applyNumberFormat="1" applyFont="1" applyFill="1" applyBorder="1" applyAlignment="1">
      <alignment horizontal="right" vertical="center"/>
    </xf>
    <xf numFmtId="9" fontId="46" fillId="2" borderId="16" xfId="0" applyNumberFormat="1" applyFont="1" applyFill="1" applyBorder="1" applyAlignment="1">
      <alignment horizontal="right" vertical="center"/>
    </xf>
    <xf numFmtId="9" fontId="40" fillId="2" borderId="28" xfId="0" applyNumberFormat="1" applyFont="1" applyFill="1" applyBorder="1" applyAlignment="1">
      <alignment horizontal="right" vertical="center"/>
    </xf>
    <xf numFmtId="0" fontId="13" fillId="3" borderId="0" xfId="0" applyFont="1" applyFill="1" applyAlignment="1">
      <alignment vertical="center"/>
    </xf>
    <xf numFmtId="3" fontId="15" fillId="0" borderId="15" xfId="0" applyNumberFormat="1" applyFont="1" applyBorder="1" applyAlignment="1">
      <alignment horizontal="right" vertical="center" wrapText="1"/>
    </xf>
    <xf numFmtId="3" fontId="40" fillId="0" borderId="18" xfId="0" applyNumberFormat="1" applyFont="1" applyBorder="1" applyAlignment="1">
      <alignment horizontal="right" vertical="center" wrapText="1"/>
    </xf>
    <xf numFmtId="3" fontId="40" fillId="3" borderId="1" xfId="0" applyNumberFormat="1" applyFont="1" applyFill="1" applyBorder="1" applyAlignment="1">
      <alignment horizontal="right" vertical="center"/>
    </xf>
    <xf numFmtId="0" fontId="40" fillId="0" borderId="1" xfId="0" applyFont="1" applyBorder="1" applyAlignment="1">
      <alignment vertical="center" wrapText="1"/>
    </xf>
    <xf numFmtId="3" fontId="15" fillId="2" borderId="15" xfId="0" applyNumberFormat="1" applyFont="1" applyFill="1" applyBorder="1" applyAlignment="1">
      <alignment horizontal="right" vertical="center"/>
    </xf>
    <xf numFmtId="0" fontId="40" fillId="0" borderId="0" xfId="0" applyFont="1" applyAlignment="1">
      <alignment horizontal="center" vertical="center"/>
    </xf>
    <xf numFmtId="49" fontId="33" fillId="0" borderId="0" xfId="0" applyNumberFormat="1" applyFont="1" applyAlignment="1">
      <alignment horizontal="center" vertical="center" wrapText="1"/>
    </xf>
    <xf numFmtId="0" fontId="13" fillId="0" borderId="0" xfId="0" applyFont="1" applyAlignment="1">
      <alignment vertical="center"/>
    </xf>
    <xf numFmtId="3" fontId="13" fillId="0" borderId="0" xfId="0" applyNumberFormat="1" applyFont="1" applyAlignment="1">
      <alignment horizontal="right" vertical="center"/>
    </xf>
    <xf numFmtId="3" fontId="40" fillId="0" borderId="0" xfId="0" applyNumberFormat="1" applyFont="1" applyAlignment="1">
      <alignment horizontal="right" vertical="center"/>
    </xf>
    <xf numFmtId="3" fontId="7" fillId="0" borderId="0" xfId="0" applyNumberFormat="1" applyFont="1" applyAlignment="1">
      <alignment horizontal="right" vertical="center"/>
    </xf>
    <xf numFmtId="168" fontId="7" fillId="0" borderId="0" xfId="0" applyNumberFormat="1" applyFont="1" applyAlignment="1">
      <alignment horizontal="right" vertical="center"/>
    </xf>
    <xf numFmtId="0" fontId="15" fillId="2" borderId="0" xfId="0" applyFont="1" applyFill="1" applyAlignment="1">
      <alignment horizontal="right" vertical="center"/>
    </xf>
    <xf numFmtId="0" fontId="20" fillId="0" borderId="0" xfId="0" applyFont="1"/>
    <xf numFmtId="49" fontId="15" fillId="0" borderId="0" xfId="0" applyNumberFormat="1" applyFont="1" applyAlignment="1">
      <alignment horizontal="left" vertical="center"/>
    </xf>
    <xf numFmtId="0" fontId="15" fillId="0" borderId="0" xfId="0" applyFont="1" applyAlignment="1">
      <alignment horizontal="center"/>
    </xf>
    <xf numFmtId="4" fontId="7" fillId="0" borderId="0" xfId="0" applyNumberFormat="1" applyFont="1" applyAlignment="1">
      <alignment horizontal="right" vertical="center"/>
    </xf>
    <xf numFmtId="171" fontId="48" fillId="0" borderId="0" xfId="0" applyNumberFormat="1" applyFont="1" applyAlignment="1">
      <alignment horizontal="center"/>
    </xf>
    <xf numFmtId="4"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164" fontId="7" fillId="0" borderId="2" xfId="3" applyNumberFormat="1" applyFont="1" applyBorder="1" applyAlignment="1">
      <alignment horizontal="right"/>
    </xf>
    <xf numFmtId="49" fontId="7" fillId="0" borderId="2" xfId="3" applyNumberFormat="1" applyFont="1" applyBorder="1" applyAlignment="1">
      <alignment horizontal="center" vertical="center"/>
    </xf>
    <xf numFmtId="49" fontId="7" fillId="0" borderId="4" xfId="3" applyNumberFormat="1" applyFont="1" applyBorder="1"/>
    <xf numFmtId="0" fontId="7" fillId="0" borderId="4" xfId="3" applyFont="1" applyBorder="1" applyAlignment="1">
      <alignment horizontal="center" vertical="center"/>
    </xf>
    <xf numFmtId="0" fontId="37" fillId="0" borderId="0" xfId="3" applyFont="1" applyAlignment="1">
      <alignment vertical="center"/>
    </xf>
    <xf numFmtId="0" fontId="37"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1"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5"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49"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3" fontId="40" fillId="2" borderId="1" xfId="0" applyNumberFormat="1" applyFont="1" applyFill="1" applyBorder="1" applyAlignment="1">
      <alignment vertical="center"/>
    </xf>
    <xf numFmtId="3" fontId="40" fillId="3" borderId="15" xfId="0" applyNumberFormat="1" applyFont="1" applyFill="1" applyBorder="1" applyAlignment="1">
      <alignment horizontal="right" vertical="center"/>
    </xf>
    <xf numFmtId="9" fontId="40" fillId="2" borderId="16" xfId="0" applyNumberFormat="1" applyFont="1" applyFill="1" applyBorder="1" applyAlignment="1">
      <alignment horizontal="right" vertical="center"/>
    </xf>
    <xf numFmtId="3" fontId="40" fillId="2" borderId="15" xfId="0" applyNumberFormat="1" applyFont="1" applyFill="1" applyBorder="1" applyAlignment="1">
      <alignment horizontal="right" vertical="center"/>
    </xf>
    <xf numFmtId="0" fontId="3" fillId="2" borderId="1" xfId="0" applyFont="1" applyFill="1" applyBorder="1" applyAlignment="1">
      <alignment vertical="center" wrapText="1"/>
    </xf>
    <xf numFmtId="9" fontId="24" fillId="0" borderId="10" xfId="0" applyNumberFormat="1" applyFont="1" applyBorder="1" applyAlignment="1">
      <alignment horizontal="right"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3" fontId="5" fillId="0" borderId="1" xfId="0" applyNumberFormat="1" applyFont="1" applyBorder="1" applyAlignment="1">
      <alignment horizontal="right" vertical="center"/>
    </xf>
    <xf numFmtId="165" fontId="34" fillId="2" borderId="18" xfId="0" applyNumberFormat="1" applyFont="1" applyFill="1" applyBorder="1" applyAlignment="1">
      <alignment horizontal="right" vertical="center"/>
    </xf>
    <xf numFmtId="165" fontId="6" fillId="0" borderId="18" xfId="0" applyNumberFormat="1" applyFont="1" applyBorder="1" applyAlignment="1">
      <alignment horizontal="right" vertical="center"/>
    </xf>
    <xf numFmtId="0" fontId="6" fillId="0" borderId="14" xfId="0" applyFont="1" applyBorder="1" applyAlignment="1">
      <alignment vertical="center" wrapText="1"/>
    </xf>
    <xf numFmtId="165" fontId="6" fillId="0" borderId="15" xfId="0" applyNumberFormat="1" applyFont="1" applyBorder="1" applyAlignment="1">
      <alignment horizontal="right" vertical="center"/>
    </xf>
    <xf numFmtId="172" fontId="6" fillId="0" borderId="16" xfId="0" applyNumberFormat="1" applyFont="1" applyBorder="1" applyAlignment="1">
      <alignment horizontal="right" vertical="center"/>
    </xf>
    <xf numFmtId="165" fontId="5" fillId="0" borderId="12" xfId="0" applyNumberFormat="1" applyFont="1" applyBorder="1" applyAlignment="1">
      <alignment horizontal="right" vertical="center"/>
    </xf>
    <xf numFmtId="165" fontId="34" fillId="0" borderId="18" xfId="0" applyNumberFormat="1" applyFont="1" applyBorder="1" applyAlignment="1">
      <alignment horizontal="right" vertical="center"/>
    </xf>
    <xf numFmtId="165" fontId="6" fillId="2" borderId="18" xfId="0" applyNumberFormat="1" applyFont="1" applyFill="1" applyBorder="1" applyAlignment="1">
      <alignment horizontal="right" vertical="center"/>
    </xf>
    <xf numFmtId="0" fontId="34" fillId="0" borderId="14" xfId="0" applyFont="1" applyBorder="1" applyAlignment="1">
      <alignment vertical="center" wrapText="1"/>
    </xf>
    <xf numFmtId="165" fontId="34" fillId="0" borderId="15" xfId="0" applyNumberFormat="1" applyFont="1" applyBorder="1" applyAlignment="1">
      <alignment horizontal="right" vertical="center"/>
    </xf>
    <xf numFmtId="172" fontId="34" fillId="0" borderId="16" xfId="0" applyNumberFormat="1" applyFont="1" applyBorder="1" applyAlignment="1">
      <alignment horizontal="right" vertical="center" wrapText="1"/>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165" fontId="6" fillId="0" borderId="16" xfId="0" applyNumberFormat="1" applyFont="1" applyBorder="1" applyAlignment="1">
      <alignment horizontal="right" vertical="center"/>
    </xf>
    <xf numFmtId="0" fontId="5" fillId="0" borderId="13" xfId="0" applyFont="1" applyBorder="1" applyAlignment="1">
      <alignment horizontal="center" vertical="center" wrapText="1"/>
    </xf>
    <xf numFmtId="0" fontId="34" fillId="0" borderId="17" xfId="0" applyFont="1" applyBorder="1" applyAlignment="1">
      <alignment vertical="center" wrapText="1"/>
    </xf>
    <xf numFmtId="165" fontId="6" fillId="0" borderId="19" xfId="0" applyNumberFormat="1" applyFont="1" applyBorder="1" applyAlignment="1">
      <alignment horizontal="right" vertical="center"/>
    </xf>
    <xf numFmtId="0" fontId="5" fillId="0" borderId="9" xfId="0" applyFont="1" applyBorder="1" applyAlignment="1">
      <alignment vertical="center" wrapText="1"/>
    </xf>
    <xf numFmtId="165" fontId="6" fillId="0" borderId="10" xfId="0" applyNumberFormat="1" applyFont="1" applyBorder="1" applyAlignment="1">
      <alignment horizontal="right" vertical="center"/>
    </xf>
    <xf numFmtId="0" fontId="34" fillId="0" borderId="9" xfId="0" applyFont="1" applyBorder="1" applyAlignment="1">
      <alignment horizontal="left" vertical="center" wrapText="1"/>
    </xf>
    <xf numFmtId="165" fontId="34" fillId="0" borderId="10" xfId="0" applyNumberFormat="1" applyFont="1" applyBorder="1" applyAlignment="1">
      <alignment horizontal="right" vertical="center"/>
    </xf>
    <xf numFmtId="0" fontId="34" fillId="0" borderId="9" xfId="0" applyFont="1" applyBorder="1" applyAlignment="1">
      <alignment vertical="center" wrapText="1"/>
    </xf>
    <xf numFmtId="172" fontId="34" fillId="0" borderId="10" xfId="0" applyNumberFormat="1" applyFont="1" applyBorder="1" applyAlignment="1">
      <alignment horizontal="right" vertical="center"/>
    </xf>
    <xf numFmtId="0" fontId="5" fillId="0" borderId="11" xfId="0" applyFont="1" applyBorder="1" applyAlignment="1">
      <alignment vertical="center" wrapText="1"/>
    </xf>
    <xf numFmtId="172" fontId="5" fillId="0" borderId="13" xfId="0" applyNumberFormat="1" applyFont="1" applyBorder="1" applyAlignment="1">
      <alignment horizontal="right" vertical="center"/>
    </xf>
    <xf numFmtId="165" fontId="5" fillId="0" borderId="10" xfId="0" applyNumberFormat="1" applyFont="1" applyBorder="1" applyAlignment="1">
      <alignment horizontal="right" vertical="center"/>
    </xf>
    <xf numFmtId="172" fontId="5" fillId="0" borderId="10" xfId="0" applyNumberFormat="1" applyFont="1" applyBorder="1" applyAlignment="1">
      <alignment horizontal="right" vertical="center"/>
    </xf>
    <xf numFmtId="0" fontId="5" fillId="0" borderId="11" xfId="0" applyFont="1" applyBorder="1" applyAlignment="1">
      <alignment horizontal="left" vertical="center" wrapText="1"/>
    </xf>
    <xf numFmtId="172" fontId="34" fillId="0" borderId="19" xfId="0" applyNumberFormat="1" applyFont="1" applyBorder="1" applyAlignment="1">
      <alignment horizontal="right" vertical="center"/>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175" fontId="6" fillId="2" borderId="27" xfId="0" applyNumberFormat="1" applyFont="1" applyFill="1" applyBorder="1" applyAlignment="1">
      <alignment horizontal="right" vertical="center"/>
    </xf>
    <xf numFmtId="165" fontId="5" fillId="0" borderId="27" xfId="0" applyNumberFormat="1" applyFont="1" applyBorder="1" applyAlignment="1">
      <alignment horizontal="right" vertical="center"/>
    </xf>
    <xf numFmtId="165" fontId="5" fillId="0" borderId="28" xfId="0" applyNumberFormat="1" applyFont="1" applyBorder="1" applyAlignment="1">
      <alignment horizontal="right" vertical="center"/>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174" fontId="6" fillId="2" borderId="50" xfId="0" applyNumberFormat="1" applyFont="1" applyFill="1" applyBorder="1" applyAlignment="1">
      <alignment horizontal="right" vertical="center"/>
    </xf>
    <xf numFmtId="174" fontId="34" fillId="2" borderId="49" xfId="0" applyNumberFormat="1" applyFont="1" applyFill="1" applyBorder="1" applyAlignment="1">
      <alignment horizontal="right" vertical="center"/>
    </xf>
    <xf numFmtId="174" fontId="5" fillId="2" borderId="3" xfId="0" applyNumberFormat="1" applyFont="1" applyFill="1" applyBorder="1" applyAlignment="1">
      <alignment horizontal="right" vertical="center"/>
    </xf>
    <xf numFmtId="174" fontId="6" fillId="2" borderId="3" xfId="0" applyNumberFormat="1" applyFont="1" applyFill="1" applyBorder="1" applyAlignment="1">
      <alignment horizontal="right" vertical="center"/>
    </xf>
    <xf numFmtId="174" fontId="34" fillId="2" borderId="3" xfId="0" applyNumberFormat="1" applyFont="1" applyFill="1" applyBorder="1" applyAlignment="1">
      <alignment horizontal="right" vertical="center"/>
    </xf>
    <xf numFmtId="174" fontId="5" fillId="2" borderId="44" xfId="0" applyNumberFormat="1" applyFont="1" applyFill="1" applyBorder="1" applyAlignment="1">
      <alignment horizontal="right" vertical="center"/>
    </xf>
    <xf numFmtId="172" fontId="5" fillId="2" borderId="3" xfId="0" applyNumberFormat="1" applyFont="1" applyFill="1" applyBorder="1" applyAlignment="1">
      <alignment horizontal="right" vertical="center" wrapText="1"/>
    </xf>
    <xf numFmtId="174" fontId="6" fillId="2" borderId="49" xfId="0" applyNumberFormat="1" applyFont="1" applyFill="1" applyBorder="1" applyAlignment="1">
      <alignment horizontal="right" vertical="center"/>
    </xf>
    <xf numFmtId="175" fontId="6" fillId="2" borderId="50" xfId="0" applyNumberFormat="1" applyFont="1" applyFill="1" applyBorder="1" applyAlignment="1">
      <alignment horizontal="right" vertical="center"/>
    </xf>
    <xf numFmtId="175" fontId="6" fillId="2" borderId="53" xfId="0" applyNumberFormat="1" applyFont="1" applyFill="1" applyBorder="1" applyAlignment="1">
      <alignment horizontal="right" vertical="center"/>
    </xf>
    <xf numFmtId="0" fontId="5" fillId="0" borderId="23" xfId="0" applyFont="1" applyBorder="1" applyAlignment="1">
      <alignment horizontal="center" vertical="center" wrapText="1"/>
    </xf>
    <xf numFmtId="165" fontId="6" fillId="0" borderId="32" xfId="0" applyNumberFormat="1" applyFont="1" applyBorder="1" applyAlignment="1">
      <alignment horizontal="right" vertical="center"/>
    </xf>
    <xf numFmtId="165" fontId="6" fillId="0" borderId="30" xfId="0" applyNumberFormat="1" applyFont="1" applyBorder="1" applyAlignment="1">
      <alignment horizontal="right" vertical="center"/>
    </xf>
    <xf numFmtId="165" fontId="6" fillId="0" borderId="5" xfId="0" applyNumberFormat="1" applyFont="1" applyBorder="1" applyAlignment="1">
      <alignment horizontal="right" vertical="center"/>
    </xf>
    <xf numFmtId="165" fontId="5" fillId="0" borderId="5" xfId="0" applyNumberFormat="1" applyFont="1" applyBorder="1" applyAlignment="1">
      <alignment horizontal="right" vertical="center"/>
    </xf>
    <xf numFmtId="165" fontId="34" fillId="0" borderId="5" xfId="0" applyNumberFormat="1" applyFont="1" applyBorder="1" applyAlignment="1">
      <alignment horizontal="right" vertical="center"/>
    </xf>
    <xf numFmtId="165" fontId="5" fillId="0" borderId="23" xfId="0" applyNumberFormat="1" applyFont="1" applyBorder="1" applyAlignment="1">
      <alignment horizontal="right" vertical="center"/>
    </xf>
    <xf numFmtId="173" fontId="5" fillId="0" borderId="23" xfId="0" applyNumberFormat="1" applyFont="1" applyBorder="1" applyAlignment="1">
      <alignment horizontal="right" vertical="center"/>
    </xf>
    <xf numFmtId="165" fontId="34" fillId="0" borderId="32" xfId="0" applyNumberFormat="1" applyFont="1" applyBorder="1" applyAlignment="1">
      <alignment horizontal="right" vertical="center"/>
    </xf>
    <xf numFmtId="173" fontId="6" fillId="0" borderId="32" xfId="0" applyNumberFormat="1" applyFont="1" applyBorder="1" applyAlignment="1">
      <alignment horizontal="right" vertical="center"/>
    </xf>
    <xf numFmtId="173" fontId="6" fillId="0" borderId="5" xfId="0" applyNumberFormat="1" applyFont="1" applyBorder="1" applyAlignment="1">
      <alignment horizontal="right" vertical="center"/>
    </xf>
    <xf numFmtId="173" fontId="5" fillId="0" borderId="5" xfId="0" applyNumberFormat="1" applyFont="1" applyBorder="1" applyAlignment="1">
      <alignment horizontal="right" vertical="center"/>
    </xf>
    <xf numFmtId="165" fontId="5" fillId="0" borderId="33" xfId="0" applyNumberFormat="1" applyFont="1" applyBorder="1" applyAlignment="1">
      <alignment horizontal="right" vertical="center"/>
    </xf>
    <xf numFmtId="165" fontId="6" fillId="2" borderId="14" xfId="0" applyNumberFormat="1" applyFont="1" applyFill="1" applyBorder="1" applyAlignment="1">
      <alignment horizontal="right" vertical="center"/>
    </xf>
    <xf numFmtId="172" fontId="6" fillId="2" borderId="16" xfId="0" applyNumberFormat="1" applyFont="1" applyFill="1" applyBorder="1" applyAlignment="1">
      <alignment horizontal="right" vertical="center"/>
    </xf>
    <xf numFmtId="165" fontId="34" fillId="2" borderId="17" xfId="0" applyNumberFormat="1" applyFont="1" applyFill="1" applyBorder="1" applyAlignment="1">
      <alignment horizontal="right" vertical="center"/>
    </xf>
    <xf numFmtId="172" fontId="34" fillId="2" borderId="19" xfId="0" applyNumberFormat="1" applyFont="1" applyFill="1" applyBorder="1" applyAlignment="1">
      <alignment horizontal="right" vertical="center"/>
    </xf>
    <xf numFmtId="165" fontId="5" fillId="0" borderId="9" xfId="0" applyNumberFormat="1" applyFont="1" applyBorder="1" applyAlignment="1">
      <alignment horizontal="right" vertical="center"/>
    </xf>
    <xf numFmtId="172" fontId="5" fillId="2" borderId="10" xfId="0" applyNumberFormat="1" applyFont="1" applyFill="1" applyBorder="1" applyAlignment="1">
      <alignment horizontal="right" vertical="center"/>
    </xf>
    <xf numFmtId="172" fontId="5" fillId="2" borderId="10" xfId="0" applyNumberFormat="1" applyFont="1" applyFill="1" applyBorder="1" applyAlignment="1">
      <alignment horizontal="right" vertical="center" wrapText="1"/>
    </xf>
    <xf numFmtId="173" fontId="34" fillId="0" borderId="9" xfId="0" applyNumberFormat="1" applyFont="1" applyBorder="1" applyAlignment="1">
      <alignment horizontal="right" vertical="center"/>
    </xf>
    <xf numFmtId="172" fontId="6" fillId="2" borderId="10" xfId="0" applyNumberFormat="1" applyFont="1" applyFill="1" applyBorder="1" applyAlignment="1">
      <alignment horizontal="right" vertical="center"/>
    </xf>
    <xf numFmtId="173" fontId="5" fillId="0" borderId="9" xfId="0" applyNumberFormat="1" applyFont="1" applyBorder="1" applyAlignment="1">
      <alignment horizontal="right" vertical="center"/>
    </xf>
    <xf numFmtId="165" fontId="34" fillId="0" borderId="9" xfId="0" applyNumberFormat="1" applyFont="1" applyBorder="1" applyAlignment="1">
      <alignment horizontal="right" vertical="center"/>
    </xf>
    <xf numFmtId="172" fontId="34" fillId="2" borderId="10" xfId="0" applyNumberFormat="1" applyFont="1" applyFill="1" applyBorder="1" applyAlignment="1">
      <alignment horizontal="right" vertical="center"/>
    </xf>
    <xf numFmtId="165" fontId="5" fillId="0" borderId="11" xfId="0" applyNumberFormat="1" applyFont="1" applyBorder="1" applyAlignment="1">
      <alignment horizontal="right" vertical="center"/>
    </xf>
    <xf numFmtId="172" fontId="6" fillId="2" borderId="13"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34" fillId="0" borderId="17" xfId="0" applyNumberFormat="1" applyFont="1" applyBorder="1" applyAlignment="1">
      <alignment horizontal="right" vertical="center"/>
    </xf>
    <xf numFmtId="165" fontId="34" fillId="0" borderId="14" xfId="0" applyNumberFormat="1" applyFont="1" applyBorder="1" applyAlignment="1">
      <alignment horizontal="right" vertical="center"/>
    </xf>
    <xf numFmtId="165" fontId="6" fillId="0" borderId="9" xfId="0" applyNumberFormat="1" applyFont="1" applyBorder="1" applyAlignment="1">
      <alignment horizontal="right" vertical="center"/>
    </xf>
    <xf numFmtId="165" fontId="5" fillId="0" borderId="26" xfId="0" applyNumberFormat="1" applyFont="1" applyBorder="1" applyAlignment="1">
      <alignment horizontal="right" vertical="center"/>
    </xf>
    <xf numFmtId="172" fontId="6" fillId="2" borderId="28" xfId="0" applyNumberFormat="1" applyFont="1" applyFill="1" applyBorder="1" applyAlignment="1">
      <alignment horizontal="right" vertical="center"/>
    </xf>
    <xf numFmtId="165" fontId="6" fillId="2" borderId="32" xfId="0" applyNumberFormat="1" applyFont="1" applyFill="1" applyBorder="1" applyAlignment="1">
      <alignment horizontal="right" vertical="center"/>
    </xf>
    <xf numFmtId="165" fontId="34" fillId="2" borderId="30" xfId="0" applyNumberFormat="1" applyFont="1" applyFill="1" applyBorder="1" applyAlignment="1">
      <alignment horizontal="right" vertical="center"/>
    </xf>
    <xf numFmtId="173" fontId="34" fillId="0" borderId="5" xfId="0" applyNumberFormat="1" applyFont="1" applyBorder="1" applyAlignment="1">
      <alignment horizontal="right" vertical="center"/>
    </xf>
    <xf numFmtId="165" fontId="34" fillId="0" borderId="30" xfId="0" applyNumberFormat="1" applyFont="1" applyBorder="1" applyAlignment="1">
      <alignment horizontal="right" vertical="center"/>
    </xf>
    <xf numFmtId="1" fontId="6" fillId="0" borderId="32" xfId="0" applyNumberFormat="1" applyFont="1" applyBorder="1" applyAlignment="1">
      <alignment horizontal="right" vertical="center"/>
    </xf>
    <xf numFmtId="175" fontId="5" fillId="0" borderId="33" xfId="0" applyNumberFormat="1" applyFont="1" applyBorder="1" applyAlignment="1">
      <alignment horizontal="right" vertical="center"/>
    </xf>
    <xf numFmtId="0" fontId="6" fillId="0" borderId="16" xfId="0" applyFont="1" applyBorder="1" applyAlignment="1">
      <alignment vertical="center" wrapText="1"/>
    </xf>
    <xf numFmtId="0" fontId="34" fillId="0" borderId="19" xfId="0" applyFont="1" applyBorder="1" applyAlignment="1">
      <alignment vertical="center" wrapText="1"/>
    </xf>
    <xf numFmtId="0" fontId="5" fillId="0" borderId="10" xfId="0" applyFont="1" applyBorder="1" applyAlignment="1">
      <alignment vertical="center" wrapText="1"/>
    </xf>
    <xf numFmtId="0" fontId="34"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4"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172" fontId="5" fillId="0" borderId="28" xfId="0" applyNumberFormat="1" applyFont="1" applyBorder="1" applyAlignment="1">
      <alignment horizontal="right" vertical="center" wrapText="1"/>
    </xf>
    <xf numFmtId="3" fontId="5" fillId="0" borderId="55"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3" fontId="5" fillId="0" borderId="3" xfId="0" applyNumberFormat="1" applyFont="1" applyBorder="1" applyAlignment="1">
      <alignment horizontal="center"/>
    </xf>
    <xf numFmtId="165" fontId="6" fillId="0" borderId="3" xfId="0" applyNumberFormat="1" applyFont="1" applyBorder="1" applyAlignment="1">
      <alignment horizontal="center" vertical="center"/>
    </xf>
    <xf numFmtId="165" fontId="6" fillId="0" borderId="3" xfId="0" applyNumberFormat="1" applyFont="1" applyBorder="1" applyAlignment="1">
      <alignment horizontal="center"/>
    </xf>
    <xf numFmtId="165" fontId="6" fillId="0" borderId="46" xfId="0" applyNumberFormat="1" applyFont="1" applyBorder="1" applyAlignment="1">
      <alignment horizontal="center"/>
    </xf>
    <xf numFmtId="0" fontId="0" fillId="0" borderId="1" xfId="0" applyBorder="1"/>
    <xf numFmtId="0" fontId="31" fillId="0" borderId="1" xfId="0" applyFont="1" applyBorder="1"/>
    <xf numFmtId="0" fontId="6" fillId="0" borderId="39" xfId="0" applyFont="1" applyBorder="1" applyAlignment="1">
      <alignment horizontal="center" vertical="center"/>
    </xf>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1" fillId="0" borderId="10" xfId="0" applyFont="1" applyBorder="1"/>
    <xf numFmtId="0" fontId="0" fillId="0" borderId="19" xfId="0" applyBorder="1"/>
    <xf numFmtId="0" fontId="1" fillId="0" borderId="57" xfId="0" applyFont="1" applyBorder="1" applyAlignment="1">
      <alignment horizontal="center" vertical="top" wrapText="1"/>
    </xf>
    <xf numFmtId="3" fontId="5" fillId="0" borderId="1" xfId="0" applyNumberFormat="1" applyFont="1" applyBorder="1" applyAlignment="1">
      <alignment horizontal="center"/>
    </xf>
    <xf numFmtId="3" fontId="6" fillId="0" borderId="55"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176" fontId="6" fillId="0" borderId="1" xfId="0" applyNumberFormat="1" applyFont="1" applyBorder="1" applyAlignment="1">
      <alignment horizontal="center"/>
    </xf>
    <xf numFmtId="0" fontId="6" fillId="0" borderId="41" xfId="0" applyFont="1" applyBorder="1" applyAlignment="1">
      <alignment horizontal="center" vertical="center"/>
    </xf>
    <xf numFmtId="3" fontId="6" fillId="0" borderId="7" xfId="0" applyNumberFormat="1" applyFont="1" applyBorder="1" applyAlignment="1">
      <alignment horizont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59"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1" fontId="5" fillId="0" borderId="8" xfId="0" applyNumberFormat="1" applyFont="1" applyBorder="1" applyAlignment="1">
      <alignment horizontal="center"/>
    </xf>
    <xf numFmtId="171" fontId="5" fillId="0" borderId="22" xfId="0" applyNumberFormat="1" applyFont="1" applyBorder="1" applyAlignment="1">
      <alignment horizontal="center"/>
    </xf>
    <xf numFmtId="171" fontId="5" fillId="0" borderId="10" xfId="0" applyNumberFormat="1" applyFont="1" applyBorder="1" applyAlignment="1">
      <alignment horizontal="center"/>
    </xf>
    <xf numFmtId="0" fontId="7" fillId="0" borderId="0" xfId="0" applyFont="1" applyAlignment="1">
      <alignmen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30" fillId="2" borderId="0" xfId="0" applyFont="1" applyFill="1"/>
    <xf numFmtId="0" fontId="7" fillId="0" borderId="2" xfId="0" applyFont="1" applyBorder="1" applyAlignment="1">
      <alignment vertical="center"/>
    </xf>
    <xf numFmtId="0" fontId="7" fillId="0" borderId="4" xfId="0" applyFont="1" applyBorder="1" applyAlignment="1">
      <alignmen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50" fillId="0" borderId="0" xfId="0" applyFont="1"/>
    <xf numFmtId="165" fontId="6" fillId="2" borderId="50" xfId="0" applyNumberFormat="1" applyFont="1" applyFill="1" applyBorder="1" applyAlignment="1">
      <alignment vertical="center"/>
    </xf>
    <xf numFmtId="168" fontId="6" fillId="2" borderId="14" xfId="0" applyNumberFormat="1" applyFont="1" applyFill="1" applyBorder="1" applyAlignment="1">
      <alignment horizontal="center" vertical="center" wrapText="1"/>
    </xf>
    <xf numFmtId="168" fontId="6" fillId="2" borderId="16" xfId="0" applyNumberFormat="1" applyFont="1" applyFill="1" applyBorder="1" applyAlignment="1">
      <alignment horizontal="center" vertical="center" wrapText="1"/>
    </xf>
    <xf numFmtId="165" fontId="6" fillId="2" borderId="12" xfId="0" applyNumberFormat="1" applyFont="1" applyFill="1" applyBorder="1" applyAlignment="1">
      <alignment horizontal="right" vertical="center"/>
    </xf>
    <xf numFmtId="165" fontId="8" fillId="2" borderId="44" xfId="0" applyNumberFormat="1" applyFont="1" applyFill="1" applyBorder="1" applyAlignment="1">
      <alignment horizontal="right" vertical="center"/>
    </xf>
    <xf numFmtId="165" fontId="8" fillId="2" borderId="12" xfId="0" applyNumberFormat="1" applyFont="1" applyFill="1" applyBorder="1" applyAlignment="1">
      <alignment horizontal="right" vertical="center"/>
    </xf>
    <xf numFmtId="165" fontId="5" fillId="2" borderId="18" xfId="0" applyNumberFormat="1" applyFont="1" applyFill="1" applyBorder="1" applyAlignment="1">
      <alignment horizontal="left"/>
    </xf>
    <xf numFmtId="168" fontId="6" fillId="2" borderId="15" xfId="0" applyNumberFormat="1" applyFont="1" applyFill="1" applyBorder="1" applyAlignment="1">
      <alignment horizontal="center" vertical="center" wrapText="1"/>
    </xf>
    <xf numFmtId="165" fontId="6" fillId="0" borderId="44" xfId="0" applyNumberFormat="1" applyFont="1" applyBorder="1" applyAlignment="1">
      <alignment horizontal="center" vertical="center"/>
    </xf>
    <xf numFmtId="0" fontId="14" fillId="0" borderId="21" xfId="3" applyFont="1" applyBorder="1" applyAlignment="1">
      <alignment horizontal="center" vertical="center" textRotation="90" wrapText="1"/>
    </xf>
    <xf numFmtId="0" fontId="5" fillId="2" borderId="19" xfId="0" applyFont="1" applyFill="1" applyBorder="1" applyAlignment="1">
      <alignment horizontal="left"/>
    </xf>
    <xf numFmtId="165" fontId="6" fillId="2" borderId="10" xfId="0" applyNumberFormat="1" applyFont="1" applyFill="1" applyBorder="1" applyAlignment="1">
      <alignment horizontal="right" vertical="center"/>
    </xf>
    <xf numFmtId="165" fontId="5" fillId="2" borderId="10" xfId="0" applyNumberFormat="1" applyFont="1" applyFill="1" applyBorder="1" applyAlignment="1">
      <alignment horizontal="right" vertical="center"/>
    </xf>
    <xf numFmtId="165" fontId="8" fillId="2" borderId="10" xfId="0" applyNumberFormat="1" applyFont="1" applyFill="1" applyBorder="1" applyAlignment="1">
      <alignment horizontal="right" vertical="center"/>
    </xf>
    <xf numFmtId="165" fontId="8" fillId="2" borderId="13" xfId="0" applyNumberFormat="1" applyFont="1" applyFill="1" applyBorder="1" applyAlignment="1">
      <alignment horizontal="right" vertical="center"/>
    </xf>
    <xf numFmtId="165" fontId="5" fillId="2" borderId="19" xfId="0" applyNumberFormat="1" applyFont="1" applyFill="1" applyBorder="1" applyAlignment="1">
      <alignment horizontal="left"/>
    </xf>
    <xf numFmtId="165" fontId="34" fillId="2" borderId="10" xfId="0" applyNumberFormat="1" applyFont="1" applyFill="1" applyBorder="1" applyAlignment="1">
      <alignment horizontal="right" vertical="center"/>
    </xf>
    <xf numFmtId="165" fontId="5" fillId="2" borderId="13" xfId="0" applyNumberFormat="1" applyFont="1" applyFill="1" applyBorder="1" applyAlignment="1">
      <alignment horizontal="right" vertical="center"/>
    </xf>
    <xf numFmtId="0" fontId="27" fillId="2" borderId="1" xfId="3" applyFont="1" applyFill="1" applyBorder="1" applyAlignment="1">
      <alignment vertical="center" wrapText="1"/>
    </xf>
    <xf numFmtId="0" fontId="7" fillId="2" borderId="1" xfId="3" applyFont="1" applyFill="1" applyBorder="1" applyAlignment="1">
      <alignment vertical="center" wrapText="1"/>
    </xf>
    <xf numFmtId="0" fontId="27" fillId="2" borderId="12" xfId="3" applyFont="1" applyFill="1" applyBorder="1" applyAlignment="1">
      <alignment vertical="center" wrapText="1"/>
    </xf>
    <xf numFmtId="0" fontId="7" fillId="2" borderId="12" xfId="3"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8" fontId="5" fillId="2" borderId="19" xfId="0" applyNumberFormat="1" applyFont="1" applyFill="1" applyBorder="1" applyAlignment="1">
      <alignment horizontal="center" vertical="center" wrapText="1"/>
    </xf>
    <xf numFmtId="168" fontId="5" fillId="2" borderId="10" xfId="0" applyNumberFormat="1" applyFont="1" applyFill="1" applyBorder="1" applyAlignment="1">
      <alignment horizontal="center" vertical="center" wrapText="1"/>
    </xf>
    <xf numFmtId="168" fontId="5" fillId="2" borderId="13" xfId="0" applyNumberFormat="1" applyFont="1" applyFill="1" applyBorder="1" applyAlignment="1">
      <alignment horizontal="center" vertical="center" wrapText="1"/>
    </xf>
    <xf numFmtId="168" fontId="5" fillId="2" borderId="28"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6" fontId="6" fillId="0" borderId="10" xfId="0" applyNumberFormat="1" applyFont="1" applyBorder="1" applyAlignment="1">
      <alignment horizontal="center"/>
    </xf>
    <xf numFmtId="165" fontId="6" fillId="0" borderId="10" xfId="0" applyNumberFormat="1" applyFont="1" applyBorder="1" applyAlignment="1">
      <alignment horizontal="center" vertical="center"/>
    </xf>
    <xf numFmtId="3" fontId="40" fillId="2" borderId="12" xfId="0" applyNumberFormat="1" applyFont="1" applyFill="1" applyBorder="1" applyAlignment="1">
      <alignment horizontal="right" vertical="center" wrapText="1"/>
    </xf>
    <xf numFmtId="3" fontId="40" fillId="2" borderId="12" xfId="0" applyNumberFormat="1" applyFont="1" applyFill="1" applyBorder="1" applyAlignment="1">
      <alignment horizontal="right" vertical="center"/>
    </xf>
    <xf numFmtId="3" fontId="40" fillId="0" borderId="12" xfId="0" applyNumberFormat="1" applyFont="1" applyBorder="1" applyAlignment="1">
      <alignment horizontal="right" vertical="center" wrapText="1"/>
    </xf>
    <xf numFmtId="3" fontId="40" fillId="3" borderId="12" xfId="0" applyNumberFormat="1" applyFont="1" applyFill="1" applyBorder="1" applyAlignment="1">
      <alignment horizontal="right" vertical="center"/>
    </xf>
    <xf numFmtId="9" fontId="40" fillId="2" borderId="13" xfId="0" applyNumberFormat="1" applyFont="1" applyFill="1" applyBorder="1" applyAlignment="1">
      <alignment horizontal="right" vertical="center"/>
    </xf>
    <xf numFmtId="165" fontId="8" fillId="2" borderId="27" xfId="0" applyNumberFormat="1" applyFont="1" applyFill="1" applyBorder="1" applyAlignment="1">
      <alignment horizontal="right" vertical="center" wrapText="1"/>
    </xf>
    <xf numFmtId="0" fontId="7" fillId="2" borderId="27" xfId="3" applyFont="1" applyFill="1" applyBorder="1" applyAlignment="1">
      <alignment vertical="center" wrapText="1"/>
    </xf>
    <xf numFmtId="0" fontId="7" fillId="2" borderId="18" xfId="3" applyFont="1" applyFill="1" applyBorder="1" applyAlignment="1">
      <alignment vertical="center" wrapText="1"/>
    </xf>
    <xf numFmtId="165" fontId="5" fillId="2" borderId="18" xfId="0" applyNumberFormat="1" applyFont="1" applyFill="1" applyBorder="1" applyAlignment="1">
      <alignment horizontal="center" vertical="center" wrapText="1"/>
    </xf>
    <xf numFmtId="49" fontId="20" fillId="0" borderId="57"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32" xfId="0" applyNumberFormat="1" applyFont="1" applyBorder="1" applyAlignment="1">
      <alignment horizontal="center" vertical="center"/>
    </xf>
    <xf numFmtId="3" fontId="20" fillId="3" borderId="15" xfId="0" applyNumberFormat="1" applyFont="1" applyFill="1" applyBorder="1" applyAlignment="1">
      <alignment horizontal="right" vertical="center" wrapText="1"/>
    </xf>
    <xf numFmtId="3" fontId="20" fillId="3" borderId="32" xfId="0" applyNumberFormat="1" applyFont="1" applyFill="1" applyBorder="1" applyAlignment="1">
      <alignment horizontal="right" vertical="center" wrapText="1"/>
    </xf>
    <xf numFmtId="167" fontId="20" fillId="2" borderId="32"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46" fillId="0" borderId="27" xfId="0" applyFont="1" applyBorder="1" applyAlignment="1">
      <alignment vertical="center" wrapText="1"/>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33" xfId="0" applyNumberFormat="1" applyFont="1" applyFill="1" applyBorder="1" applyAlignment="1">
      <alignment horizontal="right" vertical="center" wrapText="1"/>
    </xf>
    <xf numFmtId="167" fontId="24" fillId="0" borderId="33"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167" fontId="25" fillId="0" borderId="3" xfId="1" applyNumberFormat="1" applyFont="1" applyFill="1" applyBorder="1" applyAlignment="1">
      <alignment horizontal="right" vertical="center" wrapText="1"/>
    </xf>
    <xf numFmtId="0" fontId="25" fillId="3" borderId="27" xfId="0" applyFont="1" applyFill="1" applyBorder="1" applyAlignment="1">
      <alignment horizontal="left"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7" fontId="25" fillId="0" borderId="27" xfId="1" applyNumberFormat="1" applyFont="1" applyFill="1" applyBorder="1" applyAlignment="1">
      <alignment horizontal="right" vertical="center" wrapText="1"/>
    </xf>
    <xf numFmtId="167" fontId="25" fillId="0" borderId="53"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2" fillId="2" borderId="15" xfId="0" quotePrefix="1" applyFont="1" applyFill="1" applyBorder="1" applyAlignment="1">
      <alignmen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167" fontId="20" fillId="0" borderId="15" xfId="1" applyNumberFormat="1" applyFont="1" applyFill="1" applyBorder="1" applyAlignment="1">
      <alignment horizontal="right" vertical="center" wrapText="1"/>
    </xf>
    <xf numFmtId="9" fontId="25" fillId="0" borderId="16" xfId="0" applyNumberFormat="1" applyFont="1" applyBorder="1" applyAlignment="1">
      <alignment horizontal="right" vertical="center" wrapText="1"/>
    </xf>
    <xf numFmtId="0" fontId="26" fillId="2" borderId="17"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47" fillId="2" borderId="18" xfId="0" quotePrefix="1" applyFont="1" applyFill="1" applyBorder="1" applyAlignment="1">
      <alignment vertical="center" wrapText="1"/>
    </xf>
    <xf numFmtId="0" fontId="25" fillId="3" borderId="18" xfId="0" applyFont="1" applyFill="1" applyBorder="1" applyAlignment="1">
      <alignment horizontal="left" vertical="center" wrapText="1"/>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wrapText="1"/>
    </xf>
    <xf numFmtId="167" fontId="24" fillId="0" borderId="18" xfId="1" applyNumberFormat="1" applyFont="1" applyFill="1" applyBorder="1" applyAlignment="1">
      <alignment horizontal="right" vertical="center" wrapText="1"/>
    </xf>
    <xf numFmtId="9" fontId="25" fillId="0" borderId="19" xfId="0" applyNumberFormat="1" applyFont="1" applyBorder="1" applyAlignment="1">
      <alignment horizontal="right" vertical="center" wrapText="1"/>
    </xf>
    <xf numFmtId="0" fontId="24" fillId="3" borderId="18" xfId="0" applyFont="1" applyFill="1" applyBorder="1" applyAlignment="1">
      <alignment horizontal="left" vertical="center" wrapText="1"/>
    </xf>
    <xf numFmtId="49" fontId="24"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3" fontId="24" fillId="0" borderId="12" xfId="0" applyNumberFormat="1" applyFont="1" applyBorder="1" applyAlignment="1">
      <alignment horizontal="right" vertical="center" wrapText="1"/>
    </xf>
    <xf numFmtId="167" fontId="25" fillId="0" borderId="12" xfId="1" applyNumberFormat="1" applyFont="1" applyFill="1" applyBorder="1" applyAlignment="1">
      <alignment horizontal="right" vertical="center" wrapText="1"/>
    </xf>
    <xf numFmtId="167" fontId="25" fillId="0" borderId="44" xfId="1" applyNumberFormat="1" applyFont="1" applyFill="1" applyBorder="1" applyAlignment="1">
      <alignment horizontal="right" vertical="center" wrapText="1"/>
    </xf>
    <xf numFmtId="9" fontId="24" fillId="0" borderId="13" xfId="0" applyNumberFormat="1" applyFont="1" applyBorder="1" applyAlignment="1">
      <alignment horizontal="right" vertical="center" wrapText="1"/>
    </xf>
    <xf numFmtId="49" fontId="2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20" fillId="3" borderId="15" xfId="0" applyFont="1" applyFill="1" applyBorder="1" applyAlignment="1">
      <alignment horizontal="left" vertical="center"/>
    </xf>
    <xf numFmtId="0" fontId="20" fillId="3" borderId="15" xfId="0" applyFont="1" applyFill="1" applyBorder="1" applyAlignment="1">
      <alignment horizontal="right" vertical="center" wrapText="1"/>
    </xf>
    <xf numFmtId="167" fontId="20" fillId="3" borderId="15" xfId="1" applyNumberFormat="1" applyFont="1" applyFill="1" applyBorder="1" applyAlignment="1">
      <alignment horizontal="right" vertical="center" wrapText="1"/>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46" fillId="0" borderId="18" xfId="0" applyNumberFormat="1" applyFont="1" applyBorder="1" applyAlignment="1">
      <alignment vertical="center" wrapText="1"/>
    </xf>
    <xf numFmtId="0" fontId="20" fillId="3" borderId="18" xfId="0" applyFont="1" applyFill="1" applyBorder="1" applyAlignment="1">
      <alignment horizontal="left" vertical="center" wrapText="1"/>
    </xf>
    <xf numFmtId="0" fontId="20" fillId="3" borderId="18" xfId="0" applyFont="1" applyFill="1" applyBorder="1" applyAlignment="1">
      <alignment horizontal="right" vertical="center" wrapText="1"/>
    </xf>
    <xf numFmtId="167" fontId="24" fillId="3" borderId="18" xfId="1" applyNumberFormat="1" applyFont="1" applyFill="1" applyBorder="1" applyAlignment="1">
      <alignment horizontal="right" vertical="center" wrapText="1"/>
    </xf>
    <xf numFmtId="0" fontId="40" fillId="0" borderId="12" xfId="0" applyFont="1" applyBorder="1" applyAlignment="1">
      <alignment vertical="center" wrapText="1"/>
    </xf>
    <xf numFmtId="3" fontId="20" fillId="0" borderId="15" xfId="0" applyNumberFormat="1" applyFont="1" applyBorder="1" applyAlignment="1">
      <alignment horizontal="right" vertical="center"/>
    </xf>
    <xf numFmtId="3" fontId="46" fillId="0" borderId="18" xfId="0" applyNumberFormat="1" applyFont="1" applyBorder="1" applyAlignment="1">
      <alignment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3" fontId="25" fillId="2" borderId="1" xfId="0" applyNumberFormat="1" applyFont="1" applyFill="1" applyBorder="1" applyAlignment="1">
      <alignment horizontal="left" vertical="center" wrapText="1"/>
    </xf>
    <xf numFmtId="3" fontId="25" fillId="2" borderId="1" xfId="0" applyNumberFormat="1" applyFont="1" applyFill="1" applyBorder="1" applyAlignment="1">
      <alignment horizontal="right" vertical="center"/>
    </xf>
    <xf numFmtId="9" fontId="25" fillId="2" borderId="1" xfId="6" applyFont="1" applyFill="1" applyBorder="1" applyAlignment="1">
      <alignment horizontal="right" vertical="center" wrapText="1"/>
    </xf>
    <xf numFmtId="3" fontId="25" fillId="2" borderId="3"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3" fontId="25" fillId="2" borderId="3" xfId="0" applyNumberFormat="1" applyFont="1" applyFill="1" applyBorder="1" applyAlignment="1">
      <alignment horizontal="left" vertical="center" wrapText="1"/>
    </xf>
    <xf numFmtId="3" fontId="25" fillId="2" borderId="44"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wrapText="1"/>
    </xf>
    <xf numFmtId="3" fontId="24" fillId="2" borderId="1" xfId="0" applyNumberFormat="1" applyFont="1" applyFill="1" applyBorder="1" applyAlignment="1">
      <alignment horizontal="left" vertical="center" wrapText="1"/>
    </xf>
    <xf numFmtId="3" fontId="24" fillId="2" borderId="3" xfId="0" applyNumberFormat="1" applyFont="1" applyFill="1" applyBorder="1" applyAlignment="1">
      <alignment horizontal="right" vertical="center" wrapText="1"/>
    </xf>
    <xf numFmtId="3" fontId="24" fillId="2" borderId="3" xfId="0" applyNumberFormat="1" applyFont="1" applyFill="1" applyBorder="1" applyAlignment="1">
      <alignment horizontal="center" vertical="center" wrapText="1"/>
    </xf>
    <xf numFmtId="9" fontId="24" fillId="2" borderId="1" xfId="0" applyNumberFormat="1" applyFont="1" applyFill="1" applyBorder="1" applyAlignment="1">
      <alignment horizontal="center" vertical="center"/>
    </xf>
    <xf numFmtId="3" fontId="24" fillId="2" borderId="1" xfId="0" applyNumberFormat="1" applyFont="1" applyFill="1" applyBorder="1" applyAlignment="1">
      <alignment horizontal="center" vertical="center" wrapText="1"/>
    </xf>
    <xf numFmtId="9" fontId="24" fillId="2" borderId="10" xfId="0" applyNumberFormat="1" applyFont="1" applyFill="1" applyBorder="1" applyAlignment="1">
      <alignment horizontal="right" vertical="center" wrapText="1"/>
    </xf>
    <xf numFmtId="3" fontId="25" fillId="0" borderId="1" xfId="0" applyNumberFormat="1" applyFont="1" applyBorder="1" applyAlignment="1">
      <alignment vertical="center" wrapText="1"/>
    </xf>
    <xf numFmtId="0" fontId="25" fillId="0" borderId="3" xfId="0" applyFont="1" applyBorder="1" applyAlignment="1">
      <alignment vertical="center" wrapText="1"/>
    </xf>
    <xf numFmtId="9" fontId="25" fillId="0" borderId="1" xfId="0" applyNumberFormat="1" applyFont="1" applyBorder="1" applyAlignment="1">
      <alignment horizontal="right" vertical="center"/>
    </xf>
    <xf numFmtId="3" fontId="3" fillId="0" borderId="3" xfId="0" applyNumberFormat="1" applyFont="1" applyBorder="1" applyAlignment="1">
      <alignment vertical="center"/>
    </xf>
    <xf numFmtId="9" fontId="25" fillId="0" borderId="10" xfId="0" applyNumberFormat="1" applyFont="1" applyBorder="1" applyAlignment="1">
      <alignment horizontal="right" vertical="center"/>
    </xf>
    <xf numFmtId="9" fontId="24" fillId="0" borderId="1" xfId="0" applyNumberFormat="1" applyFont="1" applyBorder="1" applyAlignment="1">
      <alignment horizontal="center" vertical="center"/>
    </xf>
    <xf numFmtId="0" fontId="25" fillId="2" borderId="1" xfId="0" applyFont="1" applyFill="1" applyBorder="1" applyAlignment="1">
      <alignment vertical="center" wrapText="1"/>
    </xf>
    <xf numFmtId="9" fontId="25" fillId="2" borderId="1" xfId="0" applyNumberFormat="1" applyFont="1" applyFill="1" applyBorder="1" applyAlignment="1">
      <alignment horizontal="right" vertical="center" wrapText="1"/>
    </xf>
    <xf numFmtId="165" fontId="3" fillId="2" borderId="3" xfId="0" applyNumberFormat="1" applyFont="1" applyFill="1" applyBorder="1" applyAlignment="1">
      <alignment horizontal="right" vertical="center"/>
    </xf>
    <xf numFmtId="9" fontId="25" fillId="2" borderId="10" xfId="0" applyNumberFormat="1" applyFont="1" applyFill="1" applyBorder="1" applyAlignment="1">
      <alignment horizontal="right" vertical="center"/>
    </xf>
    <xf numFmtId="0" fontId="24" fillId="2" borderId="1" xfId="0" applyFont="1" applyFill="1" applyBorder="1" applyAlignment="1">
      <alignment vertical="center" wrapText="1"/>
    </xf>
    <xf numFmtId="3" fontId="24" fillId="2" borderId="1" xfId="0" applyNumberFormat="1" applyFont="1" applyFill="1" applyBorder="1" applyAlignment="1">
      <alignment horizontal="right" vertical="center" wrapText="1"/>
    </xf>
    <xf numFmtId="9" fontId="24" fillId="2" borderId="1" xfId="0" applyNumberFormat="1" applyFont="1" applyFill="1" applyBorder="1" applyAlignment="1">
      <alignment horizontal="center" vertical="center" wrapText="1"/>
    </xf>
    <xf numFmtId="3" fontId="24" fillId="2" borderId="3" xfId="0" applyNumberFormat="1" applyFont="1" applyFill="1" applyBorder="1" applyAlignment="1">
      <alignment horizontal="right" vertical="center"/>
    </xf>
    <xf numFmtId="9" fontId="24" fillId="2" borderId="10" xfId="0" applyNumberFormat="1" applyFont="1" applyFill="1" applyBorder="1" applyAlignment="1">
      <alignment horizontal="right" vertical="center"/>
    </xf>
    <xf numFmtId="9" fontId="25" fillId="0" borderId="1" xfId="0" applyNumberFormat="1" applyFont="1" applyBorder="1" applyAlignment="1">
      <alignment vertical="center" wrapText="1"/>
    </xf>
    <xf numFmtId="3" fontId="25" fillId="0" borderId="3" xfId="0" applyNumberFormat="1" applyFont="1" applyBorder="1" applyAlignment="1">
      <alignment horizontal="right" vertical="center"/>
    </xf>
    <xf numFmtId="0" fontId="24" fillId="0" borderId="1" xfId="0" applyFont="1" applyBorder="1" applyAlignment="1">
      <alignment vertical="center" wrapText="1"/>
    </xf>
    <xf numFmtId="3" fontId="24" fillId="0" borderId="3" xfId="0" applyNumberFormat="1" applyFont="1" applyBorder="1" applyAlignment="1">
      <alignment horizontal="right" vertical="center"/>
    </xf>
    <xf numFmtId="0" fontId="24" fillId="0" borderId="3" xfId="0" applyFont="1" applyBorder="1" applyAlignment="1">
      <alignment vertical="center" wrapText="1"/>
    </xf>
    <xf numFmtId="9" fontId="24" fillId="0" borderId="1" xfId="0" applyNumberFormat="1" applyFont="1" applyBorder="1" applyAlignment="1">
      <alignment horizontal="center" vertical="center" wrapText="1"/>
    </xf>
    <xf numFmtId="3" fontId="25" fillId="2" borderId="5" xfId="0" applyNumberFormat="1" applyFont="1" applyFill="1" applyBorder="1" applyAlignment="1">
      <alignment horizontal="left" vertical="center" wrapText="1"/>
    </xf>
    <xf numFmtId="9" fontId="25"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49" fontId="33" fillId="0" borderId="1" xfId="0" quotePrefix="1" applyNumberFormat="1" applyFont="1" applyBorder="1" applyAlignment="1">
      <alignment horizontal="center" vertical="center" wrapText="1"/>
    </xf>
    <xf numFmtId="9" fontId="25" fillId="2" borderId="1" xfId="0" applyNumberFormat="1" applyFont="1" applyFill="1" applyBorder="1" applyAlignment="1">
      <alignment horizontal="right" vertical="center"/>
    </xf>
    <xf numFmtId="3" fontId="25" fillId="2" borderId="3" xfId="0" applyNumberFormat="1" applyFont="1" applyFill="1" applyBorder="1" applyAlignment="1">
      <alignment horizontal="right" vertical="center"/>
    </xf>
    <xf numFmtId="3" fontId="24" fillId="0" borderId="3" xfId="0" applyNumberFormat="1" applyFont="1" applyBorder="1" applyAlignment="1">
      <alignment vertical="center" wrapText="1"/>
    </xf>
    <xf numFmtId="9" fontId="24" fillId="2" borderId="1" xfId="0" applyNumberFormat="1" applyFont="1" applyFill="1" applyBorder="1" applyAlignment="1">
      <alignment horizontal="right" vertical="center"/>
    </xf>
    <xf numFmtId="0" fontId="40"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right" vertical="center" wrapText="1"/>
    </xf>
    <xf numFmtId="0" fontId="24" fillId="2" borderId="1" xfId="0" applyFont="1" applyFill="1" applyBorder="1" applyAlignment="1">
      <alignment horizontal="left" vertical="center" wrapText="1"/>
    </xf>
    <xf numFmtId="9" fontId="24" fillId="2" borderId="1" xfId="0" applyNumberFormat="1" applyFont="1" applyFill="1" applyBorder="1" applyAlignment="1">
      <alignment horizontal="right" vertical="center" wrapText="1"/>
    </xf>
    <xf numFmtId="0" fontId="25" fillId="0" borderId="15" xfId="0" applyFont="1" applyBorder="1" applyAlignment="1">
      <alignment vertical="center" wrapText="1"/>
    </xf>
    <xf numFmtId="0" fontId="25" fillId="0" borderId="15" xfId="0" applyFont="1" applyBorder="1" applyAlignment="1">
      <alignment horizontal="center" vertical="center" wrapText="1"/>
    </xf>
    <xf numFmtId="3" fontId="24" fillId="2" borderId="15" xfId="0" applyNumberFormat="1" applyFont="1" applyFill="1" applyBorder="1" applyAlignment="1">
      <alignment vertical="center"/>
    </xf>
    <xf numFmtId="3" fontId="24" fillId="0" borderId="15" xfId="0" applyNumberFormat="1" applyFont="1" applyBorder="1" applyAlignment="1">
      <alignment vertical="center" wrapText="1"/>
    </xf>
    <xf numFmtId="168" fontId="24" fillId="0" borderId="15" xfId="0" applyNumberFormat="1" applyFont="1" applyBorder="1" applyAlignment="1">
      <alignment vertical="center" wrapText="1"/>
    </xf>
    <xf numFmtId="168" fontId="24" fillId="0" borderId="16" xfId="0" applyNumberFormat="1" applyFont="1" applyBorder="1" applyAlignment="1">
      <alignment horizontal="right" vertical="center"/>
    </xf>
    <xf numFmtId="0" fontId="25" fillId="0" borderId="18" xfId="0" applyFont="1" applyBorder="1" applyAlignment="1">
      <alignment vertical="center" wrapText="1"/>
    </xf>
    <xf numFmtId="3" fontId="24" fillId="2" borderId="18" xfId="0" applyNumberFormat="1" applyFont="1" applyFill="1" applyBorder="1" applyAlignment="1">
      <alignment vertical="center"/>
    </xf>
    <xf numFmtId="3" fontId="24" fillId="0" borderId="18" xfId="0" applyNumberFormat="1" applyFont="1" applyBorder="1" applyAlignment="1">
      <alignment vertical="center" wrapText="1"/>
    </xf>
    <xf numFmtId="168" fontId="24" fillId="0" borderId="18" xfId="0" applyNumberFormat="1" applyFont="1" applyBorder="1" applyAlignment="1">
      <alignment vertical="center" wrapText="1"/>
    </xf>
    <xf numFmtId="168" fontId="24" fillId="0" borderId="19" xfId="0" applyNumberFormat="1" applyFont="1" applyBorder="1" applyAlignment="1">
      <alignment horizontal="right" vertical="center"/>
    </xf>
    <xf numFmtId="3" fontId="25" fillId="0" borderId="44" xfId="0" applyNumberFormat="1" applyFont="1" applyBorder="1" applyAlignment="1">
      <alignment horizontal="right" vertical="center"/>
    </xf>
    <xf numFmtId="168" fontId="24" fillId="0" borderId="13" xfId="0" applyNumberFormat="1" applyFont="1" applyBorder="1" applyAlignment="1">
      <alignment horizontal="right" vertical="center"/>
    </xf>
    <xf numFmtId="0" fontId="20" fillId="0" borderId="57" xfId="0" applyFont="1" applyBorder="1" applyAlignment="1">
      <alignment horizontal="center" vertical="center"/>
    </xf>
    <xf numFmtId="3" fontId="7" fillId="0" borderId="1" xfId="0" applyNumberFormat="1" applyFont="1" applyBorder="1" applyAlignment="1">
      <alignment horizontal="right"/>
    </xf>
    <xf numFmtId="0" fontId="35"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wrapText="1"/>
    </xf>
    <xf numFmtId="0" fontId="33" fillId="0" borderId="0" xfId="0" applyFont="1" applyAlignment="1">
      <alignment horizontal="center"/>
    </xf>
    <xf numFmtId="0" fontId="30" fillId="0" borderId="0" xfId="0" applyFont="1" applyAlignment="1">
      <alignment horizontal="left"/>
    </xf>
    <xf numFmtId="0" fontId="15" fillId="0" borderId="0" xfId="0" applyFont="1" applyAlignment="1">
      <alignment horizontal="left" vertical="center"/>
    </xf>
    <xf numFmtId="0" fontId="7" fillId="0" borderId="2" xfId="0" applyFont="1" applyBorder="1" applyAlignment="1"/>
    <xf numFmtId="0" fontId="30" fillId="0" borderId="0" xfId="0" applyFont="1" applyAlignment="1"/>
    <xf numFmtId="0" fontId="7" fillId="0" borderId="0" xfId="0" applyFont="1" applyAlignment="1"/>
    <xf numFmtId="174" fontId="5" fillId="2" borderId="3" xfId="0" applyNumberFormat="1" applyFont="1" applyFill="1" applyBorder="1" applyAlignment="1">
      <alignment horizontal="right" vertical="center" wrapText="1"/>
    </xf>
    <xf numFmtId="173" fontId="34" fillId="2" borderId="5" xfId="0" applyNumberFormat="1" applyFont="1" applyFill="1" applyBorder="1" applyAlignment="1">
      <alignment horizontal="right" vertical="center"/>
    </xf>
    <xf numFmtId="174" fontId="6" fillId="2" borderId="50" xfId="0" applyNumberFormat="1" applyFont="1" applyFill="1" applyBorder="1" applyAlignment="1">
      <alignment horizontal="right" vertical="center" wrapText="1"/>
    </xf>
    <xf numFmtId="174" fontId="5" fillId="2" borderId="53"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175" fontId="5" fillId="2" borderId="3" xfId="0" applyNumberFormat="1" applyFont="1" applyFill="1" applyBorder="1" applyAlignment="1">
      <alignment horizontal="right" vertical="center"/>
    </xf>
    <xf numFmtId="49" fontId="5" fillId="0" borderId="9" xfId="0" applyNumberFormat="1" applyFont="1" applyBorder="1" applyAlignment="1">
      <alignment horizontal="right" vertical="center"/>
    </xf>
    <xf numFmtId="1" fontId="5" fillId="2" borderId="3"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0" fontId="14" fillId="0" borderId="26" xfId="0" applyFont="1" applyBorder="1" applyAlignment="1">
      <alignment horizontal="left" vertical="center"/>
    </xf>
    <xf numFmtId="0" fontId="7" fillId="0" borderId="28" xfId="0" applyFont="1" applyBorder="1" applyAlignment="1">
      <alignment vertical="center" wrapText="1"/>
    </xf>
    <xf numFmtId="1" fontId="5" fillId="2" borderId="53" xfId="0" applyNumberFormat="1" applyFont="1" applyFill="1" applyBorder="1" applyAlignment="1">
      <alignment horizontal="right" vertical="center"/>
    </xf>
    <xf numFmtId="3" fontId="5" fillId="0" borderId="27" xfId="0" applyNumberFormat="1" applyFont="1" applyBorder="1" applyAlignment="1">
      <alignment horizontal="right" vertical="center"/>
    </xf>
    <xf numFmtId="3" fontId="5" fillId="2" borderId="28" xfId="0" applyNumberFormat="1" applyFont="1" applyFill="1" applyBorder="1" applyAlignment="1">
      <alignment horizontal="right" vertical="center"/>
    </xf>
    <xf numFmtId="173" fontId="5" fillId="0" borderId="33" xfId="0" applyNumberFormat="1" applyFont="1" applyBorder="1" applyAlignment="1">
      <alignment horizontal="right" vertical="center"/>
    </xf>
    <xf numFmtId="171" fontId="6" fillId="0" borderId="10" xfId="0" applyNumberFormat="1" applyFont="1" applyBorder="1" applyAlignment="1">
      <alignment horizontal="center"/>
    </xf>
    <xf numFmtId="176" fontId="5" fillId="0" borderId="1" xfId="0" applyNumberFormat="1" applyFont="1" applyBorder="1" applyAlignment="1">
      <alignment horizontal="center"/>
    </xf>
    <xf numFmtId="176" fontId="5" fillId="0" borderId="10" xfId="0" applyNumberFormat="1" applyFont="1" applyBorder="1" applyAlignment="1">
      <alignment horizontal="center"/>
    </xf>
    <xf numFmtId="3" fontId="7" fillId="0" borderId="1" xfId="0" applyNumberFormat="1" applyFont="1" applyBorder="1" applyAlignment="1">
      <alignment horizontal="center" wrapText="1"/>
    </xf>
    <xf numFmtId="3" fontId="13" fillId="0" borderId="1" xfId="0" applyNumberFormat="1" applyFont="1" applyBorder="1" applyAlignment="1">
      <alignment horizontal="center" wrapText="1"/>
    </xf>
    <xf numFmtId="3" fontId="7" fillId="0" borderId="60" xfId="0" applyNumberFormat="1" applyFont="1" applyBorder="1" applyAlignment="1">
      <alignment horizontal="center" wrapText="1"/>
    </xf>
    <xf numFmtId="176" fontId="5" fillId="0" borderId="60" xfId="0" applyNumberFormat="1" applyFont="1" applyBorder="1" applyAlignment="1">
      <alignment horizontal="center"/>
    </xf>
    <xf numFmtId="169" fontId="6" fillId="0" borderId="48" xfId="0" applyNumberFormat="1" applyFont="1" applyBorder="1" applyAlignment="1">
      <alignment horizontal="center"/>
    </xf>
    <xf numFmtId="169" fontId="5" fillId="0" borderId="58" xfId="0" applyNumberFormat="1" applyFont="1" applyBorder="1" applyAlignment="1">
      <alignment horizontal="center" vertical="center"/>
    </xf>
    <xf numFmtId="165" fontId="6" fillId="0" borderId="58" xfId="0" applyNumberFormat="1" applyFont="1" applyBorder="1" applyAlignment="1">
      <alignment horizontal="center" vertical="center"/>
    </xf>
    <xf numFmtId="0" fontId="5" fillId="0" borderId="0" xfId="0" applyFont="1" applyBorder="1"/>
    <xf numFmtId="0" fontId="5" fillId="0" borderId="0" xfId="0" applyFont="1" applyBorder="1" applyAlignment="1">
      <alignment horizontal="right"/>
    </xf>
    <xf numFmtId="165" fontId="5" fillId="2" borderId="18" xfId="0" applyNumberFormat="1" applyFont="1" applyFill="1" applyBorder="1" applyAlignment="1">
      <alignment horizontal="right" vertical="center"/>
    </xf>
    <xf numFmtId="168" fontId="9" fillId="2" borderId="15" xfId="0" applyNumberFormat="1" applyFont="1" applyFill="1" applyBorder="1" applyAlignment="1">
      <alignment horizontal="center" vertical="center" wrapText="1"/>
    </xf>
    <xf numFmtId="49" fontId="9" fillId="0" borderId="0" xfId="0" applyNumberFormat="1" applyFont="1"/>
    <xf numFmtId="0" fontId="9" fillId="0" borderId="0" xfId="0" applyFont="1" applyFill="1"/>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15" fillId="0" borderId="0" xfId="0" applyFont="1" applyFill="1" applyBorder="1" applyAlignment="1">
      <alignment horizontal="center" vertical="center" wrapText="1"/>
    </xf>
    <xf numFmtId="0" fontId="20" fillId="0" borderId="14" xfId="0" applyFont="1" applyBorder="1" applyAlignment="1">
      <alignment vertical="center"/>
    </xf>
    <xf numFmtId="49" fontId="20" fillId="0" borderId="15" xfId="0" applyNumberFormat="1" applyFont="1" applyFill="1" applyBorder="1" applyAlignment="1">
      <alignment horizontal="center" vertical="center"/>
    </xf>
    <xf numFmtId="49" fontId="25" fillId="0" borderId="15" xfId="0" applyNumberFormat="1" applyFont="1" applyBorder="1" applyAlignment="1">
      <alignment horizontal="center" vertical="center"/>
    </xf>
    <xf numFmtId="0" fontId="25" fillId="0" borderId="0" xfId="0" applyFont="1"/>
    <xf numFmtId="0" fontId="24" fillId="0" borderId="0" xfId="0" applyFont="1"/>
    <xf numFmtId="0" fontId="3" fillId="0" borderId="1" xfId="0" applyFont="1" applyBorder="1" applyAlignment="1">
      <alignment vertical="center" wrapText="1"/>
    </xf>
    <xf numFmtId="4" fontId="25" fillId="0" borderId="1" xfId="0" applyNumberFormat="1" applyFont="1" applyBorder="1" applyAlignment="1">
      <alignment horizontal="right"/>
    </xf>
    <xf numFmtId="4" fontId="25" fillId="0" borderId="1" xfId="0" applyNumberFormat="1" applyFont="1" applyBorder="1"/>
    <xf numFmtId="4" fontId="3" fillId="0" borderId="1" xfId="0" applyNumberFormat="1" applyFont="1" applyBorder="1" applyAlignment="1">
      <alignment horizontal="right" wrapText="1"/>
    </xf>
    <xf numFmtId="0" fontId="53" fillId="0" borderId="15" xfId="0" applyFont="1" applyFill="1" applyBorder="1" applyAlignment="1">
      <alignment vertical="center" wrapText="1"/>
    </xf>
    <xf numFmtId="3" fontId="20" fillId="0" borderId="1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49" fontId="20" fillId="0" borderId="0" xfId="0" applyNumberFormat="1" applyFont="1" applyBorder="1" applyAlignment="1">
      <alignment vertical="center"/>
    </xf>
    <xf numFmtId="0" fontId="20" fillId="0" borderId="0" xfId="0" applyFont="1" applyBorder="1" applyAlignment="1">
      <alignment vertical="center"/>
    </xf>
    <xf numFmtId="0" fontId="53" fillId="0" borderId="0" xfId="0" applyFont="1" applyFill="1" applyBorder="1" applyAlignment="1">
      <alignment vertical="center" wrapText="1"/>
    </xf>
    <xf numFmtId="3" fontId="20" fillId="0" borderId="0" xfId="0" applyNumberFormat="1" applyFont="1" applyFill="1" applyBorder="1" applyAlignment="1">
      <alignment vertical="center"/>
    </xf>
    <xf numFmtId="0" fontId="15" fillId="0" borderId="0" xfId="0" applyFont="1" applyBorder="1" applyAlignment="1">
      <alignment vertical="center"/>
    </xf>
    <xf numFmtId="0" fontId="13" fillId="0" borderId="0" xfId="0" applyFont="1" applyAlignment="1"/>
    <xf numFmtId="3" fontId="27" fillId="0" borderId="0" xfId="0" applyNumberFormat="1" applyFont="1" applyBorder="1" applyAlignment="1">
      <alignment horizontal="left"/>
    </xf>
    <xf numFmtId="2" fontId="13" fillId="0" borderId="0" xfId="0" applyNumberFormat="1" applyFont="1" applyBorder="1" applyAlignment="1">
      <alignment horizontal="left"/>
    </xf>
    <xf numFmtId="0" fontId="54" fillId="0" borderId="0" xfId="0" applyFont="1" applyBorder="1" applyAlignment="1">
      <alignment vertical="center"/>
    </xf>
    <xf numFmtId="3" fontId="7" fillId="0" borderId="0" xfId="0" applyNumberFormat="1" applyFont="1" applyFill="1" applyAlignment="1" applyProtection="1"/>
    <xf numFmtId="49" fontId="54" fillId="0" borderId="0" xfId="0" applyNumberFormat="1" applyFont="1" applyBorder="1" applyAlignment="1">
      <alignment vertical="center"/>
    </xf>
    <xf numFmtId="0" fontId="55" fillId="0" borderId="0" xfId="0" applyFont="1"/>
    <xf numFmtId="0" fontId="7" fillId="0" borderId="0" xfId="0" applyNumberFormat="1" applyFont="1" applyFill="1" applyAlignment="1" applyProtection="1"/>
    <xf numFmtId="0" fontId="7" fillId="0" borderId="0" xfId="0" applyFont="1" applyFill="1"/>
    <xf numFmtId="0" fontId="54" fillId="0" borderId="0" xfId="0" applyFont="1" applyAlignment="1">
      <alignment vertical="center"/>
    </xf>
    <xf numFmtId="0" fontId="9" fillId="0" borderId="0" xfId="0" applyFont="1" applyFill="1" applyBorder="1"/>
    <xf numFmtId="3" fontId="5" fillId="0" borderId="5"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0" fontId="5" fillId="0" borderId="0" xfId="0" applyFont="1" applyAlignment="1">
      <alignment horizontal="left"/>
    </xf>
    <xf numFmtId="49" fontId="7" fillId="0" borderId="20" xfId="0" applyNumberFormat="1" applyFont="1" applyBorder="1" applyAlignment="1">
      <alignment horizontal="center" vertical="center" wrapText="1"/>
    </xf>
    <xf numFmtId="0" fontId="6" fillId="0" borderId="12" xfId="0" quotePrefix="1" applyFont="1" applyBorder="1" applyAlignment="1">
      <alignment horizontal="left" vertical="center" wrapText="1"/>
    </xf>
    <xf numFmtId="49" fontId="5" fillId="0" borderId="11" xfId="0" applyNumberFormat="1" applyFont="1" applyBorder="1" applyAlignment="1">
      <alignment horizontal="center" vertical="center"/>
    </xf>
    <xf numFmtId="0" fontId="5" fillId="0" borderId="44" xfId="0" applyFont="1" applyBorder="1" applyAlignment="1">
      <alignment horizontal="centerContinuous" vertical="center"/>
    </xf>
    <xf numFmtId="0" fontId="5" fillId="0" borderId="44" xfId="0" quotePrefix="1" applyFont="1" applyBorder="1" applyAlignment="1">
      <alignment horizontal="left" vertical="center" wrapText="1"/>
    </xf>
    <xf numFmtId="165" fontId="5" fillId="0" borderId="44" xfId="0" applyNumberFormat="1" applyFont="1" applyBorder="1" applyAlignment="1">
      <alignment horizontal="center" vertical="center"/>
    </xf>
    <xf numFmtId="3" fontId="5" fillId="0" borderId="10" xfId="0" applyNumberFormat="1" applyFont="1" applyBorder="1" applyAlignment="1">
      <alignment horizontal="center"/>
    </xf>
    <xf numFmtId="0" fontId="6" fillId="0" borderId="44" xfId="0" applyFont="1" applyBorder="1" applyAlignment="1">
      <alignment horizontal="centerContinuous" vertical="center"/>
    </xf>
    <xf numFmtId="3" fontId="6" fillId="0" borderId="4" xfId="0" applyNumberFormat="1" applyFont="1" applyBorder="1" applyAlignment="1">
      <alignment horizontal="center" vertical="center"/>
    </xf>
    <xf numFmtId="3" fontId="6" fillId="0" borderId="1" xfId="0" applyNumberFormat="1" applyFont="1" applyBorder="1" applyAlignment="1">
      <alignment horizontal="center" vertical="center"/>
    </xf>
    <xf numFmtId="171" fontId="43" fillId="0" borderId="10" xfId="0" applyNumberFormat="1" applyFont="1" applyBorder="1" applyAlignment="1">
      <alignment horizontal="center" vertical="center"/>
    </xf>
    <xf numFmtId="0" fontId="5" fillId="0" borderId="1" xfId="0" quotePrefix="1" applyFont="1" applyBorder="1" applyAlignment="1">
      <alignment horizontal="left" vertical="center" wrapText="1"/>
    </xf>
    <xf numFmtId="3" fontId="5" fillId="0" borderId="4" xfId="0" applyNumberFormat="1" applyFont="1" applyBorder="1" applyAlignment="1">
      <alignment horizontal="center" vertical="center"/>
    </xf>
    <xf numFmtId="3" fontId="5" fillId="0" borderId="1" xfId="0" applyNumberFormat="1" applyFont="1" applyBorder="1" applyAlignment="1">
      <alignment horizontal="center" vertical="center"/>
    </xf>
    <xf numFmtId="171" fontId="5" fillId="0" borderId="10" xfId="0" applyNumberFormat="1" applyFont="1" applyBorder="1" applyAlignment="1">
      <alignment horizontal="center" vertical="center"/>
    </xf>
    <xf numFmtId="171" fontId="6" fillId="0" borderId="10" xfId="0" applyNumberFormat="1" applyFont="1" applyBorder="1" applyAlignment="1">
      <alignment horizontal="center" vertical="center"/>
    </xf>
    <xf numFmtId="49" fontId="13" fillId="0" borderId="9" xfId="0" applyNumberFormat="1" applyFont="1" applyBorder="1" applyAlignment="1">
      <alignment horizontal="center" vertical="center" wrapText="1"/>
    </xf>
    <xf numFmtId="0" fontId="5" fillId="0" borderId="59" xfId="0" applyFont="1" applyBorder="1" applyAlignment="1">
      <alignment horizontal="center" vertical="center"/>
    </xf>
    <xf numFmtId="176" fontId="5" fillId="0" borderId="22" xfId="0" applyNumberFormat="1" applyFont="1" applyBorder="1" applyAlignment="1">
      <alignment horizontal="center"/>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3" fontId="40" fillId="2" borderId="27" xfId="0" applyNumberFormat="1" applyFont="1" applyFill="1" applyBorder="1" applyAlignment="1">
      <alignment horizontal="right" vertical="center"/>
    </xf>
    <xf numFmtId="0" fontId="40" fillId="0" borderId="18" xfId="0" applyFont="1" applyBorder="1" applyAlignment="1">
      <alignment vertical="center" wrapText="1"/>
    </xf>
    <xf numFmtId="3" fontId="15" fillId="2" borderId="15" xfId="0" applyNumberFormat="1" applyFont="1" applyFill="1" applyBorder="1" applyAlignment="1">
      <alignment vertical="center" wrapText="1"/>
    </xf>
    <xf numFmtId="3" fontId="40" fillId="2" borderId="12" xfId="0" applyNumberFormat="1" applyFont="1" applyFill="1" applyBorder="1" applyAlignment="1">
      <alignment vertical="center" wrapText="1"/>
    </xf>
    <xf numFmtId="3" fontId="40" fillId="2" borderId="27" xfId="0" applyNumberFormat="1" applyFont="1" applyFill="1" applyBorder="1" applyAlignment="1">
      <alignment vertical="center" wrapText="1"/>
    </xf>
    <xf numFmtId="3" fontId="40" fillId="2" borderId="27" xfId="0" applyNumberFormat="1" applyFont="1" applyFill="1" applyBorder="1" applyAlignment="1">
      <alignment horizontal="right" vertical="center" wrapText="1"/>
    </xf>
    <xf numFmtId="3" fontId="40" fillId="0" borderId="27" xfId="0" applyNumberFormat="1" applyFont="1" applyBorder="1" applyAlignment="1">
      <alignment horizontal="right" vertical="center" wrapText="1"/>
    </xf>
    <xf numFmtId="3" fontId="40" fillId="2" borderId="1" xfId="0" applyNumberFormat="1" applyFont="1" applyFill="1" applyBorder="1" applyAlignment="1">
      <alignment vertical="center" wrapText="1"/>
    </xf>
    <xf numFmtId="3" fontId="40" fillId="2" borderId="1" xfId="0" applyNumberFormat="1" applyFont="1" applyFill="1" applyBorder="1" applyAlignment="1">
      <alignment horizontal="right" vertical="center" wrapText="1"/>
    </xf>
    <xf numFmtId="3" fontId="40" fillId="3" borderId="18" xfId="0" applyNumberFormat="1" applyFont="1" applyFill="1" applyBorder="1" applyAlignment="1">
      <alignment horizontal="right" vertical="center"/>
    </xf>
    <xf numFmtId="0" fontId="15" fillId="0" borderId="15" xfId="0" applyFont="1" applyBorder="1" applyAlignment="1">
      <alignment horizontal="center" vertical="center"/>
    </xf>
    <xf numFmtId="3" fontId="15" fillId="3" borderId="27" xfId="0" applyNumberFormat="1" applyFont="1" applyFill="1" applyBorder="1" applyAlignment="1">
      <alignment horizontal="right" vertical="center"/>
    </xf>
    <xf numFmtId="3" fontId="15" fillId="0" borderId="18" xfId="0" applyNumberFormat="1" applyFont="1" applyBorder="1" applyAlignment="1">
      <alignment horizontal="right" vertical="center"/>
    </xf>
    <xf numFmtId="168" fontId="40" fillId="2" borderId="13" xfId="0" applyNumberFormat="1" applyFont="1" applyFill="1" applyBorder="1" applyAlignment="1">
      <alignment horizontal="right" vertical="center"/>
    </xf>
    <xf numFmtId="49" fontId="15" fillId="0" borderId="15" xfId="0" applyNumberFormat="1" applyFont="1" applyBorder="1" applyAlignment="1">
      <alignment vertical="center"/>
    </xf>
    <xf numFmtId="3" fontId="40" fillId="2" borderId="15" xfId="0" applyNumberFormat="1" applyFont="1" applyFill="1" applyBorder="1" applyAlignment="1">
      <alignment vertical="center" wrapText="1"/>
    </xf>
    <xf numFmtId="3" fontId="40" fillId="0" borderId="15" xfId="0" applyNumberFormat="1" applyFont="1" applyBorder="1" applyAlignment="1">
      <alignment horizontal="right" vertical="center" wrapText="1"/>
    </xf>
    <xf numFmtId="0" fontId="40" fillId="0" borderId="1" xfId="0" quotePrefix="1" applyFont="1" applyBorder="1" applyAlignment="1">
      <alignment vertical="center" wrapText="1"/>
    </xf>
    <xf numFmtId="3" fontId="15" fillId="0" borderId="1" xfId="0" applyNumberFormat="1" applyFont="1" applyBorder="1" applyAlignment="1">
      <alignment horizontal="right" vertical="center"/>
    </xf>
    <xf numFmtId="0" fontId="40" fillId="2" borderId="18" xfId="0" quotePrefix="1" applyFont="1" applyFill="1" applyBorder="1" applyAlignment="1">
      <alignment vertical="center" wrapText="1"/>
    </xf>
    <xf numFmtId="3" fontId="15" fillId="2" borderId="18" xfId="0" applyNumberFormat="1" applyFont="1" applyFill="1" applyBorder="1" applyAlignment="1">
      <alignment horizontal="right" vertical="center"/>
    </xf>
    <xf numFmtId="3" fontId="46" fillId="0" borderId="25" xfId="0" applyNumberFormat="1" applyFont="1" applyBorder="1" applyAlignment="1">
      <alignment horizontal="right" vertical="center" wrapText="1"/>
    </xf>
    <xf numFmtId="3" fontId="46" fillId="0" borderId="25" xfId="0" applyNumberFormat="1" applyFont="1" applyBorder="1" applyAlignment="1">
      <alignment horizontal="right" vertical="center"/>
    </xf>
    <xf numFmtId="3" fontId="46" fillId="3" borderId="25" xfId="0" applyNumberFormat="1" applyFont="1" applyFill="1" applyBorder="1" applyAlignment="1">
      <alignment horizontal="right" vertical="center"/>
    </xf>
    <xf numFmtId="168" fontId="46" fillId="2" borderId="29" xfId="0" applyNumberFormat="1" applyFont="1" applyFill="1" applyBorder="1" applyAlignment="1">
      <alignment horizontal="right" vertical="center"/>
    </xf>
    <xf numFmtId="3" fontId="46" fillId="2" borderId="25" xfId="0" applyNumberFormat="1" applyFont="1" applyFill="1" applyBorder="1" applyAlignment="1">
      <alignment vertical="center" wrapText="1"/>
    </xf>
    <xf numFmtId="3" fontId="46" fillId="2" borderId="25" xfId="0" applyNumberFormat="1" applyFont="1" applyFill="1" applyBorder="1" applyAlignment="1">
      <alignment horizontal="right" vertical="center"/>
    </xf>
    <xf numFmtId="9" fontId="46" fillId="2" borderId="29" xfId="0" applyNumberFormat="1" applyFont="1" applyFill="1" applyBorder="1" applyAlignment="1">
      <alignment horizontal="right" vertical="center"/>
    </xf>
    <xf numFmtId="0" fontId="7" fillId="0" borderId="0" xfId="0" applyFont="1" applyAlignment="1">
      <alignment horizontal="left" vertical="top" wrapText="1"/>
    </xf>
    <xf numFmtId="0" fontId="7" fillId="0" borderId="0" xfId="0" applyFont="1" applyAlignment="1">
      <alignment horizontal="right"/>
    </xf>
    <xf numFmtId="168" fontId="9" fillId="0" borderId="0" xfId="0" applyNumberFormat="1" applyFont="1" applyBorder="1" applyAlignment="1">
      <alignment horizontal="right" vertical="center"/>
    </xf>
    <xf numFmtId="49" fontId="13" fillId="0" borderId="38" xfId="0" applyNumberFormat="1" applyFont="1" applyBorder="1" applyAlignment="1">
      <alignment horizontal="center" vertical="center" wrapText="1"/>
    </xf>
    <xf numFmtId="165" fontId="56" fillId="2" borderId="1" xfId="0" applyNumberFormat="1" applyFont="1" applyFill="1" applyBorder="1" applyAlignment="1">
      <alignment vertical="center"/>
    </xf>
    <xf numFmtId="165" fontId="7" fillId="2" borderId="1" xfId="0" applyNumberFormat="1" applyFont="1" applyFill="1" applyBorder="1" applyAlignment="1">
      <alignment vertical="center"/>
    </xf>
    <xf numFmtId="165" fontId="7" fillId="2" borderId="12" xfId="0" applyNumberFormat="1" applyFont="1" applyFill="1" applyBorder="1" applyAlignment="1">
      <alignment vertical="center"/>
    </xf>
    <xf numFmtId="168" fontId="40" fillId="2" borderId="28" xfId="0" applyNumberFormat="1" applyFont="1" applyFill="1" applyBorder="1" applyAlignment="1">
      <alignment horizontal="right" vertical="center"/>
    </xf>
    <xf numFmtId="3" fontId="40" fillId="2" borderId="7" xfId="0" applyNumberFormat="1" applyFont="1" applyFill="1" applyBorder="1" applyAlignment="1">
      <alignment vertical="center" wrapText="1"/>
    </xf>
    <xf numFmtId="3" fontId="40" fillId="2" borderId="7" xfId="0" applyNumberFormat="1" applyFont="1" applyFill="1" applyBorder="1" applyAlignment="1">
      <alignment horizontal="right" vertical="center" wrapText="1"/>
    </xf>
    <xf numFmtId="3" fontId="40" fillId="2" borderId="7" xfId="0" applyNumberFormat="1" applyFont="1" applyFill="1" applyBorder="1" applyAlignment="1">
      <alignment horizontal="right" vertical="center"/>
    </xf>
    <xf numFmtId="3" fontId="40" fillId="0" borderId="7" xfId="0" applyNumberFormat="1" applyFont="1" applyBorder="1" applyAlignment="1">
      <alignment horizontal="right" vertical="center" wrapText="1"/>
    </xf>
    <xf numFmtId="3" fontId="40" fillId="3" borderId="7" xfId="0" applyNumberFormat="1" applyFont="1" applyFill="1" applyBorder="1" applyAlignment="1">
      <alignment horizontal="right" vertical="center"/>
    </xf>
    <xf numFmtId="9" fontId="40" fillId="2" borderId="8" xfId="0" applyNumberFormat="1" applyFont="1" applyFill="1" applyBorder="1" applyAlignment="1">
      <alignment horizontal="right" vertical="center"/>
    </xf>
    <xf numFmtId="0" fontId="40" fillId="0" borderId="1" xfId="0" quotePrefix="1" applyFont="1" applyFill="1" applyBorder="1" applyAlignment="1">
      <alignment vertical="center" wrapText="1"/>
    </xf>
    <xf numFmtId="0" fontId="40" fillId="0" borderId="12" xfId="0" quotePrefix="1" applyFont="1" applyFill="1" applyBorder="1" applyAlignment="1">
      <alignment vertical="center" wrapText="1"/>
    </xf>
    <xf numFmtId="0" fontId="40" fillId="0" borderId="9" xfId="0" applyFont="1" applyFill="1" applyBorder="1" applyAlignment="1">
      <alignment horizontal="center" vertical="center" wrapText="1"/>
    </xf>
    <xf numFmtId="0" fontId="40" fillId="0" borderId="1" xfId="0"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0" fontId="40" fillId="0" borderId="4" xfId="0" applyFont="1" applyFill="1" applyBorder="1" applyAlignment="1">
      <alignment vertical="center" wrapText="1"/>
    </xf>
    <xf numFmtId="0" fontId="40" fillId="0" borderId="18" xfId="0" quotePrefix="1" applyFont="1" applyFill="1" applyBorder="1" applyAlignment="1">
      <alignment vertical="center" wrapText="1"/>
    </xf>
    <xf numFmtId="0" fontId="40" fillId="0" borderId="5" xfId="0" quotePrefix="1" applyFont="1" applyFill="1" applyBorder="1" applyAlignment="1">
      <alignment vertical="center" wrapText="1"/>
    </xf>
    <xf numFmtId="0" fontId="40" fillId="0" borderId="45" xfId="0" applyFont="1" applyFill="1" applyBorder="1" applyAlignment="1">
      <alignment horizontal="center" vertical="center" wrapText="1"/>
    </xf>
    <xf numFmtId="0" fontId="40" fillId="0" borderId="27" xfId="0" applyFont="1" applyFill="1" applyBorder="1" applyAlignment="1">
      <alignment horizontal="center" vertical="center" wrapText="1"/>
    </xf>
    <xf numFmtId="49" fontId="40" fillId="0" borderId="27" xfId="0" applyNumberFormat="1" applyFont="1" applyFill="1" applyBorder="1" applyAlignment="1">
      <alignment horizontal="center" vertical="center" wrapText="1"/>
    </xf>
    <xf numFmtId="0" fontId="40" fillId="0" borderId="0" xfId="0" applyFont="1" applyFill="1" applyAlignment="1">
      <alignment horizontal="left" vertical="center" wrapText="1"/>
    </xf>
    <xf numFmtId="0" fontId="40" fillId="0" borderId="27" xfId="0" quotePrefix="1" applyFont="1" applyFill="1" applyBorder="1" applyAlignment="1">
      <alignment vertical="center" wrapText="1"/>
    </xf>
    <xf numFmtId="0" fontId="40" fillId="0" borderId="26" xfId="0" applyFont="1" applyFill="1" applyBorder="1" applyAlignment="1">
      <alignment horizontal="center" vertical="center" wrapText="1"/>
    </xf>
    <xf numFmtId="49" fontId="40" fillId="0" borderId="25" xfId="0" applyNumberFormat="1" applyFont="1" applyFill="1" applyBorder="1" applyAlignment="1">
      <alignment horizontal="center" vertical="center" wrapText="1"/>
    </xf>
    <xf numFmtId="0" fontId="40" fillId="0" borderId="25" xfId="0" applyFont="1" applyFill="1" applyBorder="1" applyAlignment="1">
      <alignment horizontal="left" vertical="center" wrapText="1"/>
    </xf>
    <xf numFmtId="0" fontId="40" fillId="0" borderId="33" xfId="0" quotePrefix="1" applyFont="1" applyFill="1" applyBorder="1" applyAlignment="1">
      <alignment vertical="center" wrapText="1"/>
    </xf>
    <xf numFmtId="0" fontId="40" fillId="0" borderId="18" xfId="0" quotePrefix="1" applyFont="1" applyBorder="1" applyAlignment="1">
      <alignment vertical="center" wrapText="1"/>
    </xf>
    <xf numFmtId="0" fontId="40" fillId="2" borderId="9" xfId="0" applyFont="1" applyFill="1" applyBorder="1" applyAlignment="1">
      <alignment horizontal="center" vertical="center" wrapText="1"/>
    </xf>
    <xf numFmtId="49" fontId="40" fillId="0" borderId="1" xfId="0" applyNumberFormat="1" applyFont="1" applyBorder="1" applyAlignment="1">
      <alignment horizontal="center" vertical="center" wrapText="1"/>
    </xf>
    <xf numFmtId="49" fontId="40" fillId="0" borderId="1" xfId="0" quotePrefix="1" applyNumberFormat="1" applyFont="1" applyBorder="1" applyAlignment="1">
      <alignment vertical="center" wrapText="1"/>
    </xf>
    <xf numFmtId="0" fontId="40" fillId="0" borderId="1" xfId="0" quotePrefix="1" applyFont="1" applyBorder="1" applyAlignment="1">
      <alignment vertical="top" wrapText="1"/>
    </xf>
    <xf numFmtId="0" fontId="40" fillId="2" borderId="1" xfId="0" quotePrefix="1" applyFont="1" applyFill="1" applyBorder="1" applyAlignment="1">
      <alignment vertical="top" wrapText="1"/>
    </xf>
    <xf numFmtId="49" fontId="40" fillId="0" borderId="9"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15" fillId="0" borderId="14" xfId="0" applyFont="1" applyBorder="1" applyAlignment="1">
      <alignment horizontal="center" vertical="center" wrapText="1"/>
    </xf>
    <xf numFmtId="49" fontId="46" fillId="2" borderId="14" xfId="0" applyNumberFormat="1"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0" borderId="18" xfId="0" applyFont="1" applyBorder="1" applyAlignment="1">
      <alignment horizontal="center" vertical="center" wrapText="1"/>
    </xf>
    <xf numFmtId="0" fontId="40" fillId="0" borderId="9" xfId="0" applyFont="1" applyBorder="1" applyAlignment="1">
      <alignment horizontal="center" vertical="center" wrapText="1"/>
    </xf>
    <xf numFmtId="49" fontId="40" fillId="0" borderId="11" xfId="0" applyNumberFormat="1" applyFont="1" applyBorder="1" applyAlignment="1">
      <alignment horizontal="center" vertical="center" wrapText="1"/>
    </xf>
    <xf numFmtId="0" fontId="40" fillId="0" borderId="12" xfId="0" applyFont="1" applyBorder="1" applyAlignment="1">
      <alignment horizontal="center" vertical="center" wrapText="1"/>
    </xf>
    <xf numFmtId="0" fontId="40" fillId="0" borderId="12" xfId="0" quotePrefix="1" applyFont="1" applyBorder="1" applyAlignment="1">
      <alignment vertical="center" wrapText="1"/>
    </xf>
    <xf numFmtId="0" fontId="40" fillId="0" borderId="18" xfId="0" quotePrefix="1" applyFont="1" applyBorder="1" applyAlignment="1">
      <alignment vertical="top" wrapText="1"/>
    </xf>
    <xf numFmtId="0" fontId="40" fillId="2" borderId="11" xfId="0" applyFont="1" applyFill="1" applyBorder="1" applyAlignment="1">
      <alignment horizontal="center" vertical="center" wrapText="1"/>
    </xf>
    <xf numFmtId="0" fontId="40" fillId="2" borderId="12" xfId="0" quotePrefix="1" applyFont="1" applyFill="1" applyBorder="1" applyAlignment="1">
      <alignment vertical="top" wrapText="1"/>
    </xf>
    <xf numFmtId="0" fontId="40" fillId="2" borderId="12" xfId="0" quotePrefix="1" applyFont="1" applyFill="1" applyBorder="1" applyAlignment="1">
      <alignment vertical="center" wrapText="1"/>
    </xf>
    <xf numFmtId="0" fontId="15" fillId="0" borderId="15" xfId="0" applyFont="1" applyBorder="1" applyAlignment="1">
      <alignment horizontal="center" vertical="center" wrapText="1"/>
    </xf>
    <xf numFmtId="0" fontId="15" fillId="0" borderId="15" xfId="0" quotePrefix="1" applyFont="1" applyBorder="1" applyAlignment="1">
      <alignment wrapText="1"/>
    </xf>
    <xf numFmtId="0" fontId="15" fillId="0" borderId="15" xfId="0" quotePrefix="1" applyFont="1" applyBorder="1" applyAlignment="1">
      <alignment vertical="center" wrapText="1"/>
    </xf>
    <xf numFmtId="0" fontId="46" fillId="0" borderId="15" xfId="0" quotePrefix="1" applyFont="1" applyBorder="1" applyAlignment="1">
      <alignment vertical="top" wrapText="1"/>
    </xf>
    <xf numFmtId="0" fontId="46" fillId="0" borderId="15" xfId="0" quotePrefix="1" applyFont="1" applyBorder="1" applyAlignment="1">
      <alignment vertical="center" wrapText="1"/>
    </xf>
    <xf numFmtId="0" fontId="40" fillId="2" borderId="26" xfId="0" applyFont="1" applyFill="1" applyBorder="1" applyAlignment="1">
      <alignment horizontal="center" vertical="center" wrapText="1"/>
    </xf>
    <xf numFmtId="0" fontId="40" fillId="0" borderId="27" xfId="0" applyFont="1" applyBorder="1" applyAlignment="1">
      <alignment horizontal="center" vertical="center" wrapText="1"/>
    </xf>
    <xf numFmtId="0" fontId="40" fillId="0" borderId="27" xfId="0" quotePrefix="1" applyFont="1" applyBorder="1" applyAlignment="1">
      <alignment vertical="center" wrapText="1"/>
    </xf>
    <xf numFmtId="0" fontId="40" fillId="0" borderId="27" xfId="0" quotePrefix="1" applyFont="1" applyBorder="1" applyAlignment="1">
      <alignment vertical="top" wrapText="1"/>
    </xf>
    <xf numFmtId="0" fontId="15" fillId="2" borderId="14" xfId="0" applyFont="1" applyFill="1" applyBorder="1" applyAlignment="1">
      <alignment horizontal="center" vertical="center" wrapText="1"/>
    </xf>
    <xf numFmtId="49" fontId="40" fillId="0" borderId="12" xfId="0" applyNumberFormat="1" applyFont="1" applyBorder="1" applyAlignment="1">
      <alignment horizontal="center" vertical="center" wrapText="1"/>
    </xf>
    <xf numFmtId="49" fontId="40" fillId="0" borderId="12" xfId="0" quotePrefix="1" applyNumberFormat="1" applyFont="1" applyBorder="1" applyAlignment="1">
      <alignment vertical="center" wrapText="1"/>
    </xf>
    <xf numFmtId="0" fontId="46" fillId="2" borderId="14" xfId="0" applyFont="1" applyFill="1" applyBorder="1" applyAlignment="1">
      <alignment horizontal="center" vertical="center" wrapText="1"/>
    </xf>
    <xf numFmtId="49" fontId="40" fillId="2" borderId="1" xfId="0" applyNumberFormat="1"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0" borderId="25" xfId="0" applyFont="1" applyBorder="1" applyAlignment="1">
      <alignment horizontal="center" vertical="center" wrapText="1"/>
    </xf>
    <xf numFmtId="0" fontId="46" fillId="0" borderId="25" xfId="0" quotePrefix="1" applyFont="1" applyBorder="1" applyAlignment="1">
      <alignment vertical="center" wrapText="1"/>
    </xf>
    <xf numFmtId="0" fontId="40" fillId="0" borderId="17" xfId="0" applyFont="1" applyBorder="1" applyAlignment="1">
      <alignment horizontal="center" vertical="center" wrapText="1"/>
    </xf>
    <xf numFmtId="49" fontId="40" fillId="2" borderId="9" xfId="0" applyNumberFormat="1"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0" fillId="0" borderId="15" xfId="0" quotePrefix="1" applyFont="1" applyBorder="1" applyAlignment="1">
      <alignment vertical="center" wrapText="1"/>
    </xf>
    <xf numFmtId="0" fontId="46" fillId="0" borderId="24" xfId="0" applyFont="1" applyBorder="1" applyAlignment="1">
      <alignment horizontal="center" vertical="center" wrapText="1"/>
    </xf>
    <xf numFmtId="0" fontId="46" fillId="0" borderId="25" xfId="0" applyFont="1" applyBorder="1" applyAlignment="1">
      <alignment horizontal="left" vertical="center" wrapText="1"/>
    </xf>
    <xf numFmtId="0" fontId="40" fillId="2" borderId="27" xfId="0" applyFont="1" applyFill="1" applyBorder="1" applyAlignment="1">
      <alignment horizontal="center" vertical="center" wrapText="1"/>
    </xf>
    <xf numFmtId="49" fontId="40" fillId="2" borderId="27" xfId="0" applyNumberFormat="1" applyFont="1" applyFill="1" applyBorder="1" applyAlignment="1">
      <alignment horizontal="center" vertical="center" wrapText="1"/>
    </xf>
    <xf numFmtId="0" fontId="40" fillId="2" borderId="27" xfId="0" quotePrefix="1" applyFont="1" applyFill="1" applyBorder="1" applyAlignment="1">
      <alignment vertical="center" wrapText="1"/>
    </xf>
    <xf numFmtId="0" fontId="15" fillId="0" borderId="15" xfId="0" applyFont="1" applyBorder="1" applyAlignment="1">
      <alignment horizontal="left" vertical="top"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49" fontId="40" fillId="0" borderId="7" xfId="0" applyNumberFormat="1" applyFont="1" applyBorder="1" applyAlignment="1">
      <alignment horizontal="center" vertical="center" wrapText="1"/>
    </xf>
    <xf numFmtId="0" fontId="40" fillId="0" borderId="7" xfId="0" quotePrefix="1" applyFont="1" applyBorder="1" applyAlignment="1">
      <alignment vertical="center" wrapText="1"/>
    </xf>
    <xf numFmtId="0" fontId="40" fillId="0" borderId="15" xfId="0" applyFont="1" applyBorder="1" applyAlignment="1">
      <alignment horizontal="center" vertical="center" wrapText="1"/>
    </xf>
    <xf numFmtId="49" fontId="40" fillId="0" borderId="15" xfId="0" applyNumberFormat="1" applyFont="1" applyBorder="1" applyAlignment="1">
      <alignment horizontal="center" vertical="center" wrapText="1"/>
    </xf>
    <xf numFmtId="49" fontId="40" fillId="0" borderId="18"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40" fillId="2" borderId="6" xfId="0" applyFont="1" applyFill="1" applyBorder="1" applyAlignment="1">
      <alignment horizontal="center" vertical="center" wrapText="1"/>
    </xf>
    <xf numFmtId="0" fontId="40" fillId="0" borderId="7" xfId="0" quotePrefix="1" applyFont="1" applyFill="1" applyBorder="1" applyAlignment="1">
      <alignment vertical="center" wrapText="1"/>
    </xf>
    <xf numFmtId="3" fontId="40" fillId="0" borderId="7" xfId="0" applyNumberFormat="1" applyFont="1" applyBorder="1" applyAlignment="1">
      <alignment horizontal="right" vertical="center"/>
    </xf>
    <xf numFmtId="49" fontId="40" fillId="0" borderId="9" xfId="0" applyNumberFormat="1" applyFont="1" applyFill="1" applyBorder="1" applyAlignment="1">
      <alignment horizontal="center" vertical="center"/>
    </xf>
    <xf numFmtId="49" fontId="40" fillId="0" borderId="5" xfId="0" applyNumberFormat="1" applyFont="1" applyFill="1" applyBorder="1" applyAlignment="1">
      <alignment horizontal="center" vertical="center"/>
    </xf>
    <xf numFmtId="49" fontId="40" fillId="0" borderId="1" xfId="0" applyNumberFormat="1" applyFont="1" applyFill="1" applyBorder="1" applyAlignment="1">
      <alignment horizontal="center" vertical="center"/>
    </xf>
    <xf numFmtId="0" fontId="40" fillId="0" borderId="5" xfId="0" applyFont="1" applyFill="1" applyBorder="1" applyAlignment="1">
      <alignment vertical="center" wrapText="1"/>
    </xf>
    <xf numFmtId="49" fontId="40" fillId="0" borderId="18" xfId="0" quotePrefix="1" applyNumberFormat="1" applyFont="1" applyBorder="1" applyAlignment="1">
      <alignment vertical="center" wrapText="1"/>
    </xf>
    <xf numFmtId="49" fontId="40" fillId="0" borderId="14" xfId="0" applyNumberFormat="1" applyFont="1" applyBorder="1" applyAlignment="1">
      <alignment horizontal="center" vertical="center"/>
    </xf>
    <xf numFmtId="49" fontId="40" fillId="0" borderId="15" xfId="0" applyNumberFormat="1" applyFont="1" applyBorder="1" applyAlignment="1">
      <alignment horizontal="center" vertical="center"/>
    </xf>
    <xf numFmtId="0" fontId="40" fillId="2" borderId="15" xfId="0" quotePrefix="1" applyFont="1" applyFill="1" applyBorder="1" applyAlignment="1">
      <alignment vertical="center" wrapText="1"/>
    </xf>
    <xf numFmtId="168" fontId="40" fillId="2" borderId="16" xfId="0" applyNumberFormat="1" applyFont="1" applyFill="1" applyBorder="1" applyAlignment="1">
      <alignment horizontal="right" vertical="center"/>
    </xf>
    <xf numFmtId="3" fontId="40" fillId="2" borderId="18" xfId="0" applyNumberFormat="1" applyFont="1" applyFill="1" applyBorder="1" applyAlignment="1">
      <alignment vertical="center"/>
    </xf>
    <xf numFmtId="0" fontId="46" fillId="0" borderId="14" xfId="0" applyFont="1" applyBorder="1" applyAlignment="1">
      <alignment horizontal="center" vertical="center" wrapText="1"/>
    </xf>
    <xf numFmtId="0" fontId="46" fillId="2" borderId="15" xfId="0" applyFont="1" applyFill="1" applyBorder="1" applyAlignment="1">
      <alignment horizontal="center" vertical="center" wrapText="1"/>
    </xf>
    <xf numFmtId="3" fontId="46" fillId="2" borderId="15" xfId="0" applyNumberFormat="1" applyFont="1" applyFill="1" applyBorder="1" applyAlignment="1">
      <alignment vertical="center" wrapText="1"/>
    </xf>
    <xf numFmtId="3" fontId="46" fillId="2" borderId="15" xfId="0" applyNumberFormat="1" applyFont="1" applyFill="1" applyBorder="1" applyAlignment="1">
      <alignment horizontal="right" vertical="center"/>
    </xf>
    <xf numFmtId="0" fontId="46" fillId="0" borderId="26" xfId="0" applyFont="1" applyBorder="1" applyAlignment="1">
      <alignment horizontal="center" vertical="center" wrapText="1"/>
    </xf>
    <xf numFmtId="0" fontId="46" fillId="0" borderId="27" xfId="0" applyFont="1" applyBorder="1" applyAlignment="1">
      <alignment horizontal="center" vertical="center" wrapText="1"/>
    </xf>
    <xf numFmtId="49" fontId="46" fillId="0" borderId="27" xfId="0" applyNumberFormat="1" applyFont="1" applyBorder="1" applyAlignment="1">
      <alignment horizontal="center" vertical="center" wrapText="1"/>
    </xf>
    <xf numFmtId="0" fontId="46" fillId="0" borderId="27" xfId="0" applyFont="1" applyBorder="1" applyAlignment="1">
      <alignment horizontal="left" vertical="center" wrapText="1"/>
    </xf>
    <xf numFmtId="0" fontId="46" fillId="0" borderId="27" xfId="0" quotePrefix="1" applyFont="1" applyBorder="1" applyAlignment="1">
      <alignment vertical="center" wrapText="1"/>
    </xf>
    <xf numFmtId="3" fontId="46" fillId="2" borderId="27" xfId="0" applyNumberFormat="1" applyFont="1" applyFill="1" applyBorder="1" applyAlignment="1">
      <alignment vertical="center" wrapText="1"/>
    </xf>
    <xf numFmtId="3" fontId="46" fillId="0" borderId="27" xfId="0" applyNumberFormat="1" applyFont="1" applyBorder="1" applyAlignment="1">
      <alignment horizontal="right" vertical="center" wrapText="1"/>
    </xf>
    <xf numFmtId="3" fontId="46" fillId="3" borderId="27" xfId="0" applyNumberFormat="1" applyFont="1" applyFill="1" applyBorder="1" applyAlignment="1">
      <alignment horizontal="right" vertical="center"/>
    </xf>
    <xf numFmtId="9" fontId="46" fillId="2" borderId="28" xfId="0" applyNumberFormat="1" applyFont="1" applyFill="1" applyBorder="1" applyAlignment="1">
      <alignment horizontal="right" vertical="center"/>
    </xf>
    <xf numFmtId="165" fontId="56" fillId="2" borderId="1" xfId="0" applyNumberFormat="1" applyFont="1" applyFill="1" applyBorder="1" applyAlignment="1">
      <alignment horizontal="right" vertical="center"/>
    </xf>
    <xf numFmtId="0" fontId="7" fillId="0" borderId="0" xfId="0" applyFont="1" applyAlignment="1">
      <alignment horizontal="left" vertical="center"/>
    </xf>
    <xf numFmtId="0" fontId="13"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wrapText="1"/>
    </xf>
    <xf numFmtId="49" fontId="3" fillId="2" borderId="27" xfId="0" applyNumberFormat="1" applyFont="1" applyFill="1" applyBorder="1" applyAlignment="1">
      <alignment horizontal="center" vertical="center" wrapText="1"/>
    </xf>
    <xf numFmtId="165" fontId="7" fillId="2" borderId="1" xfId="0" applyNumberFormat="1" applyFont="1" applyFill="1" applyBorder="1" applyAlignment="1">
      <alignment horizontal="right" vertical="center"/>
    </xf>
    <xf numFmtId="165" fontId="7" fillId="2" borderId="27" xfId="0" applyNumberFormat="1" applyFont="1" applyFill="1" applyBorder="1" applyAlignment="1">
      <alignment horizontal="right" vertical="center"/>
    </xf>
    <xf numFmtId="49" fontId="7" fillId="0" borderId="57"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1" fontId="7" fillId="0" borderId="6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25" fillId="2" borderId="1" xfId="0" applyNumberFormat="1" applyFont="1" applyFill="1" applyBorder="1" applyAlignment="1">
      <alignment horizontal="center" vertical="center"/>
    </xf>
    <xf numFmtId="0" fontId="40" fillId="0" borderId="0" xfId="0" applyFont="1" applyBorder="1" applyAlignment="1">
      <alignment horizontal="center" vertical="center" wrapText="1"/>
    </xf>
    <xf numFmtId="0" fontId="33" fillId="2" borderId="1" xfId="0" quotePrefix="1" applyFont="1" applyFill="1" applyBorder="1" applyAlignment="1">
      <alignment horizontal="center" vertical="center" wrapText="1"/>
    </xf>
    <xf numFmtId="0" fontId="33" fillId="2" borderId="12" xfId="0" quotePrefix="1" applyFont="1" applyFill="1" applyBorder="1" applyAlignment="1">
      <alignment horizontal="center" vertical="center" wrapText="1"/>
    </xf>
    <xf numFmtId="49" fontId="3" fillId="0" borderId="9" xfId="0" applyNumberFormat="1" applyFont="1" applyBorder="1" applyAlignment="1">
      <alignment horizontal="center" vertical="center" wrapText="1"/>
    </xf>
    <xf numFmtId="0" fontId="32" fillId="2" borderId="25" xfId="0" quotePrefix="1" applyFont="1" applyFill="1" applyBorder="1" applyAlignment="1">
      <alignment vertical="center" wrapText="1"/>
    </xf>
    <xf numFmtId="0" fontId="25" fillId="3" borderId="25" xfId="0" applyFont="1" applyFill="1" applyBorder="1" applyAlignment="1">
      <alignment horizontal="left" vertical="center" wrapText="1"/>
    </xf>
    <xf numFmtId="49" fontId="25" fillId="0" borderId="25" xfId="0" applyNumberFormat="1" applyFont="1" applyBorder="1" applyAlignment="1">
      <alignment horizontal="center" vertical="center" wrapText="1"/>
    </xf>
    <xf numFmtId="3" fontId="25" fillId="0" borderId="25" xfId="0" applyNumberFormat="1" applyFont="1" applyBorder="1" applyAlignment="1">
      <alignment horizontal="right" vertical="center" wrapText="1"/>
    </xf>
    <xf numFmtId="167" fontId="20" fillId="0" borderId="25" xfId="1" applyNumberFormat="1" applyFont="1" applyFill="1" applyBorder="1" applyAlignment="1">
      <alignment horizontal="right" vertical="center" wrapText="1"/>
    </xf>
    <xf numFmtId="9" fontId="25" fillId="0" borderId="29" xfId="0" applyNumberFormat="1" applyFont="1" applyBorder="1" applyAlignment="1">
      <alignment horizontal="right" vertical="center" wrapText="1"/>
    </xf>
    <xf numFmtId="49" fontId="3" fillId="2" borderId="44" xfId="0" applyNumberFormat="1" applyFont="1" applyFill="1" applyBorder="1" applyAlignment="1">
      <alignment horizontal="center" vertical="center" wrapText="1"/>
    </xf>
    <xf numFmtId="0" fontId="52" fillId="0" borderId="12" xfId="0" applyFont="1" applyBorder="1" applyAlignment="1">
      <alignment horizontal="center" vertical="center" wrapText="1"/>
    </xf>
    <xf numFmtId="0" fontId="58" fillId="0" borderId="12" xfId="0" applyFont="1" applyBorder="1" applyAlignment="1">
      <alignment wrapText="1"/>
    </xf>
    <xf numFmtId="49" fontId="24" fillId="0" borderId="23" xfId="0" applyNumberFormat="1" applyFont="1" applyBorder="1" applyAlignment="1">
      <alignment horizontal="center"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0" borderId="27" xfId="0" applyNumberFormat="1" applyFont="1" applyBorder="1" applyAlignment="1">
      <alignment horizontal="center" vertical="center"/>
    </xf>
    <xf numFmtId="0" fontId="52" fillId="0" borderId="0" xfId="0" applyFont="1" applyBorder="1" applyAlignment="1">
      <alignment horizontal="center" vertical="center" wrapText="1"/>
    </xf>
    <xf numFmtId="0" fontId="58" fillId="0" borderId="27" xfId="0" applyFont="1" applyBorder="1" applyAlignment="1">
      <alignment vertical="center" wrapText="1"/>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7"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3" fillId="2" borderId="0" xfId="0" applyFont="1" applyFill="1"/>
    <xf numFmtId="3" fontId="25" fillId="0" borderId="18" xfId="0" applyNumberFormat="1" applyFont="1" applyBorder="1" applyAlignment="1">
      <alignment horizontal="right" vertical="center"/>
    </xf>
    <xf numFmtId="3" fontId="25" fillId="0" borderId="49" xfId="0" applyNumberFormat="1" applyFont="1" applyBorder="1" applyAlignment="1">
      <alignment horizontal="right" vertical="center"/>
    </xf>
    <xf numFmtId="3" fontId="25" fillId="2" borderId="3" xfId="0" applyNumberFormat="1" applyFont="1" applyFill="1" applyBorder="1" applyAlignment="1">
      <alignment vertical="center" wrapText="1"/>
    </xf>
    <xf numFmtId="3" fontId="24" fillId="2" borderId="3" xfId="0" applyNumberFormat="1" applyFont="1" applyFill="1" applyBorder="1" applyAlignment="1">
      <alignment vertical="center" wrapText="1"/>
    </xf>
    <xf numFmtId="3" fontId="24" fillId="2" borderId="12" xfId="0" applyNumberFormat="1" applyFont="1" applyFill="1" applyBorder="1" applyAlignment="1">
      <alignment horizontal="center" vertical="center" wrapText="1"/>
    </xf>
    <xf numFmtId="3" fontId="24" fillId="2" borderId="44" xfId="0" applyNumberFormat="1" applyFont="1" applyFill="1" applyBorder="1" applyAlignment="1">
      <alignment horizontal="right" vertical="center" wrapText="1"/>
    </xf>
    <xf numFmtId="9" fontId="24" fillId="2" borderId="1" xfId="6" applyFont="1" applyFill="1" applyBorder="1" applyAlignment="1">
      <alignment horizontal="right" vertical="center" wrapText="1"/>
    </xf>
    <xf numFmtId="3" fontId="24" fillId="2" borderId="3" xfId="0" applyNumberFormat="1" applyFont="1" applyFill="1" applyBorder="1" applyAlignment="1">
      <alignment horizontal="left" vertical="center" wrapText="1"/>
    </xf>
    <xf numFmtId="3" fontId="24" fillId="2" borderId="12" xfId="0" quotePrefix="1" applyNumberFormat="1" applyFont="1" applyFill="1" applyBorder="1" applyAlignment="1">
      <alignment horizontal="center" vertical="center" wrapText="1"/>
    </xf>
    <xf numFmtId="3" fontId="24" fillId="2" borderId="44" xfId="0" applyNumberFormat="1" applyFont="1" applyFill="1" applyBorder="1" applyAlignment="1">
      <alignment horizontal="right" vertical="center"/>
    </xf>
    <xf numFmtId="0" fontId="3" fillId="2" borderId="0" xfId="0" applyFont="1" applyFill="1" applyBorder="1" applyAlignment="1">
      <alignment horizontal="left" vertical="center" wrapText="1"/>
    </xf>
    <xf numFmtId="0" fontId="52" fillId="0" borderId="1" xfId="0" applyFont="1" applyBorder="1" applyAlignment="1">
      <alignment horizontal="center" vertical="center" wrapText="1"/>
    </xf>
    <xf numFmtId="3" fontId="24" fillId="0" borderId="0" xfId="0" applyNumberFormat="1" applyFont="1" applyBorder="1" applyAlignment="1">
      <alignment horizontal="right" vertical="center"/>
    </xf>
    <xf numFmtId="3" fontId="24" fillId="2" borderId="1" xfId="0" applyNumberFormat="1" applyFont="1" applyFill="1" applyBorder="1" applyAlignment="1">
      <alignment vertical="center"/>
    </xf>
    <xf numFmtId="9" fontId="24" fillId="2" borderId="1" xfId="0" applyNumberFormat="1" applyFont="1" applyFill="1" applyBorder="1" applyAlignment="1">
      <alignment vertical="center" wrapText="1"/>
    </xf>
    <xf numFmtId="0" fontId="25" fillId="0" borderId="44" xfId="0" applyFont="1" applyBorder="1" applyAlignment="1">
      <alignment vertical="center" wrapText="1"/>
    </xf>
    <xf numFmtId="49" fontId="25" fillId="2" borderId="3" xfId="0" applyNumberFormat="1" applyFont="1" applyFill="1" applyBorder="1" applyAlignment="1">
      <alignment horizontal="center" vertical="center" wrapText="1"/>
    </xf>
    <xf numFmtId="0" fontId="52" fillId="4" borderId="1" xfId="0" applyFont="1" applyFill="1" applyBorder="1" applyAlignment="1">
      <alignment horizontal="center" vertical="center" wrapText="1"/>
    </xf>
    <xf numFmtId="0" fontId="3" fillId="4" borderId="1" xfId="0" applyFont="1" applyFill="1" applyBorder="1" applyAlignment="1">
      <alignment vertical="top" wrapText="1"/>
    </xf>
    <xf numFmtId="0" fontId="25" fillId="0" borderId="23" xfId="0" applyFont="1" applyBorder="1" applyAlignment="1">
      <alignment horizontal="center" vertical="center" wrapText="1"/>
    </xf>
    <xf numFmtId="3" fontId="25"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25" fillId="2" borderId="3" xfId="0" applyFont="1" applyFill="1" applyBorder="1" applyAlignment="1">
      <alignment vertical="center" wrapText="1"/>
    </xf>
    <xf numFmtId="3" fontId="24" fillId="2" borderId="12" xfId="0" applyNumberFormat="1" applyFont="1" applyFill="1" applyBorder="1" applyAlignment="1">
      <alignment vertical="center" wrapText="1"/>
    </xf>
    <xf numFmtId="9" fontId="24" fillId="2" borderId="13" xfId="0" applyNumberFormat="1" applyFont="1" applyFill="1" applyBorder="1" applyAlignment="1">
      <alignment horizontal="right" vertical="center"/>
    </xf>
    <xf numFmtId="0" fontId="2" fillId="2" borderId="50" xfId="0" applyFont="1" applyFill="1" applyBorder="1" applyAlignment="1">
      <alignment horizontal="center" vertical="center" wrapText="1"/>
    </xf>
    <xf numFmtId="0" fontId="32" fillId="2" borderId="14" xfId="0" quotePrefix="1" applyFont="1" applyFill="1" applyBorder="1" applyAlignment="1">
      <alignment vertical="center" wrapText="1"/>
    </xf>
    <xf numFmtId="0" fontId="46" fillId="2" borderId="18" xfId="0" quotePrefix="1" applyFont="1" applyFill="1" applyBorder="1" applyAlignment="1">
      <alignment vertical="center" wrapText="1"/>
    </xf>
    <xf numFmtId="49" fontId="20" fillId="3" borderId="14" xfId="0" applyNumberFormat="1" applyFont="1" applyFill="1" applyBorder="1" applyAlignment="1">
      <alignment horizontal="center" vertical="center" wrapText="1"/>
    </xf>
    <xf numFmtId="167" fontId="20" fillId="3" borderId="50" xfId="1" applyNumberFormat="1" applyFont="1" applyFill="1" applyBorder="1" applyAlignment="1">
      <alignment horizontal="center" vertical="center" wrapText="1"/>
    </xf>
    <xf numFmtId="9" fontId="20" fillId="3" borderId="62" xfId="0" applyNumberFormat="1" applyFont="1" applyFill="1" applyBorder="1" applyAlignment="1">
      <alignment horizontal="center" vertical="center" wrapText="1"/>
    </xf>
    <xf numFmtId="0" fontId="59" fillId="0" borderId="0" xfId="0" applyFont="1" applyAlignment="1">
      <alignment vertical="center"/>
    </xf>
    <xf numFmtId="0" fontId="25"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29"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7" fillId="2" borderId="0" xfId="0" applyFont="1" applyFill="1" applyAlignment="1">
      <alignment vertical="top" wrapText="1"/>
    </xf>
    <xf numFmtId="0" fontId="7" fillId="0" borderId="0" xfId="0" applyFont="1" applyBorder="1" applyAlignment="1">
      <alignment vertical="center"/>
    </xf>
    <xf numFmtId="49" fontId="13" fillId="0" borderId="36" xfId="0" applyNumberFormat="1" applyFont="1" applyFill="1" applyBorder="1" applyAlignment="1">
      <alignment horizontal="center" vertical="center" wrapText="1"/>
    </xf>
    <xf numFmtId="49" fontId="13" fillId="0" borderId="37" xfId="0" applyNumberFormat="1" applyFont="1" applyFill="1" applyBorder="1" applyAlignment="1">
      <alignment horizontal="center" vertical="center" wrapText="1"/>
    </xf>
    <xf numFmtId="0" fontId="13" fillId="0" borderId="37" xfId="0" applyFont="1" applyBorder="1" applyAlignment="1">
      <alignment horizontal="center" vertical="center" wrapText="1"/>
    </xf>
    <xf numFmtId="0" fontId="13" fillId="0" borderId="37" xfId="0" applyFont="1" applyBorder="1" applyAlignment="1">
      <alignment horizontal="center" vertical="center"/>
    </xf>
    <xf numFmtId="0" fontId="13" fillId="0" borderId="52" xfId="0" applyFont="1" applyBorder="1" applyAlignment="1">
      <alignment horizontal="center" vertical="center"/>
    </xf>
    <xf numFmtId="3" fontId="20" fillId="0" borderId="15" xfId="0" applyNumberFormat="1" applyFont="1" applyFill="1" applyBorder="1" applyAlignment="1">
      <alignment horizontal="center" vertical="center" wrapText="1"/>
    </xf>
    <xf numFmtId="0" fontId="9" fillId="0" borderId="16" xfId="0" applyFont="1" applyBorder="1"/>
    <xf numFmtId="0" fontId="24" fillId="0" borderId="6" xfId="0" applyFont="1" applyBorder="1" applyAlignment="1">
      <alignment vertical="center" wrapText="1"/>
    </xf>
    <xf numFmtId="49" fontId="24" fillId="0" borderId="7" xfId="0" applyNumberFormat="1" applyFont="1" applyFill="1" applyBorder="1" applyAlignment="1">
      <alignment horizontal="center" vertical="center"/>
    </xf>
    <xf numFmtId="49" fontId="24" fillId="0" borderId="7" xfId="0" applyNumberFormat="1" applyFont="1" applyBorder="1" applyAlignment="1">
      <alignment horizontal="center" vertical="center"/>
    </xf>
    <xf numFmtId="4" fontId="25" fillId="0" borderId="7" xfId="0" applyNumberFormat="1" applyFont="1" applyBorder="1"/>
    <xf numFmtId="0" fontId="9" fillId="0" borderId="8" xfId="0" applyFont="1" applyBorder="1"/>
    <xf numFmtId="9" fontId="25" fillId="0" borderId="10" xfId="0" applyNumberFormat="1" applyFont="1" applyBorder="1"/>
    <xf numFmtId="49" fontId="25" fillId="0" borderId="20" xfId="0" applyNumberFormat="1" applyFont="1" applyFill="1" applyBorder="1" applyAlignment="1">
      <alignment horizontal="center" vertical="center"/>
    </xf>
    <xf numFmtId="0" fontId="25" fillId="0" borderId="21" xfId="0" applyFont="1" applyFill="1" applyBorder="1" applyAlignment="1">
      <alignment horizontal="center" vertical="center"/>
    </xf>
    <xf numFmtId="49" fontId="25" fillId="0" borderId="21" xfId="0" applyNumberFormat="1" applyFont="1" applyFill="1" applyBorder="1" applyAlignment="1">
      <alignment horizontal="center" vertical="center"/>
    </xf>
    <xf numFmtId="0" fontId="58" fillId="0" borderId="21" xfId="0" applyFont="1" applyBorder="1" applyAlignment="1">
      <alignment horizontal="center" vertical="center" wrapText="1"/>
    </xf>
    <xf numFmtId="0" fontId="3" fillId="0" borderId="21" xfId="0" applyFont="1" applyBorder="1" applyAlignment="1">
      <alignment vertical="center" wrapText="1"/>
    </xf>
    <xf numFmtId="4" fontId="3" fillId="0" borderId="21" xfId="0" applyNumberFormat="1" applyFont="1" applyBorder="1" applyAlignment="1">
      <alignment horizontal="right" wrapText="1"/>
    </xf>
    <xf numFmtId="0" fontId="25" fillId="0" borderId="21" xfId="0" applyFont="1" applyBorder="1"/>
    <xf numFmtId="0" fontId="25" fillId="0" borderId="22" xfId="0" applyFont="1" applyBorder="1"/>
    <xf numFmtId="0" fontId="7" fillId="2" borderId="0" xfId="0" applyFont="1" applyFill="1" applyAlignment="1">
      <alignment horizontal="left" vertical="center"/>
    </xf>
    <xf numFmtId="176" fontId="5" fillId="0" borderId="29" xfId="0" applyNumberFormat="1" applyFont="1" applyBorder="1" applyAlignment="1">
      <alignment horizontal="center"/>
    </xf>
    <xf numFmtId="176" fontId="6" fillId="0" borderId="8" xfId="0" applyNumberFormat="1" applyFont="1" applyBorder="1" applyAlignment="1">
      <alignment horizontal="center"/>
    </xf>
    <xf numFmtId="0" fontId="6" fillId="0" borderId="44" xfId="0" quotePrefix="1" applyFont="1" applyBorder="1" applyAlignment="1">
      <alignment horizontal="left" vertical="center" wrapText="1"/>
    </xf>
    <xf numFmtId="3" fontId="6" fillId="0" borderId="10" xfId="0" applyNumberFormat="1" applyFont="1" applyBorder="1" applyAlignment="1">
      <alignment horizontal="center"/>
    </xf>
    <xf numFmtId="165" fontId="6" fillId="0" borderId="1" xfId="0" applyNumberFormat="1" applyFont="1" applyBorder="1" applyAlignment="1">
      <alignment horizontal="center"/>
    </xf>
    <xf numFmtId="0" fontId="9" fillId="3" borderId="62" xfId="0" applyFont="1" applyFill="1" applyBorder="1" applyAlignment="1">
      <alignment horizontal="center" vertical="center" wrapText="1"/>
    </xf>
    <xf numFmtId="0" fontId="0" fillId="0" borderId="27" xfId="0" applyBorder="1"/>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5" fillId="0" borderId="15" xfId="0" applyFont="1" applyBorder="1" applyAlignment="1">
      <alignment horizontal="center" vertical="center"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56" xfId="0" applyFont="1" applyBorder="1" applyAlignment="1">
      <alignment horizontal="center" vertical="top" wrapText="1"/>
    </xf>
    <xf numFmtId="0" fontId="0" fillId="0" borderId="7" xfId="0" applyBorder="1"/>
    <xf numFmtId="0" fontId="0" fillId="0" borderId="8" xfId="0" applyBorder="1"/>
    <xf numFmtId="171" fontId="6" fillId="0" borderId="22" xfId="0" applyNumberFormat="1" applyFont="1" applyBorder="1" applyAlignment="1">
      <alignment horizontal="center" vertical="center"/>
    </xf>
    <xf numFmtId="0" fontId="12" fillId="0" borderId="63" xfId="0" applyFont="1" applyBorder="1" applyAlignment="1">
      <alignment horizontal="center" vertical="top" wrapText="1"/>
    </xf>
    <xf numFmtId="0" fontId="12" fillId="0" borderId="64" xfId="0" applyFont="1" applyBorder="1" applyAlignment="1">
      <alignment horizontal="center" vertical="top" wrapText="1"/>
    </xf>
    <xf numFmtId="0" fontId="12" fillId="0" borderId="7" xfId="0" applyFont="1" applyBorder="1" applyAlignment="1">
      <alignment horizontal="center"/>
    </xf>
    <xf numFmtId="0" fontId="12" fillId="0" borderId="8" xfId="0" applyFont="1" applyBorder="1" applyAlignment="1">
      <alignment horizontal="center"/>
    </xf>
    <xf numFmtId="0" fontId="0" fillId="0" borderId="15" xfId="0" applyBorder="1"/>
    <xf numFmtId="0" fontId="0" fillId="0" borderId="16" xfId="0" applyBorder="1"/>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165" fontId="36" fillId="2" borderId="18" xfId="0" applyNumberFormat="1" applyFont="1" applyFill="1" applyBorder="1" applyAlignment="1">
      <alignment horizontal="right" vertical="center" wrapText="1"/>
    </xf>
    <xf numFmtId="165" fontId="36" fillId="2" borderId="12" xfId="0" applyNumberFormat="1" applyFont="1" applyFill="1" applyBorder="1" applyAlignment="1">
      <alignment horizontal="right" vertical="center" wrapText="1"/>
    </xf>
    <xf numFmtId="165" fontId="36" fillId="2" borderId="1"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25" fillId="2" borderId="11" xfId="0" applyNumberFormat="1" applyFont="1" applyFill="1" applyBorder="1" applyAlignment="1">
      <alignment horizontal="center" vertical="center"/>
    </xf>
    <xf numFmtId="49" fontId="25" fillId="2" borderId="18" xfId="0" applyNumberFormat="1" applyFont="1" applyFill="1" applyBorder="1" applyAlignment="1">
      <alignment horizontal="center" vertical="center" wrapText="1"/>
    </xf>
    <xf numFmtId="3" fontId="40" fillId="2" borderId="12" xfId="0" applyNumberFormat="1"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40" fillId="2" borderId="1" xfId="0" quotePrefix="1"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40" fillId="2" borderId="27"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7" xfId="0" applyFont="1" applyBorder="1" applyAlignment="1">
      <alignment horizontal="center" vertical="center" wrapText="1"/>
    </xf>
    <xf numFmtId="0" fontId="25" fillId="2" borderId="17" xfId="0" applyFont="1" applyFill="1" applyBorder="1" applyAlignment="1">
      <alignment horizontal="center" vertical="center"/>
    </xf>
    <xf numFmtId="49" fontId="3" fillId="0" borderId="1" xfId="0" applyNumberFormat="1" applyFont="1" applyBorder="1" applyAlignment="1">
      <alignment horizontal="center" vertical="center" wrapText="1"/>
    </xf>
    <xf numFmtId="49" fontId="3" fillId="2" borderId="17" xfId="0" applyNumberFormat="1" applyFont="1" applyFill="1" applyBorder="1" applyAlignment="1">
      <alignment horizontal="center" vertical="center" wrapText="1"/>
    </xf>
    <xf numFmtId="49" fontId="40" fillId="0" borderId="9" xfId="0" applyNumberFormat="1" applyFont="1" applyFill="1" applyBorder="1" applyAlignment="1">
      <alignment horizontal="center" vertical="center" wrapText="1"/>
    </xf>
    <xf numFmtId="0" fontId="32" fillId="0" borderId="0" xfId="0" applyFont="1" applyAlignment="1">
      <alignment horizontal="center"/>
    </xf>
    <xf numFmtId="0" fontId="33" fillId="0" borderId="0" xfId="0" applyFont="1" applyAlignment="1">
      <alignment horizontal="center"/>
    </xf>
    <xf numFmtId="0" fontId="30"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9" xfId="0" applyFont="1" applyBorder="1" applyAlignment="1">
      <alignment horizontal="center" vertical="center" wrapText="1"/>
    </xf>
    <xf numFmtId="0" fontId="15" fillId="0" borderId="0" xfId="0" applyFont="1" applyAlignment="1">
      <alignment horizontal="center" vertical="center"/>
    </xf>
    <xf numFmtId="0" fontId="35" fillId="0" borderId="0" xfId="0" applyFont="1" applyAlignment="1">
      <alignment horizontal="center"/>
    </xf>
    <xf numFmtId="0" fontId="42" fillId="0" borderId="44"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5" fontId="6" fillId="2" borderId="51" xfId="0" applyNumberFormat="1" applyFont="1" applyFill="1" applyBorder="1" applyAlignment="1">
      <alignment horizontal="left" vertical="center"/>
    </xf>
    <xf numFmtId="165"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3" fillId="2" borderId="12" xfId="0" applyFont="1" applyFill="1" applyBorder="1" applyAlignment="1">
      <alignment horizontal="center" vertical="center" wrapText="1"/>
    </xf>
    <xf numFmtId="0" fontId="43" fillId="2" borderId="27" xfId="0" applyFont="1" applyFill="1" applyBorder="1" applyAlignment="1">
      <alignment horizontal="center" vertical="center" wrapText="1"/>
    </xf>
    <xf numFmtId="0" fontId="43" fillId="2" borderId="25"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21" xfId="0" applyFont="1" applyFill="1" applyBorder="1" applyAlignment="1">
      <alignment horizontal="center" vertical="center" wrapText="1"/>
    </xf>
    <xf numFmtId="0" fontId="43" fillId="2" borderId="42"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31" xfId="0" applyFont="1" applyFill="1" applyBorder="1" applyAlignment="1">
      <alignment horizontal="center" vertical="center" wrapText="1"/>
    </xf>
    <xf numFmtId="0" fontId="43" fillId="2" borderId="43"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28" xfId="0" applyFont="1" applyFill="1" applyBorder="1" applyAlignment="1">
      <alignment horizontal="center" vertical="center" wrapText="1"/>
    </xf>
    <xf numFmtId="0" fontId="43" fillId="2" borderId="29" xfId="0" applyFont="1" applyFill="1" applyBorder="1" applyAlignment="1">
      <alignment horizontal="center" vertical="center" wrapText="1"/>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7"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13" fillId="0" borderId="3" xfId="0" applyFont="1" applyBorder="1" applyAlignment="1">
      <alignment horizontal="left" wrapText="1"/>
    </xf>
    <xf numFmtId="0" fontId="13" fillId="0" borderId="5" xfId="0" applyFont="1" applyBorder="1" applyAlignment="1">
      <alignment horizontal="left"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5" fillId="0" borderId="0" xfId="0" applyFont="1" applyAlignment="1">
      <alignment horizontal="left"/>
    </xf>
    <xf numFmtId="0" fontId="1" fillId="0" borderId="50" xfId="0" applyFont="1" applyBorder="1" applyAlignment="1">
      <alignment horizontal="center" vertical="top" wrapText="1"/>
    </xf>
    <xf numFmtId="0" fontId="1" fillId="0" borderId="32" xfId="0" applyFont="1" applyBorder="1" applyAlignment="1">
      <alignment horizontal="center" vertical="top" wrapText="1"/>
    </xf>
    <xf numFmtId="0" fontId="12" fillId="0" borderId="56" xfId="0" applyFont="1" applyBorder="1" applyAlignment="1">
      <alignment horizontal="center" vertical="top" wrapText="1"/>
    </xf>
    <xf numFmtId="0" fontId="12" fillId="0" borderId="47"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13" fillId="0" borderId="1" xfId="0" applyFont="1" applyBorder="1" applyAlignment="1">
      <alignment horizontal="left" wrapText="1"/>
    </xf>
    <xf numFmtId="0" fontId="5" fillId="0" borderId="46" xfId="0" applyFont="1" applyBorder="1" applyAlignment="1">
      <alignment horizontal="left" vertical="center" wrapText="1"/>
    </xf>
    <xf numFmtId="0" fontId="5" fillId="0" borderId="35" xfId="0" applyFont="1" applyBorder="1" applyAlignment="1">
      <alignment horizontal="left" vertical="center" wrapText="1"/>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65" xfId="0" applyFont="1" applyBorder="1" applyAlignment="1">
      <alignment horizontal="center" vertic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50" xfId="0" applyFont="1" applyBorder="1" applyAlignment="1">
      <alignment horizontal="center"/>
    </xf>
    <xf numFmtId="0" fontId="6" fillId="0" borderId="42" xfId="0" applyFont="1" applyBorder="1" applyAlignment="1">
      <alignment horizontal="left" vertical="center" wrapText="1"/>
    </xf>
    <xf numFmtId="0" fontId="6" fillId="0" borderId="31" xfId="0" applyFont="1" applyBorder="1" applyAlignment="1">
      <alignment horizontal="left" vertical="center" wrapText="1"/>
    </xf>
    <xf numFmtId="0" fontId="7" fillId="0" borderId="46" xfId="0" applyFont="1" applyBorder="1" applyAlignment="1">
      <alignment horizontal="left" wrapText="1"/>
    </xf>
    <xf numFmtId="0" fontId="7" fillId="0" borderId="35" xfId="0" applyFont="1" applyBorder="1" applyAlignment="1">
      <alignment horizontal="left" wrapText="1"/>
    </xf>
    <xf numFmtId="0" fontId="7" fillId="3" borderId="42"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Alignment="1">
      <alignment horizontal="left" vertical="center"/>
    </xf>
    <xf numFmtId="0" fontId="7" fillId="0" borderId="0" xfId="0" applyFont="1" applyAlignment="1">
      <alignment horizontal="right"/>
    </xf>
    <xf numFmtId="0" fontId="21" fillId="0" borderId="0" xfId="0" applyFont="1" applyAlignment="1">
      <alignment horizontal="left" vertical="center" wrapText="1"/>
    </xf>
    <xf numFmtId="0" fontId="23" fillId="0" borderId="0" xfId="0" applyFont="1" applyAlignment="1">
      <alignment horizontal="left" vertical="center" wrapText="1"/>
    </xf>
    <xf numFmtId="0" fontId="9" fillId="0" borderId="3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7"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0" fontId="15" fillId="0" borderId="0" xfId="0" applyFont="1" applyAlignment="1">
      <alignment horizont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2"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25" fillId="2" borderId="11" xfId="0" applyNumberFormat="1" applyFont="1" applyFill="1" applyBorder="1" applyAlignment="1">
      <alignment horizontal="center" vertical="center"/>
    </xf>
    <xf numFmtId="49" fontId="25" fillId="2" borderId="26" xfId="0" applyNumberFormat="1" applyFont="1" applyFill="1" applyBorder="1" applyAlignment="1">
      <alignment horizontal="center" vertical="center"/>
    </xf>
    <xf numFmtId="49" fontId="25" fillId="2" borderId="17" xfId="0" applyNumberFormat="1" applyFont="1" applyFill="1" applyBorder="1" applyAlignment="1">
      <alignment horizontal="center" vertical="center"/>
    </xf>
    <xf numFmtId="49" fontId="25" fillId="2" borderId="18" xfId="0" applyNumberFormat="1" applyFont="1" applyFill="1" applyBorder="1" applyAlignment="1">
      <alignment horizontal="center" vertical="center" wrapText="1"/>
    </xf>
    <xf numFmtId="3" fontId="40" fillId="2" borderId="12" xfId="0" applyNumberFormat="1" applyFont="1" applyFill="1" applyBorder="1" applyAlignment="1">
      <alignment horizontal="center" vertical="center" wrapText="1"/>
    </xf>
    <xf numFmtId="3" fontId="40" fillId="2" borderId="27" xfId="0" applyNumberFormat="1" applyFont="1" applyFill="1" applyBorder="1" applyAlignment="1">
      <alignment horizontal="center" vertical="center" wrapText="1"/>
    </xf>
    <xf numFmtId="3" fontId="40" fillId="2" borderId="18"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0" fontId="29" fillId="2" borderId="17" xfId="0" applyFont="1" applyFill="1" applyBorder="1" applyAlignment="1">
      <alignment horizontal="center" vertical="center"/>
    </xf>
    <xf numFmtId="0" fontId="29" fillId="2" borderId="18" xfId="0" applyFont="1" applyFill="1" applyBorder="1" applyAlignment="1">
      <alignment horizontal="center" vertical="center" wrapText="1"/>
    </xf>
    <xf numFmtId="0" fontId="39" fillId="2" borderId="18" xfId="0" applyFont="1" applyFill="1" applyBorder="1" applyAlignment="1">
      <alignment horizontal="center" vertical="center" wrapText="1"/>
    </xf>
    <xf numFmtId="3" fontId="25" fillId="2" borderId="12" xfId="0" applyNumberFormat="1" applyFont="1" applyFill="1" applyBorder="1" applyAlignment="1">
      <alignment horizontal="center" vertical="center" wrapText="1"/>
    </xf>
    <xf numFmtId="3" fontId="25" fillId="2" borderId="18" xfId="0" applyNumberFormat="1" applyFont="1" applyFill="1" applyBorder="1" applyAlignment="1">
      <alignment horizontal="center" vertical="center" wrapText="1"/>
    </xf>
    <xf numFmtId="0" fontId="15" fillId="0" borderId="0" xfId="0" applyFont="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0" fontId="22" fillId="0" borderId="0" xfId="0" applyFont="1" applyAlignment="1">
      <alignment horizontal="center" vertical="center" wrapText="1"/>
    </xf>
    <xf numFmtId="1" fontId="25" fillId="2" borderId="12" xfId="0" applyNumberFormat="1" applyFont="1" applyFill="1" applyBorder="1" applyAlignment="1">
      <alignment horizontal="center" vertical="center" wrapText="1"/>
    </xf>
    <xf numFmtId="1" fontId="25" fillId="2" borderId="27" xfId="0" applyNumberFormat="1" applyFont="1" applyFill="1" applyBorder="1" applyAlignment="1">
      <alignment horizontal="center" vertical="center" wrapText="1"/>
    </xf>
    <xf numFmtId="1" fontId="25" fillId="2" borderId="18" xfId="0" applyNumberFormat="1"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40" fillId="2" borderId="1" xfId="0" quotePrefix="1" applyFont="1" applyFill="1" applyBorder="1" applyAlignment="1">
      <alignment horizontal="center" vertical="center" wrapText="1"/>
    </xf>
    <xf numFmtId="3" fontId="25" fillId="0" borderId="1" xfId="0" applyNumberFormat="1" applyFont="1" applyBorder="1" applyAlignment="1">
      <alignment horizontal="center" vertical="center" wrapText="1"/>
    </xf>
    <xf numFmtId="0" fontId="25" fillId="2" borderId="11"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40" fillId="2" borderId="12" xfId="0" quotePrefix="1" applyFont="1" applyFill="1" applyBorder="1" applyAlignment="1">
      <alignment horizontal="center" vertical="center" wrapText="1"/>
    </xf>
    <xf numFmtId="0" fontId="40" fillId="2" borderId="27" xfId="0" quotePrefix="1" applyFont="1" applyFill="1" applyBorder="1" applyAlignment="1">
      <alignment horizontal="center" vertical="center" wrapText="1"/>
    </xf>
    <xf numFmtId="0" fontId="40" fillId="2" borderId="18"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7" xfId="0" applyFont="1" applyBorder="1" applyAlignment="1">
      <alignment horizontal="center" vertical="center" wrapText="1"/>
    </xf>
    <xf numFmtId="0" fontId="25" fillId="2" borderId="11" xfId="0" applyFont="1" applyFill="1" applyBorder="1" applyAlignment="1">
      <alignment horizontal="center" vertical="center"/>
    </xf>
    <xf numFmtId="0" fontId="25" fillId="2" borderId="17" xfId="0" applyFont="1" applyFill="1" applyBorder="1" applyAlignment="1">
      <alignment horizontal="center" vertical="center"/>
    </xf>
    <xf numFmtId="49" fontId="3" fillId="0" borderId="1" xfId="0" applyNumberFormat="1" applyFont="1" applyBorder="1" applyAlignment="1">
      <alignment horizontal="center" vertical="center" wrapText="1"/>
    </xf>
    <xf numFmtId="49" fontId="33" fillId="0" borderId="12" xfId="0" quotePrefix="1" applyNumberFormat="1" applyFont="1" applyBorder="1" applyAlignment="1">
      <alignment horizontal="center" vertical="center" wrapText="1"/>
    </xf>
    <xf numFmtId="49" fontId="33" fillId="0" borderId="18" xfId="0" quotePrefix="1" applyNumberFormat="1" applyFont="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52" fillId="0" borderId="12" xfId="0" applyFont="1" applyBorder="1" applyAlignment="1">
      <alignment horizontal="center" vertical="center"/>
    </xf>
    <xf numFmtId="0" fontId="52" fillId="0" borderId="18" xfId="0" applyFont="1" applyBorder="1" applyAlignment="1">
      <alignment horizontal="center" vertical="center"/>
    </xf>
    <xf numFmtId="0" fontId="36"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13" fillId="0" borderId="27" xfId="0" applyFont="1" applyBorder="1" applyAlignment="1">
      <alignment horizontal="left"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xf numFmtId="4" fontId="9" fillId="0" borderId="7"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21" xfId="0" applyNumberFormat="1" applyFont="1" applyBorder="1" applyAlignment="1">
      <alignment horizontal="center" vertical="center" wrapText="1"/>
    </xf>
    <xf numFmtId="4" fontId="9" fillId="0" borderId="8" xfId="0" applyNumberFormat="1" applyFont="1" applyBorder="1" applyAlignment="1">
      <alignment horizontal="center" vertical="center" wrapText="1"/>
    </xf>
    <xf numFmtId="4" fontId="9" fillId="0" borderId="10" xfId="0" applyNumberFormat="1" applyFont="1" applyBorder="1" applyAlignment="1">
      <alignment horizontal="center" vertical="center" wrapText="1"/>
    </xf>
    <xf numFmtId="4" fontId="9" fillId="0" borderId="22" xfId="0" applyNumberFormat="1" applyFont="1" applyBorder="1" applyAlignment="1">
      <alignment horizontal="center" vertical="center" wrapText="1"/>
    </xf>
    <xf numFmtId="0" fontId="13" fillId="0" borderId="15" xfId="0" applyFont="1" applyFill="1" applyBorder="1" applyAlignment="1">
      <alignment horizontal="center" vertical="center" wrapText="1"/>
    </xf>
    <xf numFmtId="49" fontId="25" fillId="0" borderId="9" xfId="0" applyNumberFormat="1" applyFont="1" applyFill="1" applyBorder="1" applyAlignment="1">
      <alignment horizontal="center" vertical="center"/>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7" fillId="2" borderId="0" xfId="0" applyFont="1" applyFill="1" applyAlignment="1">
      <alignment horizontal="left" vertical="center"/>
    </xf>
    <xf numFmtId="0" fontId="7" fillId="0" borderId="0" xfId="0" applyFont="1" applyFill="1" applyBorder="1" applyAlignment="1">
      <alignment horizontal="left" vertical="center"/>
    </xf>
    <xf numFmtId="0" fontId="15" fillId="0" borderId="0" xfId="0" applyFont="1" applyFill="1" applyBorder="1" applyAlignment="1">
      <alignment horizont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5" fillId="0" borderId="0" xfId="0" applyFont="1" applyBorder="1" applyAlignment="1">
      <alignment horizontal="center" vertical="center"/>
    </xf>
    <xf numFmtId="0" fontId="36" fillId="0" borderId="7" xfId="0"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wrapText="1"/>
    </xf>
    <xf numFmtId="49" fontId="19" fillId="0" borderId="7"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1" xfId="0" applyFont="1" applyBorder="1" applyAlignment="1">
      <alignment horizontal="center" vertical="center" wrapText="1"/>
    </xf>
  </cellXfs>
  <cellStyles count="7">
    <cellStyle name="Відсотковий" xfId="6" builtinId="5"/>
    <cellStyle name="Денежный 2" xfId="5"/>
    <cellStyle name="Звичайний" xfId="0" builtinId="0"/>
    <cellStyle name="Обычный 2" xfId="3"/>
    <cellStyle name="Обычный 9 2 4 2 2" xfId="2"/>
    <cellStyle name="Процентный 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90"/>
  <sheetViews>
    <sheetView view="pageBreakPreview" topLeftCell="A10" zoomScale="80" zoomScaleNormal="100" zoomScaleSheetLayoutView="80" workbookViewId="0">
      <selection activeCell="H17" sqref="H17"/>
    </sheetView>
  </sheetViews>
  <sheetFormatPr defaultColWidth="8.85546875" defaultRowHeight="12.75" x14ac:dyDescent="0.2"/>
  <cols>
    <col min="1" max="1" width="11.28515625" customWidth="1"/>
    <col min="2" max="2" width="55.42578125" customWidth="1"/>
    <col min="3" max="3" width="13.5703125" customWidth="1"/>
    <col min="4" max="4" width="14.140625" customWidth="1"/>
    <col min="5" max="5" width="13.28515625" customWidth="1"/>
    <col min="6" max="6" width="14.85546875" customWidth="1"/>
    <col min="7" max="7" width="14.42578125" customWidth="1"/>
    <col min="8" max="8" width="14.140625" customWidth="1"/>
    <col min="9" max="9" width="13.7109375" customWidth="1"/>
    <col min="10" max="10" width="12.7109375" customWidth="1"/>
    <col min="11" max="11" width="15.5703125" customWidth="1"/>
  </cols>
  <sheetData>
    <row r="1" spans="1:14" ht="15.75" x14ac:dyDescent="0.2">
      <c r="G1" s="260"/>
      <c r="H1" s="260" t="s">
        <v>161</v>
      </c>
      <c r="I1" s="260"/>
      <c r="J1" s="260"/>
      <c r="K1" s="881"/>
      <c r="L1" s="1156"/>
      <c r="M1" s="1156"/>
      <c r="N1" s="1156"/>
    </row>
    <row r="2" spans="1:14" ht="15.6" customHeight="1" x14ac:dyDescent="0.2">
      <c r="G2" s="572"/>
      <c r="H2" s="1157" t="s">
        <v>613</v>
      </c>
      <c r="I2" s="1157"/>
      <c r="J2" s="1157"/>
      <c r="K2" s="1157"/>
      <c r="L2" s="758"/>
      <c r="M2" s="758"/>
      <c r="N2" s="758"/>
    </row>
    <row r="3" spans="1:14" ht="15.75" x14ac:dyDescent="0.25">
      <c r="G3" s="5"/>
      <c r="H3" s="762" t="s">
        <v>696</v>
      </c>
      <c r="I3" s="762"/>
      <c r="J3" s="576"/>
      <c r="K3" s="261"/>
      <c r="L3" s="758"/>
      <c r="M3" s="758"/>
      <c r="N3" s="758"/>
    </row>
    <row r="4" spans="1:14" ht="15.75" x14ac:dyDescent="0.25">
      <c r="G4" s="5"/>
      <c r="H4" s="1159" t="s">
        <v>697</v>
      </c>
      <c r="I4" s="1159"/>
      <c r="J4" s="576"/>
      <c r="K4" s="261"/>
      <c r="L4" s="758"/>
      <c r="M4" s="758"/>
      <c r="N4" s="758"/>
    </row>
    <row r="5" spans="1:14" ht="15.75" x14ac:dyDescent="0.25">
      <c r="G5" s="763"/>
      <c r="H5" s="763"/>
      <c r="J5" s="763"/>
      <c r="K5" s="760"/>
      <c r="L5" s="1157"/>
      <c r="M5" s="1157"/>
      <c r="N5" s="1157"/>
    </row>
    <row r="6" spans="1:14" ht="15.75" x14ac:dyDescent="0.25">
      <c r="G6" s="763"/>
      <c r="H6" s="763"/>
      <c r="J6" s="764"/>
      <c r="K6" s="757"/>
      <c r="L6" s="1158"/>
      <c r="M6" s="1158"/>
      <c r="N6" s="1158"/>
    </row>
    <row r="7" spans="1:14" ht="15.75" x14ac:dyDescent="0.25">
      <c r="G7" s="764"/>
      <c r="H7" s="764"/>
      <c r="I7" s="764"/>
      <c r="J7" s="764"/>
      <c r="K7" s="757"/>
      <c r="L7" s="1158"/>
      <c r="M7" s="1158"/>
      <c r="N7" s="1158"/>
    </row>
    <row r="8" spans="1:14" ht="34.5" customHeight="1" x14ac:dyDescent="0.3">
      <c r="A8" s="1153" t="s">
        <v>309</v>
      </c>
      <c r="B8" s="1154"/>
      <c r="C8" s="1154"/>
      <c r="D8" s="1154"/>
      <c r="E8" s="1154"/>
      <c r="F8" s="1154"/>
      <c r="G8" s="1154"/>
      <c r="H8" s="1154"/>
      <c r="I8" s="1154"/>
      <c r="J8" s="1154"/>
      <c r="K8" s="759"/>
      <c r="L8" s="1155"/>
      <c r="M8" s="1155"/>
      <c r="N8" s="1155"/>
    </row>
    <row r="9" spans="1:14" ht="15.75" x14ac:dyDescent="0.25">
      <c r="A9" s="1160" t="s">
        <v>162</v>
      </c>
      <c r="B9" s="1160"/>
      <c r="C9" s="1"/>
      <c r="D9" s="1"/>
      <c r="E9" s="1"/>
      <c r="F9" s="1"/>
      <c r="G9" s="1"/>
      <c r="H9" s="1"/>
      <c r="I9" s="1"/>
      <c r="J9" s="1"/>
      <c r="K9" s="1"/>
      <c r="L9" s="1161"/>
      <c r="M9" s="1161"/>
      <c r="N9" s="1161"/>
    </row>
    <row r="10" spans="1:14" ht="16.5" thickBot="1" x14ac:dyDescent="0.3">
      <c r="A10" s="1" t="s">
        <v>0</v>
      </c>
      <c r="B10" s="1"/>
      <c r="C10" s="1"/>
      <c r="D10" s="1"/>
      <c r="E10" s="1"/>
      <c r="F10" s="1"/>
      <c r="G10" s="1"/>
      <c r="H10" s="1"/>
      <c r="I10" s="1"/>
      <c r="J10" s="2" t="s">
        <v>269</v>
      </c>
      <c r="K10" s="2"/>
      <c r="L10" s="1161"/>
      <c r="M10" s="1161"/>
      <c r="N10" s="1161"/>
    </row>
    <row r="11" spans="1:14" ht="15.6" customHeight="1" x14ac:dyDescent="0.2">
      <c r="A11" s="1162" t="s">
        <v>310</v>
      </c>
      <c r="B11" s="1164" t="s">
        <v>311</v>
      </c>
      <c r="C11" s="1166" t="s">
        <v>1</v>
      </c>
      <c r="D11" s="1166"/>
      <c r="E11" s="1166"/>
      <c r="F11" s="1167" t="s">
        <v>2</v>
      </c>
      <c r="G11" s="1166"/>
      <c r="H11" s="1168"/>
      <c r="I11" s="1166" t="s">
        <v>3</v>
      </c>
      <c r="J11" s="1166"/>
      <c r="K11" s="1168"/>
    </row>
    <row r="12" spans="1:14" ht="15.6" customHeight="1" x14ac:dyDescent="0.2">
      <c r="A12" s="1163"/>
      <c r="B12" s="1165"/>
      <c r="C12" s="1169" t="s">
        <v>459</v>
      </c>
      <c r="D12" s="1171" t="s">
        <v>615</v>
      </c>
      <c r="E12" s="1177" t="s">
        <v>460</v>
      </c>
      <c r="F12" s="1179" t="s">
        <v>459</v>
      </c>
      <c r="G12" s="1171" t="s">
        <v>615</v>
      </c>
      <c r="H12" s="1173" t="s">
        <v>460</v>
      </c>
      <c r="I12" s="1169" t="s">
        <v>459</v>
      </c>
      <c r="J12" s="1171" t="s">
        <v>615</v>
      </c>
      <c r="K12" s="1173" t="s">
        <v>460</v>
      </c>
    </row>
    <row r="13" spans="1:14" ht="31.15" customHeight="1" x14ac:dyDescent="0.2">
      <c r="A13" s="1163"/>
      <c r="B13" s="1165"/>
      <c r="C13" s="1170"/>
      <c r="D13" s="1172"/>
      <c r="E13" s="1178"/>
      <c r="F13" s="1180"/>
      <c r="G13" s="1172"/>
      <c r="H13" s="1174"/>
      <c r="I13" s="1170"/>
      <c r="J13" s="1172"/>
      <c r="K13" s="1174"/>
    </row>
    <row r="14" spans="1:14" ht="16.5" thickBot="1" x14ac:dyDescent="0.25">
      <c r="A14" s="9">
        <v>1</v>
      </c>
      <c r="B14" s="449">
        <v>2</v>
      </c>
      <c r="C14" s="482">
        <v>3</v>
      </c>
      <c r="D14" s="10">
        <v>4</v>
      </c>
      <c r="E14" s="471">
        <v>5</v>
      </c>
      <c r="F14" s="9">
        <v>6</v>
      </c>
      <c r="G14" s="10">
        <v>7</v>
      </c>
      <c r="H14" s="449">
        <v>8</v>
      </c>
      <c r="I14" s="482">
        <v>9</v>
      </c>
      <c r="J14" s="10">
        <v>10</v>
      </c>
      <c r="K14" s="449">
        <v>11</v>
      </c>
    </row>
    <row r="15" spans="1:14" ht="16.5" thickBot="1" x14ac:dyDescent="0.25">
      <c r="A15" s="437" t="s">
        <v>312</v>
      </c>
      <c r="B15" s="521" t="s">
        <v>313</v>
      </c>
      <c r="C15" s="515">
        <f>F15+I15</f>
        <v>457519096</v>
      </c>
      <c r="D15" s="13">
        <f>G15+J15</f>
        <v>384708299.50999999</v>
      </c>
      <c r="E15" s="472">
        <f>D15/C15*100</f>
        <v>84.085736065101855</v>
      </c>
      <c r="F15" s="495">
        <f>F16+F21+F25</f>
        <v>457159496</v>
      </c>
      <c r="G15" s="13">
        <f>G16+G21+G25+G19</f>
        <v>384395117.07999998</v>
      </c>
      <c r="H15" s="496">
        <f>G15/F15*100</f>
        <v>84.083371436738133</v>
      </c>
      <c r="I15" s="483">
        <f>I40</f>
        <v>359600</v>
      </c>
      <c r="J15" s="438">
        <f>J40</f>
        <v>313182.43</v>
      </c>
      <c r="K15" s="439">
        <f>J15/I15*100</f>
        <v>87.091888209121251</v>
      </c>
      <c r="L15" s="141"/>
    </row>
    <row r="16" spans="1:14" ht="31.5" x14ac:dyDescent="0.2">
      <c r="A16" s="450" t="s">
        <v>314</v>
      </c>
      <c r="B16" s="522" t="s">
        <v>315</v>
      </c>
      <c r="C16" s="516">
        <f>F16+I16</f>
        <v>276172696</v>
      </c>
      <c r="D16" s="435">
        <f t="shared" ref="D16:D84" si="0">G16+J16</f>
        <v>239252406.16999999</v>
      </c>
      <c r="E16" s="473">
        <f t="shared" ref="E16:E86" si="1">D16/C16*100</f>
        <v>86.631448233390884</v>
      </c>
      <c r="F16" s="497">
        <f>F17+F18</f>
        <v>276172696</v>
      </c>
      <c r="G16" s="435">
        <f>G17+G18</f>
        <v>239252406.16999999</v>
      </c>
      <c r="H16" s="498">
        <f t="shared" ref="H16:H86" si="2">G16/F16*100</f>
        <v>86.631448233390884</v>
      </c>
      <c r="I16" s="484"/>
      <c r="J16" s="436"/>
      <c r="K16" s="451"/>
      <c r="L16" s="141"/>
    </row>
    <row r="17" spans="1:12" ht="21" customHeight="1" x14ac:dyDescent="0.2">
      <c r="A17" s="452" t="s">
        <v>316</v>
      </c>
      <c r="B17" s="523" t="s">
        <v>317</v>
      </c>
      <c r="C17" s="486">
        <f>F17</f>
        <v>276070396</v>
      </c>
      <c r="D17" s="8">
        <f t="shared" si="0"/>
        <v>238398563.25</v>
      </c>
      <c r="E17" s="474">
        <f t="shared" si="1"/>
        <v>86.354265688813655</v>
      </c>
      <c r="F17" s="499">
        <v>276070396</v>
      </c>
      <c r="G17" s="14">
        <v>238398563.25</v>
      </c>
      <c r="H17" s="500">
        <f t="shared" si="2"/>
        <v>86.354265688813655</v>
      </c>
      <c r="I17" s="485"/>
      <c r="J17" s="140"/>
      <c r="K17" s="453"/>
      <c r="L17" s="141"/>
    </row>
    <row r="18" spans="1:12" ht="36.75" customHeight="1" x14ac:dyDescent="0.2">
      <c r="A18" s="452" t="s">
        <v>318</v>
      </c>
      <c r="B18" s="523" t="s">
        <v>319</v>
      </c>
      <c r="C18" s="486">
        <f t="shared" ref="C18:C24" si="3">F18</f>
        <v>102300</v>
      </c>
      <c r="D18" s="8">
        <f t="shared" si="0"/>
        <v>853842.92</v>
      </c>
      <c r="E18" s="765" t="str">
        <f>H18</f>
        <v>збільшення у 8,3 рази</v>
      </c>
      <c r="F18" s="499">
        <v>102300</v>
      </c>
      <c r="G18" s="14">
        <v>853842.92</v>
      </c>
      <c r="H18" s="501" t="s">
        <v>616</v>
      </c>
      <c r="I18" s="486"/>
      <c r="J18" s="140"/>
      <c r="K18" s="453"/>
      <c r="L18" s="141"/>
    </row>
    <row r="19" spans="1:12" ht="31.5" x14ac:dyDescent="0.2">
      <c r="A19" s="454">
        <v>13000000</v>
      </c>
      <c r="B19" s="524" t="s">
        <v>495</v>
      </c>
      <c r="C19" s="517">
        <v>0</v>
      </c>
      <c r="D19" s="139">
        <f t="shared" si="0"/>
        <v>1278.55</v>
      </c>
      <c r="E19" s="475" t="s">
        <v>297</v>
      </c>
      <c r="F19" s="502">
        <v>0</v>
      </c>
      <c r="G19" s="143">
        <f>G20</f>
        <v>1278.55</v>
      </c>
      <c r="H19" s="503" t="s">
        <v>297</v>
      </c>
      <c r="I19" s="487"/>
      <c r="J19" s="143"/>
      <c r="K19" s="455"/>
      <c r="L19" s="141"/>
    </row>
    <row r="20" spans="1:12" ht="36.75" customHeight="1" x14ac:dyDescent="0.2">
      <c r="A20" s="431">
        <v>13030000</v>
      </c>
      <c r="B20" s="525" t="s">
        <v>502</v>
      </c>
      <c r="C20" s="493">
        <v>0</v>
      </c>
      <c r="D20" s="8">
        <f t="shared" si="0"/>
        <v>1278.55</v>
      </c>
      <c r="E20" s="474" t="s">
        <v>297</v>
      </c>
      <c r="F20" s="504">
        <v>0</v>
      </c>
      <c r="G20" s="14">
        <v>1278.55</v>
      </c>
      <c r="H20" s="503" t="s">
        <v>297</v>
      </c>
      <c r="I20" s="486"/>
      <c r="J20" s="140"/>
      <c r="K20" s="453"/>
      <c r="L20" s="141"/>
    </row>
    <row r="21" spans="1:12" ht="15.75" x14ac:dyDescent="0.2">
      <c r="A21" s="456" t="s">
        <v>320</v>
      </c>
      <c r="B21" s="524" t="s">
        <v>321</v>
      </c>
      <c r="C21" s="766">
        <f>F21</f>
        <v>19638200</v>
      </c>
      <c r="D21" s="139">
        <f t="shared" si="0"/>
        <v>17382583.050000001</v>
      </c>
      <c r="E21" s="475">
        <f>H21</f>
        <v>88.514135969691736</v>
      </c>
      <c r="F21" s="505">
        <f>F22+F23+F24</f>
        <v>19638200</v>
      </c>
      <c r="G21" s="143">
        <f>G22+G23+G24</f>
        <v>17382583.050000001</v>
      </c>
      <c r="H21" s="506">
        <f t="shared" si="2"/>
        <v>88.514135969691736</v>
      </c>
      <c r="I21" s="485"/>
      <c r="J21" s="140"/>
      <c r="K21" s="453"/>
      <c r="L21" s="141"/>
    </row>
    <row r="22" spans="1:12" ht="33.75" customHeight="1" x14ac:dyDescent="0.2">
      <c r="A22" s="452" t="s">
        <v>322</v>
      </c>
      <c r="B22" s="523" t="s">
        <v>323</v>
      </c>
      <c r="C22" s="486">
        <f t="shared" si="3"/>
        <v>443200</v>
      </c>
      <c r="D22" s="8">
        <f t="shared" si="0"/>
        <v>743281.52</v>
      </c>
      <c r="E22" s="474">
        <f t="shared" si="1"/>
        <v>167.70792418772564</v>
      </c>
      <c r="F22" s="499">
        <v>443200</v>
      </c>
      <c r="G22" s="14">
        <v>743281.52</v>
      </c>
      <c r="H22" s="500">
        <f t="shared" si="2"/>
        <v>167.70792418772564</v>
      </c>
      <c r="I22" s="486"/>
      <c r="J22" s="140"/>
      <c r="K22" s="453"/>
      <c r="L22" s="141"/>
    </row>
    <row r="23" spans="1:12" ht="31.5" x14ac:dyDescent="0.2">
      <c r="A23" s="452" t="s">
        <v>324</v>
      </c>
      <c r="B23" s="523" t="s">
        <v>325</v>
      </c>
      <c r="C23" s="486">
        <f t="shared" si="3"/>
        <v>5118800</v>
      </c>
      <c r="D23" s="8">
        <f t="shared" si="0"/>
        <v>4729922.45</v>
      </c>
      <c r="E23" s="474">
        <f t="shared" si="1"/>
        <v>92.402954794092381</v>
      </c>
      <c r="F23" s="499">
        <v>5118800</v>
      </c>
      <c r="G23" s="14">
        <v>4729922.45</v>
      </c>
      <c r="H23" s="500">
        <f t="shared" si="2"/>
        <v>92.402954794092381</v>
      </c>
      <c r="I23" s="486"/>
      <c r="J23" s="140"/>
      <c r="K23" s="453"/>
      <c r="L23" s="141"/>
    </row>
    <row r="24" spans="1:12" ht="47.25" x14ac:dyDescent="0.2">
      <c r="A24" s="452" t="s">
        <v>326</v>
      </c>
      <c r="B24" s="523" t="s">
        <v>327</v>
      </c>
      <c r="C24" s="486">
        <f t="shared" si="3"/>
        <v>14076200</v>
      </c>
      <c r="D24" s="8">
        <f t="shared" si="0"/>
        <v>11909379.08</v>
      </c>
      <c r="E24" s="474">
        <f t="shared" si="1"/>
        <v>84.606492377204077</v>
      </c>
      <c r="F24" s="499">
        <v>14076200</v>
      </c>
      <c r="G24" s="14">
        <v>11909379.08</v>
      </c>
      <c r="H24" s="500">
        <f t="shared" si="2"/>
        <v>84.606492377204077</v>
      </c>
      <c r="I24" s="486"/>
      <c r="J24" s="140"/>
      <c r="K24" s="453"/>
      <c r="L24" s="141"/>
    </row>
    <row r="25" spans="1:12" ht="50.25" customHeight="1" x14ac:dyDescent="0.2">
      <c r="A25" s="456" t="s">
        <v>328</v>
      </c>
      <c r="B25" s="524" t="s">
        <v>329</v>
      </c>
      <c r="C25" s="487">
        <f>F25</f>
        <v>161348600</v>
      </c>
      <c r="D25" s="139">
        <f t="shared" si="0"/>
        <v>127758849.31</v>
      </c>
      <c r="E25" s="475">
        <f t="shared" si="1"/>
        <v>79.181876576555368</v>
      </c>
      <c r="F25" s="505">
        <f>F26+F38+F39</f>
        <v>161348600</v>
      </c>
      <c r="G25" s="143">
        <f>G26+G38+G39</f>
        <v>127758849.31</v>
      </c>
      <c r="H25" s="506">
        <f t="shared" si="2"/>
        <v>79.181876576555368</v>
      </c>
      <c r="I25" s="485"/>
      <c r="J25" s="140"/>
      <c r="K25" s="453"/>
      <c r="L25" s="141"/>
    </row>
    <row r="26" spans="1:12" ht="15.75" x14ac:dyDescent="0.2">
      <c r="A26" s="452" t="s">
        <v>330</v>
      </c>
      <c r="B26" s="523" t="s">
        <v>331</v>
      </c>
      <c r="C26" s="486">
        <f>F26</f>
        <v>129563100</v>
      </c>
      <c r="D26" s="8">
        <f t="shared" si="0"/>
        <v>99285668.280000001</v>
      </c>
      <c r="E26" s="474">
        <f t="shared" si="1"/>
        <v>76.631130530220418</v>
      </c>
      <c r="F26" s="499">
        <f>F27+F32</f>
        <v>129563100</v>
      </c>
      <c r="G26" s="14">
        <f>G27+G32+G37</f>
        <v>99285668.280000001</v>
      </c>
      <c r="H26" s="500">
        <f t="shared" si="2"/>
        <v>76.631130530220418</v>
      </c>
      <c r="I26" s="486"/>
      <c r="J26" s="140"/>
      <c r="K26" s="453"/>
      <c r="L26" s="141"/>
    </row>
    <row r="27" spans="1:12" ht="35.25" customHeight="1" x14ac:dyDescent="0.2">
      <c r="A27" s="452"/>
      <c r="B27" s="523" t="s">
        <v>332</v>
      </c>
      <c r="C27" s="486">
        <f>F27+I27</f>
        <v>6666700</v>
      </c>
      <c r="D27" s="8">
        <f t="shared" si="0"/>
        <v>7229650.9800000004</v>
      </c>
      <c r="E27" s="474">
        <f t="shared" si="1"/>
        <v>108.44422247888761</v>
      </c>
      <c r="F27" s="499">
        <f>F28+F29+F30+F31</f>
        <v>6666700</v>
      </c>
      <c r="G27" s="14">
        <f>G28+G29+G30+G31</f>
        <v>7229650.9800000004</v>
      </c>
      <c r="H27" s="500">
        <f t="shared" si="2"/>
        <v>108.44422247888761</v>
      </c>
      <c r="I27" s="486"/>
      <c r="J27" s="140"/>
      <c r="K27" s="453"/>
      <c r="L27" s="141"/>
    </row>
    <row r="28" spans="1:12" ht="54" customHeight="1" x14ac:dyDescent="0.2">
      <c r="A28" s="431">
        <v>18010100</v>
      </c>
      <c r="B28" s="523" t="s">
        <v>333</v>
      </c>
      <c r="C28" s="486">
        <f t="shared" ref="C28:C31" si="4">F28+I28</f>
        <v>17400</v>
      </c>
      <c r="D28" s="8">
        <f t="shared" si="0"/>
        <v>25553.57</v>
      </c>
      <c r="E28" s="474">
        <f t="shared" si="1"/>
        <v>146.85959770114943</v>
      </c>
      <c r="F28" s="499">
        <v>17400</v>
      </c>
      <c r="G28" s="14">
        <v>25553.57</v>
      </c>
      <c r="H28" s="500">
        <f t="shared" si="2"/>
        <v>146.85959770114943</v>
      </c>
      <c r="I28" s="486"/>
      <c r="J28" s="140"/>
      <c r="K28" s="453"/>
      <c r="L28" s="141"/>
    </row>
    <row r="29" spans="1:12" ht="47.25" x14ac:dyDescent="0.2">
      <c r="A29" s="431">
        <v>18010200</v>
      </c>
      <c r="B29" s="523" t="s">
        <v>334</v>
      </c>
      <c r="C29" s="486">
        <f t="shared" si="4"/>
        <v>522000</v>
      </c>
      <c r="D29" s="8">
        <f t="shared" si="0"/>
        <v>451150.51</v>
      </c>
      <c r="E29" s="474">
        <f t="shared" si="1"/>
        <v>86.427300766283523</v>
      </c>
      <c r="F29" s="499">
        <v>522000</v>
      </c>
      <c r="G29" s="14">
        <v>451150.51</v>
      </c>
      <c r="H29" s="500">
        <f t="shared" si="2"/>
        <v>86.427300766283523</v>
      </c>
      <c r="I29" s="486"/>
      <c r="J29" s="140"/>
      <c r="K29" s="453"/>
      <c r="L29" s="141"/>
    </row>
    <row r="30" spans="1:12" ht="47.25" x14ac:dyDescent="0.2">
      <c r="A30" s="431">
        <v>18010300</v>
      </c>
      <c r="B30" s="523" t="s">
        <v>335</v>
      </c>
      <c r="C30" s="486">
        <f t="shared" si="4"/>
        <v>1641500</v>
      </c>
      <c r="D30" s="8">
        <f t="shared" si="0"/>
        <v>2254833</v>
      </c>
      <c r="E30" s="474">
        <f t="shared" si="1"/>
        <v>137.36417910447761</v>
      </c>
      <c r="F30" s="499">
        <v>1641500</v>
      </c>
      <c r="G30" s="14">
        <v>2254833</v>
      </c>
      <c r="H30" s="500">
        <f t="shared" si="2"/>
        <v>137.36417910447761</v>
      </c>
      <c r="I30" s="486"/>
      <c r="J30" s="140"/>
      <c r="K30" s="453"/>
      <c r="L30" s="141"/>
    </row>
    <row r="31" spans="1:12" ht="54.75" customHeight="1" x14ac:dyDescent="0.2">
      <c r="A31" s="431">
        <v>18010400</v>
      </c>
      <c r="B31" s="523" t="s">
        <v>336</v>
      </c>
      <c r="C31" s="486">
        <f t="shared" si="4"/>
        <v>4485800</v>
      </c>
      <c r="D31" s="8">
        <f t="shared" si="0"/>
        <v>4498113.9000000004</v>
      </c>
      <c r="E31" s="474">
        <f t="shared" si="1"/>
        <v>100.27450844888315</v>
      </c>
      <c r="F31" s="499">
        <v>4485800</v>
      </c>
      <c r="G31" s="14">
        <v>4498113.9000000004</v>
      </c>
      <c r="H31" s="500">
        <f t="shared" si="2"/>
        <v>100.27450844888315</v>
      </c>
      <c r="I31" s="486"/>
      <c r="J31" s="140"/>
      <c r="K31" s="453"/>
      <c r="L31" s="141"/>
    </row>
    <row r="32" spans="1:12" ht="15.75" x14ac:dyDescent="0.2">
      <c r="A32" s="431"/>
      <c r="B32" s="523" t="s">
        <v>337</v>
      </c>
      <c r="C32" s="486">
        <f>F32+I32</f>
        <v>122896400</v>
      </c>
      <c r="D32" s="8">
        <f t="shared" si="0"/>
        <v>91949767.310000002</v>
      </c>
      <c r="E32" s="474">
        <f t="shared" si="1"/>
        <v>74.818926599965494</v>
      </c>
      <c r="F32" s="499">
        <f>F33+F34+F35+F36</f>
        <v>122896400</v>
      </c>
      <c r="G32" s="14">
        <f>G33+G34+G35+G36</f>
        <v>91949767.310000002</v>
      </c>
      <c r="H32" s="500">
        <f t="shared" si="2"/>
        <v>74.818926599965494</v>
      </c>
      <c r="I32" s="486"/>
      <c r="J32" s="140"/>
      <c r="K32" s="453"/>
      <c r="L32" s="141"/>
    </row>
    <row r="33" spans="1:12" ht="15.75" x14ac:dyDescent="0.2">
      <c r="A33" s="431">
        <v>18010500</v>
      </c>
      <c r="B33" s="523" t="s">
        <v>338</v>
      </c>
      <c r="C33" s="486">
        <f t="shared" ref="C33:C37" si="5">F33+I33</f>
        <v>82596100</v>
      </c>
      <c r="D33" s="8">
        <f t="shared" si="0"/>
        <v>63290165.75</v>
      </c>
      <c r="E33" s="474">
        <f t="shared" si="1"/>
        <v>76.62609463400814</v>
      </c>
      <c r="F33" s="499">
        <v>82596100</v>
      </c>
      <c r="G33" s="14">
        <v>63290165.75</v>
      </c>
      <c r="H33" s="500">
        <f t="shared" si="2"/>
        <v>76.62609463400814</v>
      </c>
      <c r="I33" s="486"/>
      <c r="J33" s="140"/>
      <c r="K33" s="453"/>
      <c r="L33" s="141"/>
    </row>
    <row r="34" spans="1:12" ht="15.75" x14ac:dyDescent="0.2">
      <c r="A34" s="431">
        <v>18010600</v>
      </c>
      <c r="B34" s="523" t="s">
        <v>339</v>
      </c>
      <c r="C34" s="486">
        <f t="shared" si="5"/>
        <v>36876000</v>
      </c>
      <c r="D34" s="8">
        <f t="shared" si="0"/>
        <v>25790531.390000001</v>
      </c>
      <c r="E34" s="474">
        <f t="shared" si="1"/>
        <v>69.938527470441485</v>
      </c>
      <c r="F34" s="499">
        <v>36876000</v>
      </c>
      <c r="G34" s="14">
        <v>25790531.390000001</v>
      </c>
      <c r="H34" s="500">
        <f t="shared" si="2"/>
        <v>69.938527470441485</v>
      </c>
      <c r="I34" s="486"/>
      <c r="J34" s="140"/>
      <c r="K34" s="453"/>
      <c r="L34" s="141"/>
    </row>
    <row r="35" spans="1:12" ht="15.75" x14ac:dyDescent="0.2">
      <c r="A35" s="431">
        <v>18010700</v>
      </c>
      <c r="B35" s="523" t="s">
        <v>340</v>
      </c>
      <c r="C35" s="486">
        <f t="shared" si="5"/>
        <v>1289300</v>
      </c>
      <c r="D35" s="8">
        <f t="shared" si="0"/>
        <v>1438194.54</v>
      </c>
      <c r="E35" s="474">
        <f t="shared" si="1"/>
        <v>111.54847901962306</v>
      </c>
      <c r="F35" s="499">
        <v>1289300</v>
      </c>
      <c r="G35" s="14">
        <v>1438194.54</v>
      </c>
      <c r="H35" s="500">
        <f t="shared" si="2"/>
        <v>111.54847901962306</v>
      </c>
      <c r="I35" s="486"/>
      <c r="J35" s="140"/>
      <c r="K35" s="453"/>
      <c r="L35" s="141"/>
    </row>
    <row r="36" spans="1:12" ht="15.75" x14ac:dyDescent="0.2">
      <c r="A36" s="431">
        <v>18010900</v>
      </c>
      <c r="B36" s="523" t="s">
        <v>341</v>
      </c>
      <c r="C36" s="486">
        <f t="shared" si="5"/>
        <v>2135000</v>
      </c>
      <c r="D36" s="8">
        <f t="shared" si="0"/>
        <v>1430875.63</v>
      </c>
      <c r="E36" s="474">
        <f t="shared" si="1"/>
        <v>67.01993583138173</v>
      </c>
      <c r="F36" s="499">
        <v>2135000</v>
      </c>
      <c r="G36" s="14">
        <v>1430875.63</v>
      </c>
      <c r="H36" s="500">
        <f t="shared" si="2"/>
        <v>67.01993583138173</v>
      </c>
      <c r="I36" s="486"/>
      <c r="J36" s="140"/>
      <c r="K36" s="453"/>
      <c r="L36" s="141"/>
    </row>
    <row r="37" spans="1:12" ht="15.75" x14ac:dyDescent="0.2">
      <c r="A37" s="431">
        <v>18011000</v>
      </c>
      <c r="B37" s="523" t="s">
        <v>494</v>
      </c>
      <c r="C37" s="493">
        <f t="shared" si="5"/>
        <v>0</v>
      </c>
      <c r="D37" s="8">
        <f t="shared" si="0"/>
        <v>106249.99</v>
      </c>
      <c r="E37" s="474" t="s">
        <v>297</v>
      </c>
      <c r="F37" s="504">
        <v>0</v>
      </c>
      <c r="G37" s="14">
        <v>106249.99</v>
      </c>
      <c r="H37" s="500" t="s">
        <v>297</v>
      </c>
      <c r="I37" s="486"/>
      <c r="J37" s="140"/>
      <c r="K37" s="453"/>
      <c r="L37" s="141"/>
    </row>
    <row r="38" spans="1:12" ht="15.75" x14ac:dyDescent="0.2">
      <c r="A38" s="452" t="s">
        <v>342</v>
      </c>
      <c r="B38" s="523" t="s">
        <v>343</v>
      </c>
      <c r="C38" s="486">
        <f>F38</f>
        <v>105600</v>
      </c>
      <c r="D38" s="8">
        <f t="shared" si="0"/>
        <v>14496.36</v>
      </c>
      <c r="E38" s="474">
        <f t="shared" si="1"/>
        <v>13.727613636363637</v>
      </c>
      <c r="F38" s="499">
        <v>105600</v>
      </c>
      <c r="G38" s="14">
        <v>14496.36</v>
      </c>
      <c r="H38" s="500">
        <f t="shared" si="2"/>
        <v>13.727613636363637</v>
      </c>
      <c r="I38" s="486"/>
      <c r="J38" s="140"/>
      <c r="K38" s="453"/>
      <c r="L38" s="141"/>
    </row>
    <row r="39" spans="1:12" ht="15.75" x14ac:dyDescent="0.2">
      <c r="A39" s="452" t="s">
        <v>344</v>
      </c>
      <c r="B39" s="523" t="s">
        <v>345</v>
      </c>
      <c r="C39" s="486">
        <f>F39</f>
        <v>31679900</v>
      </c>
      <c r="D39" s="8">
        <f t="shared" si="0"/>
        <v>28458684.670000002</v>
      </c>
      <c r="E39" s="474">
        <f t="shared" si="1"/>
        <v>89.831990220928731</v>
      </c>
      <c r="F39" s="499">
        <v>31679900</v>
      </c>
      <c r="G39" s="14">
        <v>28458684.670000002</v>
      </c>
      <c r="H39" s="500">
        <f t="shared" si="2"/>
        <v>89.831990220928731</v>
      </c>
      <c r="I39" s="486"/>
      <c r="J39" s="140"/>
      <c r="K39" s="453"/>
      <c r="L39" s="141"/>
    </row>
    <row r="40" spans="1:12" ht="15.75" x14ac:dyDescent="0.2">
      <c r="A40" s="456" t="s">
        <v>346</v>
      </c>
      <c r="B40" s="524" t="s">
        <v>347</v>
      </c>
      <c r="C40" s="487">
        <f>I40</f>
        <v>359600</v>
      </c>
      <c r="D40" s="142">
        <f t="shared" si="0"/>
        <v>313182.43</v>
      </c>
      <c r="E40" s="476">
        <f t="shared" si="1"/>
        <v>87.091888209121251</v>
      </c>
      <c r="F40" s="505"/>
      <c r="G40" s="143"/>
      <c r="H40" s="503"/>
      <c r="I40" s="487">
        <f>I41</f>
        <v>359600</v>
      </c>
      <c r="J40" s="143">
        <f>J41</f>
        <v>313182.43</v>
      </c>
      <c r="K40" s="457">
        <f>J40/I40*100</f>
        <v>87.091888209121251</v>
      </c>
      <c r="L40" s="141"/>
    </row>
    <row r="41" spans="1:12" ht="16.5" thickBot="1" x14ac:dyDescent="0.25">
      <c r="A41" s="458" t="s">
        <v>348</v>
      </c>
      <c r="B41" s="526" t="s">
        <v>349</v>
      </c>
      <c r="C41" s="488">
        <f>I41</f>
        <v>359600</v>
      </c>
      <c r="D41" s="15">
        <f t="shared" si="0"/>
        <v>313182.43</v>
      </c>
      <c r="E41" s="477">
        <f t="shared" si="1"/>
        <v>87.091888209121251</v>
      </c>
      <c r="F41" s="507"/>
      <c r="G41" s="440"/>
      <c r="H41" s="508"/>
      <c r="I41" s="488">
        <v>359600</v>
      </c>
      <c r="J41" s="440">
        <v>313182.43</v>
      </c>
      <c r="K41" s="459">
        <f t="shared" ref="K41:K42" si="6">J41/I41*100</f>
        <v>87.091888209121251</v>
      </c>
      <c r="L41" s="141"/>
    </row>
    <row r="42" spans="1:12" ht="16.5" thickBot="1" x14ac:dyDescent="0.25">
      <c r="A42" s="437" t="s">
        <v>350</v>
      </c>
      <c r="B42" s="521" t="s">
        <v>351</v>
      </c>
      <c r="C42" s="483">
        <f>F42+I42</f>
        <v>14533300</v>
      </c>
      <c r="D42" s="13">
        <f t="shared" si="0"/>
        <v>13343535.65</v>
      </c>
      <c r="E42" s="472">
        <f t="shared" si="1"/>
        <v>91.813529274149715</v>
      </c>
      <c r="F42" s="509">
        <f>F43+F48+F55</f>
        <v>4565900</v>
      </c>
      <c r="G42" s="438">
        <f>G43+G48+G55</f>
        <v>3355888.99</v>
      </c>
      <c r="H42" s="496">
        <f t="shared" si="2"/>
        <v>73.498959460347351</v>
      </c>
      <c r="I42" s="483">
        <f>I55+I59</f>
        <v>9967400</v>
      </c>
      <c r="J42" s="438">
        <f>J55+J59</f>
        <v>9987646.6600000001</v>
      </c>
      <c r="K42" s="439">
        <f t="shared" si="6"/>
        <v>100.20312879988764</v>
      </c>
      <c r="L42" s="141"/>
    </row>
    <row r="43" spans="1:12" ht="31.5" x14ac:dyDescent="0.2">
      <c r="A43" s="450" t="s">
        <v>352</v>
      </c>
      <c r="B43" s="522" t="s">
        <v>353</v>
      </c>
      <c r="C43" s="518">
        <f t="shared" ref="C43:C54" si="7">F43</f>
        <v>983600</v>
      </c>
      <c r="D43" s="435">
        <f t="shared" si="0"/>
        <v>1056599.51</v>
      </c>
      <c r="E43" s="473">
        <f t="shared" si="1"/>
        <v>107.42166632777553</v>
      </c>
      <c r="F43" s="510">
        <f>F44+F45+F47+F46</f>
        <v>983600</v>
      </c>
      <c r="G43" s="441">
        <f>G44+G45+G47+G46</f>
        <v>1056599.51</v>
      </c>
      <c r="H43" s="498">
        <f t="shared" si="2"/>
        <v>107.42166632777553</v>
      </c>
      <c r="I43" s="484"/>
      <c r="J43" s="436"/>
      <c r="K43" s="451"/>
      <c r="L43" s="141"/>
    </row>
    <row r="44" spans="1:12" ht="47.25" x14ac:dyDescent="0.2">
      <c r="A44" s="452" t="s">
        <v>354</v>
      </c>
      <c r="B44" s="523" t="s">
        <v>355</v>
      </c>
      <c r="C44" s="486">
        <f t="shared" si="7"/>
        <v>24000</v>
      </c>
      <c r="D44" s="8">
        <f t="shared" si="0"/>
        <v>178230.83</v>
      </c>
      <c r="E44" s="765" t="str">
        <f>H44</f>
        <v>збільшення у 7,4 разів</v>
      </c>
      <c r="F44" s="499">
        <v>24000</v>
      </c>
      <c r="G44" s="14">
        <v>178230.83</v>
      </c>
      <c r="H44" s="501" t="s">
        <v>617</v>
      </c>
      <c r="I44" s="486"/>
      <c r="J44" s="14"/>
      <c r="K44" s="460"/>
      <c r="L44" s="141"/>
    </row>
    <row r="45" spans="1:12" ht="28.5" customHeight="1" x14ac:dyDescent="0.2">
      <c r="A45" s="452" t="s">
        <v>356</v>
      </c>
      <c r="B45" s="523" t="s">
        <v>357</v>
      </c>
      <c r="C45" s="486">
        <f t="shared" si="7"/>
        <v>75300</v>
      </c>
      <c r="D45" s="8">
        <f t="shared" si="0"/>
        <v>28504.1</v>
      </c>
      <c r="E45" s="474">
        <f t="shared" si="1"/>
        <v>37.854050464807436</v>
      </c>
      <c r="F45" s="499">
        <v>75300</v>
      </c>
      <c r="G45" s="14">
        <v>28504.1</v>
      </c>
      <c r="H45" s="500">
        <f t="shared" si="2"/>
        <v>37.854050464807436</v>
      </c>
      <c r="I45" s="486"/>
      <c r="J45" s="14"/>
      <c r="K45" s="460"/>
      <c r="L45" s="141"/>
    </row>
    <row r="46" spans="1:12" ht="101.25" customHeight="1" x14ac:dyDescent="0.2">
      <c r="A46" s="431">
        <v>21081500</v>
      </c>
      <c r="B46" s="523" t="s">
        <v>496</v>
      </c>
      <c r="C46" s="493">
        <f t="shared" si="7"/>
        <v>0</v>
      </c>
      <c r="D46" s="8">
        <f t="shared" si="0"/>
        <v>174080</v>
      </c>
      <c r="E46" s="475" t="s">
        <v>297</v>
      </c>
      <c r="F46" s="504">
        <v>0</v>
      </c>
      <c r="G46" s="14">
        <v>174080</v>
      </c>
      <c r="H46" s="500" t="s">
        <v>297</v>
      </c>
      <c r="I46" s="486"/>
      <c r="J46" s="14"/>
      <c r="K46" s="460"/>
      <c r="L46" s="141"/>
    </row>
    <row r="47" spans="1:12" ht="15.75" x14ac:dyDescent="0.2">
      <c r="A47" s="452" t="s">
        <v>358</v>
      </c>
      <c r="B47" s="523" t="s">
        <v>359</v>
      </c>
      <c r="C47" s="486">
        <f t="shared" si="7"/>
        <v>884300</v>
      </c>
      <c r="D47" s="139">
        <f t="shared" si="0"/>
        <v>675784.58</v>
      </c>
      <c r="E47" s="475">
        <f t="shared" si="1"/>
        <v>76.420284971163639</v>
      </c>
      <c r="F47" s="499">
        <v>884300</v>
      </c>
      <c r="G47" s="14">
        <v>675784.58</v>
      </c>
      <c r="H47" s="500">
        <f t="shared" si="2"/>
        <v>76.420284971163639</v>
      </c>
      <c r="I47" s="486"/>
      <c r="J47" s="14"/>
      <c r="K47" s="460"/>
      <c r="L47" s="141"/>
    </row>
    <row r="48" spans="1:12" ht="31.5" x14ac:dyDescent="0.2">
      <c r="A48" s="456" t="s">
        <v>360</v>
      </c>
      <c r="B48" s="524" t="s">
        <v>361</v>
      </c>
      <c r="C48" s="487">
        <f t="shared" si="7"/>
        <v>2907700</v>
      </c>
      <c r="D48" s="139">
        <f t="shared" si="0"/>
        <v>1364344.27</v>
      </c>
      <c r="E48" s="475">
        <f t="shared" si="1"/>
        <v>46.921768751934515</v>
      </c>
      <c r="F48" s="505">
        <f>F49+F50+F51+F53+F54+F52</f>
        <v>2907700</v>
      </c>
      <c r="G48" s="143">
        <f>G49+G50+G51+G53+G54+G52</f>
        <v>1364344.27</v>
      </c>
      <c r="H48" s="506">
        <f t="shared" si="2"/>
        <v>46.921768751934515</v>
      </c>
      <c r="I48" s="485"/>
      <c r="J48" s="140"/>
      <c r="K48" s="453"/>
      <c r="L48" s="141"/>
    </row>
    <row r="49" spans="1:12" ht="47.25" x14ac:dyDescent="0.2">
      <c r="A49" s="452" t="s">
        <v>362</v>
      </c>
      <c r="B49" s="523" t="s">
        <v>363</v>
      </c>
      <c r="C49" s="486">
        <f t="shared" si="7"/>
        <v>104500</v>
      </c>
      <c r="D49" s="8">
        <f t="shared" si="0"/>
        <v>87414</v>
      </c>
      <c r="E49" s="474">
        <f t="shared" si="1"/>
        <v>83.649760765550241</v>
      </c>
      <c r="F49" s="499">
        <v>104500</v>
      </c>
      <c r="G49" s="14">
        <v>87414</v>
      </c>
      <c r="H49" s="500">
        <f t="shared" si="2"/>
        <v>83.649760765550241</v>
      </c>
      <c r="I49" s="486"/>
      <c r="J49" s="14"/>
      <c r="K49" s="460"/>
      <c r="L49" s="141"/>
    </row>
    <row r="50" spans="1:12" ht="15.75" x14ac:dyDescent="0.2">
      <c r="A50" s="452" t="s">
        <v>364</v>
      </c>
      <c r="B50" s="523" t="s">
        <v>365</v>
      </c>
      <c r="C50" s="486">
        <f t="shared" si="7"/>
        <v>1515700</v>
      </c>
      <c r="D50" s="8">
        <f t="shared" si="0"/>
        <v>143220.9</v>
      </c>
      <c r="E50" s="474">
        <f t="shared" si="1"/>
        <v>9.4491588045127664</v>
      </c>
      <c r="F50" s="499">
        <v>1515700</v>
      </c>
      <c r="G50" s="14">
        <v>143220.9</v>
      </c>
      <c r="H50" s="500">
        <f t="shared" si="2"/>
        <v>9.4491588045127664</v>
      </c>
      <c r="I50" s="486"/>
      <c r="J50" s="14"/>
      <c r="K50" s="460"/>
      <c r="L50" s="141"/>
    </row>
    <row r="51" spans="1:12" ht="31.5" x14ac:dyDescent="0.2">
      <c r="A51" s="452" t="s">
        <v>366</v>
      </c>
      <c r="B51" s="523" t="s">
        <v>367</v>
      </c>
      <c r="C51" s="486">
        <f t="shared" si="7"/>
        <v>485100</v>
      </c>
      <c r="D51" s="8">
        <f t="shared" si="0"/>
        <v>405775</v>
      </c>
      <c r="E51" s="474">
        <f t="shared" si="1"/>
        <v>83.647701504844363</v>
      </c>
      <c r="F51" s="499">
        <v>485100</v>
      </c>
      <c r="G51" s="14">
        <v>405775</v>
      </c>
      <c r="H51" s="500">
        <f t="shared" si="2"/>
        <v>83.647701504844363</v>
      </c>
      <c r="I51" s="486"/>
      <c r="J51" s="14"/>
      <c r="K51" s="460"/>
      <c r="L51" s="141"/>
    </row>
    <row r="52" spans="1:12" ht="47.25" x14ac:dyDescent="0.2">
      <c r="A52" s="431">
        <v>22012900</v>
      </c>
      <c r="B52" s="523" t="s">
        <v>497</v>
      </c>
      <c r="C52" s="493">
        <f t="shared" si="7"/>
        <v>0</v>
      </c>
      <c r="D52" s="8">
        <f t="shared" si="0"/>
        <v>7648</v>
      </c>
      <c r="E52" s="474" t="s">
        <v>297</v>
      </c>
      <c r="F52" s="504">
        <v>0</v>
      </c>
      <c r="G52" s="14">
        <v>7648</v>
      </c>
      <c r="H52" s="500" t="s">
        <v>297</v>
      </c>
      <c r="I52" s="486"/>
      <c r="J52" s="14"/>
      <c r="K52" s="460"/>
      <c r="L52" s="141"/>
    </row>
    <row r="53" spans="1:12" ht="47.25" x14ac:dyDescent="0.2">
      <c r="A53" s="452" t="s">
        <v>368</v>
      </c>
      <c r="B53" s="523" t="s">
        <v>369</v>
      </c>
      <c r="C53" s="486">
        <f t="shared" si="7"/>
        <v>653000</v>
      </c>
      <c r="D53" s="8">
        <f t="shared" si="0"/>
        <v>496998.06</v>
      </c>
      <c r="E53" s="474">
        <f t="shared" si="1"/>
        <v>76.109963246554372</v>
      </c>
      <c r="F53" s="499">
        <v>653000</v>
      </c>
      <c r="G53" s="14">
        <v>496998.06</v>
      </c>
      <c r="H53" s="500">
        <f t="shared" si="2"/>
        <v>76.109963246554372</v>
      </c>
      <c r="I53" s="486"/>
      <c r="J53" s="14"/>
      <c r="K53" s="460"/>
      <c r="L53" s="141"/>
    </row>
    <row r="54" spans="1:12" ht="15.75" x14ac:dyDescent="0.2">
      <c r="A54" s="452" t="s">
        <v>370</v>
      </c>
      <c r="B54" s="523" t="s">
        <v>371</v>
      </c>
      <c r="C54" s="486">
        <f t="shared" si="7"/>
        <v>149400</v>
      </c>
      <c r="D54" s="8">
        <f t="shared" si="0"/>
        <v>223288.31</v>
      </c>
      <c r="E54" s="474">
        <f t="shared" si="1"/>
        <v>149.45670013386879</v>
      </c>
      <c r="F54" s="499">
        <v>149400</v>
      </c>
      <c r="G54" s="14">
        <v>223288.31</v>
      </c>
      <c r="H54" s="500">
        <f t="shared" si="2"/>
        <v>149.45670013386879</v>
      </c>
      <c r="I54" s="485"/>
      <c r="J54" s="140"/>
      <c r="K54" s="453"/>
      <c r="L54" s="141"/>
    </row>
    <row r="55" spans="1:12" ht="15.75" x14ac:dyDescent="0.2">
      <c r="A55" s="456" t="s">
        <v>372</v>
      </c>
      <c r="B55" s="524" t="s">
        <v>373</v>
      </c>
      <c r="C55" s="487">
        <f>F55+I55</f>
        <v>680500</v>
      </c>
      <c r="D55" s="139">
        <f t="shared" si="0"/>
        <v>940846.66999999993</v>
      </c>
      <c r="E55" s="475">
        <f t="shared" si="1"/>
        <v>138.25814401175606</v>
      </c>
      <c r="F55" s="505">
        <f>F56+F57</f>
        <v>674600</v>
      </c>
      <c r="G55" s="143">
        <f>G56+G57</f>
        <v>934945.21</v>
      </c>
      <c r="H55" s="506">
        <f t="shared" si="2"/>
        <v>138.59253038837829</v>
      </c>
      <c r="I55" s="487">
        <f>I58</f>
        <v>5900</v>
      </c>
      <c r="J55" s="143">
        <f>J58</f>
        <v>5901.46</v>
      </c>
      <c r="K55" s="457">
        <f>J55/I55*100</f>
        <v>100.02474576271187</v>
      </c>
      <c r="L55" s="141"/>
    </row>
    <row r="56" spans="1:12" ht="31.5" x14ac:dyDescent="0.2">
      <c r="A56" s="452" t="s">
        <v>374</v>
      </c>
      <c r="B56" s="523" t="s">
        <v>375</v>
      </c>
      <c r="C56" s="486">
        <f>F56</f>
        <v>150000</v>
      </c>
      <c r="D56" s="139">
        <f t="shared" si="0"/>
        <v>599079.03</v>
      </c>
      <c r="E56" s="478" t="str">
        <f>H56</f>
        <v>збільшення у 4 рази</v>
      </c>
      <c r="F56" s="499">
        <v>150000</v>
      </c>
      <c r="G56" s="14">
        <v>599079.03</v>
      </c>
      <c r="H56" s="501" t="s">
        <v>618</v>
      </c>
      <c r="I56" s="486"/>
      <c r="J56" s="14"/>
      <c r="K56" s="460"/>
      <c r="L56" s="141"/>
    </row>
    <row r="57" spans="1:12" ht="81.75" customHeight="1" x14ac:dyDescent="0.2">
      <c r="A57" s="452" t="s">
        <v>376</v>
      </c>
      <c r="B57" s="523" t="s">
        <v>377</v>
      </c>
      <c r="C57" s="486">
        <f>F57</f>
        <v>524600</v>
      </c>
      <c r="D57" s="8">
        <f t="shared" si="0"/>
        <v>335866.18</v>
      </c>
      <c r="E57" s="474">
        <f t="shared" si="1"/>
        <v>64.023290125810135</v>
      </c>
      <c r="F57" s="499">
        <v>524600</v>
      </c>
      <c r="G57" s="14">
        <v>335866.18</v>
      </c>
      <c r="H57" s="500">
        <f t="shared" si="2"/>
        <v>64.023290125810135</v>
      </c>
      <c r="I57" s="486"/>
      <c r="J57" s="14"/>
      <c r="K57" s="460"/>
      <c r="L57" s="141"/>
    </row>
    <row r="58" spans="1:12" ht="31.5" x14ac:dyDescent="0.2">
      <c r="A58" s="452" t="s">
        <v>378</v>
      </c>
      <c r="B58" s="523" t="s">
        <v>379</v>
      </c>
      <c r="C58" s="486">
        <f>I58</f>
        <v>5900</v>
      </c>
      <c r="D58" s="8">
        <f t="shared" si="0"/>
        <v>5901.46</v>
      </c>
      <c r="E58" s="474">
        <f t="shared" si="1"/>
        <v>100.02474576271187</v>
      </c>
      <c r="F58" s="499"/>
      <c r="G58" s="14"/>
      <c r="H58" s="503"/>
      <c r="I58" s="486">
        <v>5900</v>
      </c>
      <c r="J58" s="14">
        <v>5901.46</v>
      </c>
      <c r="K58" s="461">
        <f>J58/I58*100</f>
        <v>100.02474576271187</v>
      </c>
      <c r="L58" s="141"/>
    </row>
    <row r="59" spans="1:12" ht="15.75" x14ac:dyDescent="0.2">
      <c r="A59" s="456" t="s">
        <v>380</v>
      </c>
      <c r="B59" s="524" t="s">
        <v>381</v>
      </c>
      <c r="C59" s="487">
        <f>I59</f>
        <v>9961500</v>
      </c>
      <c r="D59" s="142">
        <f t="shared" si="0"/>
        <v>9981745.1999999993</v>
      </c>
      <c r="E59" s="476">
        <f t="shared" si="1"/>
        <v>100.20323445264268</v>
      </c>
      <c r="F59" s="505"/>
      <c r="G59" s="143"/>
      <c r="H59" s="503"/>
      <c r="I59" s="487">
        <f>I60+I61</f>
        <v>9961500</v>
      </c>
      <c r="J59" s="143">
        <f>J60+J61</f>
        <v>9981745.1999999993</v>
      </c>
      <c r="K59" s="457">
        <f>J59/I59*100</f>
        <v>100.20323445264268</v>
      </c>
      <c r="L59" s="141"/>
    </row>
    <row r="60" spans="1:12" ht="34.5" customHeight="1" x14ac:dyDescent="0.2">
      <c r="A60" s="452" t="s">
        <v>382</v>
      </c>
      <c r="B60" s="523" t="s">
        <v>383</v>
      </c>
      <c r="C60" s="486">
        <f>I60</f>
        <v>9961500</v>
      </c>
      <c r="D60" s="8">
        <f t="shared" si="0"/>
        <v>4200032.22</v>
      </c>
      <c r="E60" s="474">
        <f t="shared" si="1"/>
        <v>42.162648396325849</v>
      </c>
      <c r="F60" s="499"/>
      <c r="G60" s="14"/>
      <c r="H60" s="503"/>
      <c r="I60" s="486">
        <v>9961500</v>
      </c>
      <c r="J60" s="14">
        <v>4200032.22</v>
      </c>
      <c r="K60" s="461">
        <f>J60/I60*100</f>
        <v>42.162648396325849</v>
      </c>
      <c r="L60" s="141"/>
    </row>
    <row r="61" spans="1:12" ht="25.5" customHeight="1" thickBot="1" x14ac:dyDescent="0.25">
      <c r="A61" s="462">
        <v>25020000</v>
      </c>
      <c r="B61" s="526" t="s">
        <v>498</v>
      </c>
      <c r="C61" s="489">
        <v>0</v>
      </c>
      <c r="D61" s="15">
        <f t="shared" si="0"/>
        <v>5781712.9800000004</v>
      </c>
      <c r="E61" s="477" t="s">
        <v>297</v>
      </c>
      <c r="F61" s="507"/>
      <c r="G61" s="440"/>
      <c r="H61" s="508"/>
      <c r="I61" s="489">
        <v>0</v>
      </c>
      <c r="J61" s="440">
        <v>5781712.9800000004</v>
      </c>
      <c r="K61" s="459" t="s">
        <v>297</v>
      </c>
      <c r="L61" s="141"/>
    </row>
    <row r="62" spans="1:12" ht="32.25" customHeight="1" thickBot="1" x14ac:dyDescent="0.25">
      <c r="A62" s="443" t="s">
        <v>384</v>
      </c>
      <c r="B62" s="527" t="s">
        <v>385</v>
      </c>
      <c r="C62" s="490">
        <f>C63</f>
        <v>5284526</v>
      </c>
      <c r="D62" s="13">
        <f t="shared" si="0"/>
        <v>16740004.789999999</v>
      </c>
      <c r="E62" s="767" t="str">
        <f>K62</f>
        <v>збільшення у 3,2 рази</v>
      </c>
      <c r="F62" s="511"/>
      <c r="G62" s="444"/>
      <c r="H62" s="496"/>
      <c r="I62" s="490">
        <f>I63</f>
        <v>5284526</v>
      </c>
      <c r="J62" s="444">
        <f>J63</f>
        <v>16740004.789999999</v>
      </c>
      <c r="K62" s="445" t="str">
        <f>K63</f>
        <v>збільшення у 3,2 рази</v>
      </c>
      <c r="L62" s="141"/>
    </row>
    <row r="63" spans="1:12" ht="79.5" thickBot="1" x14ac:dyDescent="0.25">
      <c r="A63" s="466" t="s">
        <v>386</v>
      </c>
      <c r="B63" s="531" t="s">
        <v>387</v>
      </c>
      <c r="C63" s="494">
        <f>I63</f>
        <v>5284526</v>
      </c>
      <c r="D63" s="236">
        <f t="shared" si="0"/>
        <v>16740004.789999999</v>
      </c>
      <c r="E63" s="768" t="str">
        <f>K63</f>
        <v>збільшення у 3,2 рази</v>
      </c>
      <c r="F63" s="513"/>
      <c r="G63" s="468"/>
      <c r="H63" s="514"/>
      <c r="I63" s="494">
        <v>5284526</v>
      </c>
      <c r="J63" s="468">
        <v>16740004.789999999</v>
      </c>
      <c r="K63" s="534" t="s">
        <v>619</v>
      </c>
      <c r="L63" s="141"/>
    </row>
    <row r="64" spans="1:12" ht="32.25" thickBot="1" x14ac:dyDescent="0.25">
      <c r="A64" s="437"/>
      <c r="B64" s="521" t="s">
        <v>388</v>
      </c>
      <c r="C64" s="483">
        <f>F64+I64</f>
        <v>477336922</v>
      </c>
      <c r="D64" s="13">
        <f t="shared" si="0"/>
        <v>414831335.36000001</v>
      </c>
      <c r="E64" s="472">
        <f t="shared" si="1"/>
        <v>86.905352643137874</v>
      </c>
      <c r="F64" s="509">
        <f>F15+F42</f>
        <v>461725396</v>
      </c>
      <c r="G64" s="438">
        <f>G15+G42</f>
        <v>387751006.06999999</v>
      </c>
      <c r="H64" s="496">
        <f t="shared" si="2"/>
        <v>83.978704535021933</v>
      </c>
      <c r="I64" s="483">
        <f>I62+I42+I15</f>
        <v>15611526</v>
      </c>
      <c r="J64" s="438">
        <f>J62+J42+J15+J84</f>
        <v>27080329.289999999</v>
      </c>
      <c r="K64" s="439">
        <f>J64/I64*100</f>
        <v>173.46369144182316</v>
      </c>
      <c r="L64" s="141"/>
    </row>
    <row r="65" spans="1:12" ht="21" customHeight="1" thickBot="1" x14ac:dyDescent="0.25">
      <c r="A65" s="437" t="s">
        <v>389</v>
      </c>
      <c r="B65" s="521" t="s">
        <v>390</v>
      </c>
      <c r="C65" s="483">
        <f>F65</f>
        <v>144636836</v>
      </c>
      <c r="D65" s="13">
        <f t="shared" si="0"/>
        <v>126671119.83</v>
      </c>
      <c r="E65" s="472">
        <f t="shared" si="1"/>
        <v>87.578740888662693</v>
      </c>
      <c r="F65" s="509">
        <f>F66</f>
        <v>144636836</v>
      </c>
      <c r="G65" s="438">
        <f>G66</f>
        <v>125050339.83</v>
      </c>
      <c r="H65" s="496">
        <f t="shared" si="2"/>
        <v>86.458154982040668</v>
      </c>
      <c r="I65" s="438">
        <f>I66</f>
        <v>696780</v>
      </c>
      <c r="J65" s="438">
        <f>J66</f>
        <v>1620780</v>
      </c>
      <c r="K65" s="439" t="s">
        <v>297</v>
      </c>
      <c r="L65" s="141"/>
    </row>
    <row r="66" spans="1:12" ht="19.5" customHeight="1" x14ac:dyDescent="0.2">
      <c r="A66" s="450" t="s">
        <v>391</v>
      </c>
      <c r="B66" s="522" t="s">
        <v>392</v>
      </c>
      <c r="C66" s="518">
        <f t="shared" ref="C66:C82" si="8">F66</f>
        <v>144636836</v>
      </c>
      <c r="D66" s="442">
        <f t="shared" si="0"/>
        <v>126671119.83</v>
      </c>
      <c r="E66" s="479">
        <f t="shared" si="1"/>
        <v>87.578740888662693</v>
      </c>
      <c r="F66" s="510">
        <f>F67+F69+F71+F73</f>
        <v>144636836</v>
      </c>
      <c r="G66" s="441">
        <f>G67+G69+G73+G71</f>
        <v>125050339.83</v>
      </c>
      <c r="H66" s="498">
        <f t="shared" si="2"/>
        <v>86.458154982040668</v>
      </c>
      <c r="I66" s="441">
        <f>I73</f>
        <v>696780</v>
      </c>
      <c r="J66" s="441">
        <f>J73</f>
        <v>1620780</v>
      </c>
      <c r="K66" s="463" t="s">
        <v>297</v>
      </c>
      <c r="L66" s="141"/>
    </row>
    <row r="67" spans="1:12" ht="29.25" customHeight="1" x14ac:dyDescent="0.2">
      <c r="A67" s="464">
        <v>41020000</v>
      </c>
      <c r="B67" s="528" t="s">
        <v>393</v>
      </c>
      <c r="C67" s="485">
        <f t="shared" si="8"/>
        <v>64371200</v>
      </c>
      <c r="D67" s="139">
        <f t="shared" si="0"/>
        <v>64371200</v>
      </c>
      <c r="E67" s="475">
        <f t="shared" si="1"/>
        <v>100</v>
      </c>
      <c r="F67" s="512">
        <f>F68</f>
        <v>64371200</v>
      </c>
      <c r="G67" s="140">
        <f>G68</f>
        <v>64371200</v>
      </c>
      <c r="H67" s="503">
        <f t="shared" si="2"/>
        <v>100</v>
      </c>
      <c r="I67" s="485"/>
      <c r="J67" s="140"/>
      <c r="K67" s="453"/>
      <c r="L67" s="141"/>
    </row>
    <row r="68" spans="1:12" ht="115.5" customHeight="1" x14ac:dyDescent="0.2">
      <c r="A68" s="431">
        <v>41021400</v>
      </c>
      <c r="B68" s="523" t="s">
        <v>394</v>
      </c>
      <c r="C68" s="486">
        <f t="shared" si="8"/>
        <v>64371200</v>
      </c>
      <c r="D68" s="139">
        <f t="shared" si="0"/>
        <v>64371200</v>
      </c>
      <c r="E68" s="475">
        <f t="shared" si="1"/>
        <v>100</v>
      </c>
      <c r="F68" s="499">
        <v>64371200</v>
      </c>
      <c r="G68" s="14">
        <v>64371200</v>
      </c>
      <c r="H68" s="500">
        <f t="shared" si="2"/>
        <v>100</v>
      </c>
      <c r="I68" s="486"/>
      <c r="J68" s="14"/>
      <c r="K68" s="460"/>
      <c r="L68" s="141"/>
    </row>
    <row r="69" spans="1:12" ht="27.75" customHeight="1" x14ac:dyDescent="0.2">
      <c r="A69" s="464" t="s">
        <v>395</v>
      </c>
      <c r="B69" s="528" t="s">
        <v>396</v>
      </c>
      <c r="C69" s="485">
        <f>F69</f>
        <v>75510600</v>
      </c>
      <c r="D69" s="139">
        <f t="shared" si="0"/>
        <v>55408900</v>
      </c>
      <c r="E69" s="475">
        <f t="shared" si="1"/>
        <v>73.378969310269028</v>
      </c>
      <c r="F69" s="512">
        <f>F70</f>
        <v>75510600</v>
      </c>
      <c r="G69" s="140">
        <f>G70</f>
        <v>55408900</v>
      </c>
      <c r="H69" s="503">
        <f t="shared" si="2"/>
        <v>73.378969310269028</v>
      </c>
      <c r="I69" s="485"/>
      <c r="J69" s="140"/>
      <c r="K69" s="453"/>
      <c r="L69" s="141"/>
    </row>
    <row r="70" spans="1:12" ht="31.5" x14ac:dyDescent="0.2">
      <c r="A70" s="452" t="s">
        <v>397</v>
      </c>
      <c r="B70" s="523" t="s">
        <v>398</v>
      </c>
      <c r="C70" s="486">
        <f>F70</f>
        <v>75510600</v>
      </c>
      <c r="D70" s="8">
        <f t="shared" si="0"/>
        <v>55408900</v>
      </c>
      <c r="E70" s="474">
        <f t="shared" si="1"/>
        <v>73.378969310269028</v>
      </c>
      <c r="F70" s="499">
        <v>75510600</v>
      </c>
      <c r="G70" s="14">
        <v>55408900</v>
      </c>
      <c r="H70" s="500">
        <f t="shared" si="2"/>
        <v>73.378969310269028</v>
      </c>
      <c r="I70" s="486"/>
      <c r="J70" s="14"/>
      <c r="K70" s="460"/>
      <c r="L70" s="141"/>
    </row>
    <row r="71" spans="1:12" ht="31.5" x14ac:dyDescent="0.2">
      <c r="A71" s="465">
        <v>41040000</v>
      </c>
      <c r="B71" s="528" t="s">
        <v>564</v>
      </c>
      <c r="C71" s="485">
        <f>F71</f>
        <v>117948</v>
      </c>
      <c r="D71" s="139">
        <f>G71</f>
        <v>117948</v>
      </c>
      <c r="E71" s="475">
        <f t="shared" si="1"/>
        <v>100</v>
      </c>
      <c r="F71" s="512">
        <f>F72</f>
        <v>117948</v>
      </c>
      <c r="G71" s="140">
        <f>G72</f>
        <v>117948</v>
      </c>
      <c r="H71" s="503">
        <f>H72</f>
        <v>100</v>
      </c>
      <c r="I71" s="486"/>
      <c r="J71" s="14"/>
      <c r="K71" s="460"/>
      <c r="L71" s="141"/>
    </row>
    <row r="72" spans="1:12" ht="15.75" x14ac:dyDescent="0.2">
      <c r="A72" s="431">
        <v>41040400</v>
      </c>
      <c r="B72" s="523" t="s">
        <v>565</v>
      </c>
      <c r="C72" s="486">
        <f>F72</f>
        <v>117948</v>
      </c>
      <c r="D72" s="139">
        <f>G72</f>
        <v>117948</v>
      </c>
      <c r="E72" s="475">
        <f t="shared" si="1"/>
        <v>100</v>
      </c>
      <c r="F72" s="499">
        <v>117948</v>
      </c>
      <c r="G72" s="14">
        <v>117948</v>
      </c>
      <c r="H72" s="500">
        <f t="shared" si="2"/>
        <v>100</v>
      </c>
      <c r="I72" s="486"/>
      <c r="J72" s="14"/>
      <c r="K72" s="460"/>
      <c r="L72" s="141"/>
    </row>
    <row r="73" spans="1:12" ht="31.5" x14ac:dyDescent="0.2">
      <c r="A73" s="465">
        <v>41050000</v>
      </c>
      <c r="B73" s="528" t="s">
        <v>501</v>
      </c>
      <c r="C73" s="485">
        <f>F73+I73</f>
        <v>5333868</v>
      </c>
      <c r="D73" s="139">
        <f>G73+J73</f>
        <v>6773071.8300000001</v>
      </c>
      <c r="E73" s="475">
        <f t="shared" si="1"/>
        <v>126.98236683022527</v>
      </c>
      <c r="F73" s="512">
        <f>F75+F80+F81+F82+F83+F79+F74+F77</f>
        <v>4637088</v>
      </c>
      <c r="G73" s="140">
        <f>G75+G80+G81+G82+G77+G83+G79+G74+G78</f>
        <v>5152291.83</v>
      </c>
      <c r="H73" s="503">
        <f t="shared" si="2"/>
        <v>111.11050361778771</v>
      </c>
      <c r="I73" s="492">
        <f>I76</f>
        <v>696780</v>
      </c>
      <c r="J73" s="140">
        <f>J76</f>
        <v>1620780</v>
      </c>
      <c r="K73" s="453">
        <f>K76</f>
        <v>232.61000602772754</v>
      </c>
      <c r="L73" s="141"/>
    </row>
    <row r="74" spans="1:12" ht="94.5" x14ac:dyDescent="0.2">
      <c r="A74" s="431">
        <v>41050600</v>
      </c>
      <c r="B74" s="523" t="s">
        <v>621</v>
      </c>
      <c r="C74" s="486">
        <f>F74</f>
        <v>2164782</v>
      </c>
      <c r="D74" s="8">
        <f t="shared" ref="D74" si="9">G74+J74</f>
        <v>2164782</v>
      </c>
      <c r="E74" s="474">
        <f t="shared" ref="E74" si="10">D74/C74*100</f>
        <v>100</v>
      </c>
      <c r="F74" s="499">
        <v>2164782</v>
      </c>
      <c r="G74" s="14">
        <v>2164782</v>
      </c>
      <c r="H74" s="500">
        <f t="shared" si="2"/>
        <v>100</v>
      </c>
      <c r="I74" s="492"/>
      <c r="J74" s="140"/>
      <c r="K74" s="453"/>
      <c r="L74" s="141"/>
    </row>
    <row r="75" spans="1:12" ht="47.25" x14ac:dyDescent="0.2">
      <c r="A75" s="431" t="s">
        <v>399</v>
      </c>
      <c r="B75" s="523" t="s">
        <v>400</v>
      </c>
      <c r="C75" s="486">
        <f>F75</f>
        <v>1766200</v>
      </c>
      <c r="D75" s="8">
        <f t="shared" si="0"/>
        <v>1296035</v>
      </c>
      <c r="E75" s="474">
        <f t="shared" si="1"/>
        <v>73.379855056052548</v>
      </c>
      <c r="F75" s="499">
        <v>1766200</v>
      </c>
      <c r="G75" s="14">
        <v>1296035</v>
      </c>
      <c r="H75" s="500">
        <f t="shared" si="2"/>
        <v>73.379855056052548</v>
      </c>
      <c r="I75" s="493"/>
      <c r="J75" s="14"/>
      <c r="K75" s="460"/>
      <c r="L75" s="141"/>
    </row>
    <row r="76" spans="1:12" ht="47.25" x14ac:dyDescent="0.2">
      <c r="A76" s="431">
        <v>41051100</v>
      </c>
      <c r="B76" s="523" t="s">
        <v>500</v>
      </c>
      <c r="C76" s="828">
        <f>I76</f>
        <v>696780</v>
      </c>
      <c r="D76" s="769">
        <f t="shared" si="0"/>
        <v>1620780</v>
      </c>
      <c r="E76" s="770">
        <f>K76</f>
        <v>232.61000602772754</v>
      </c>
      <c r="F76" s="499"/>
      <c r="G76" s="14"/>
      <c r="H76" s="500"/>
      <c r="I76" s="493">
        <v>696780</v>
      </c>
      <c r="J76" s="14">
        <v>1620780</v>
      </c>
      <c r="K76" s="460">
        <f>J76/I76*100</f>
        <v>232.61000602772754</v>
      </c>
      <c r="L76" s="141"/>
    </row>
    <row r="77" spans="1:12" ht="63" x14ac:dyDescent="0.2">
      <c r="A77" s="431">
        <v>41051200</v>
      </c>
      <c r="B77" s="523" t="s">
        <v>566</v>
      </c>
      <c r="C77" s="828" t="str">
        <f t="shared" ref="C77:E79" si="11">F77</f>
        <v>292110</v>
      </c>
      <c r="D77" s="769">
        <f t="shared" si="11"/>
        <v>292110</v>
      </c>
      <c r="E77" s="770">
        <f t="shared" si="11"/>
        <v>100</v>
      </c>
      <c r="F77" s="771" t="s">
        <v>620</v>
      </c>
      <c r="G77" s="14">
        <v>292110</v>
      </c>
      <c r="H77" s="500">
        <f t="shared" si="2"/>
        <v>100</v>
      </c>
      <c r="I77" s="493"/>
      <c r="J77" s="14"/>
      <c r="K77" s="460"/>
      <c r="L77" s="141"/>
    </row>
    <row r="78" spans="1:12" ht="63" x14ac:dyDescent="0.2">
      <c r="A78" s="431">
        <v>41051400</v>
      </c>
      <c r="B78" s="523" t="s">
        <v>622</v>
      </c>
      <c r="C78" s="828" t="str">
        <f>F78</f>
        <v>0</v>
      </c>
      <c r="D78" s="769">
        <f>G78</f>
        <v>1049568</v>
      </c>
      <c r="E78" s="770" t="str">
        <f>H78</f>
        <v>х</v>
      </c>
      <c r="F78" s="771" t="s">
        <v>486</v>
      </c>
      <c r="G78" s="14">
        <v>1049568</v>
      </c>
      <c r="H78" s="500" t="s">
        <v>297</v>
      </c>
      <c r="I78" s="493"/>
      <c r="J78" s="14"/>
      <c r="K78" s="460"/>
      <c r="L78" s="141"/>
    </row>
    <row r="79" spans="1:12" ht="63" x14ac:dyDescent="0.2">
      <c r="A79" s="431">
        <v>41051700</v>
      </c>
      <c r="B79" s="523" t="s">
        <v>567</v>
      </c>
      <c r="C79" s="828">
        <f t="shared" si="11"/>
        <v>110550</v>
      </c>
      <c r="D79" s="769">
        <f t="shared" si="11"/>
        <v>110550</v>
      </c>
      <c r="E79" s="770">
        <f t="shared" si="11"/>
        <v>100</v>
      </c>
      <c r="F79" s="499">
        <v>110550</v>
      </c>
      <c r="G79" s="14">
        <v>110550</v>
      </c>
      <c r="H79" s="500">
        <f>G79/F79*100</f>
        <v>100</v>
      </c>
      <c r="I79" s="493"/>
      <c r="J79" s="14"/>
      <c r="K79" s="460"/>
      <c r="L79" s="141"/>
    </row>
    <row r="80" spans="1:12" ht="48" customHeight="1" x14ac:dyDescent="0.2">
      <c r="A80" s="432">
        <v>41053900</v>
      </c>
      <c r="B80" s="529" t="s">
        <v>401</v>
      </c>
      <c r="C80" s="828">
        <f t="shared" si="8"/>
        <v>28193</v>
      </c>
      <c r="D80" s="769">
        <f t="shared" si="0"/>
        <v>21099</v>
      </c>
      <c r="E80" s="772">
        <f>H80</f>
        <v>74.837725676586388</v>
      </c>
      <c r="F80" s="499">
        <v>28193</v>
      </c>
      <c r="G80" s="434">
        <v>21099</v>
      </c>
      <c r="H80" s="773">
        <f>G80/F80*100</f>
        <v>74.837725676586388</v>
      </c>
      <c r="I80" s="493"/>
      <c r="J80" s="14"/>
      <c r="K80" s="460"/>
      <c r="L80" s="141"/>
    </row>
    <row r="81" spans="1:12" ht="47.25" x14ac:dyDescent="0.2">
      <c r="A81" s="433">
        <v>41053900</v>
      </c>
      <c r="B81" s="529" t="s">
        <v>402</v>
      </c>
      <c r="C81" s="828">
        <f t="shared" si="8"/>
        <v>91319</v>
      </c>
      <c r="D81" s="769">
        <f t="shared" si="0"/>
        <v>68490</v>
      </c>
      <c r="E81" s="770">
        <f>H81</f>
        <v>75.000821296772841</v>
      </c>
      <c r="F81" s="499">
        <v>91319</v>
      </c>
      <c r="G81" s="434">
        <v>68490</v>
      </c>
      <c r="H81" s="773">
        <f>G81/F81*100</f>
        <v>75.000821296772841</v>
      </c>
      <c r="I81" s="493"/>
      <c r="J81" s="14"/>
      <c r="K81" s="460"/>
      <c r="L81" s="141"/>
    </row>
    <row r="82" spans="1:12" ht="66" customHeight="1" x14ac:dyDescent="0.2">
      <c r="A82" s="433">
        <v>41053900</v>
      </c>
      <c r="B82" s="529" t="s">
        <v>403</v>
      </c>
      <c r="C82" s="828">
        <f t="shared" si="8"/>
        <v>17623</v>
      </c>
      <c r="D82" s="769">
        <f t="shared" si="0"/>
        <v>14531.83</v>
      </c>
      <c r="E82" s="772">
        <f>H82</f>
        <v>82.459456392214719</v>
      </c>
      <c r="F82" s="499">
        <v>17623</v>
      </c>
      <c r="G82" s="434">
        <v>14531.83</v>
      </c>
      <c r="H82" s="773">
        <f>G82/F82*100</f>
        <v>82.459456392214719</v>
      </c>
      <c r="I82" s="493"/>
      <c r="J82" s="14"/>
      <c r="K82" s="460"/>
      <c r="L82" s="141"/>
    </row>
    <row r="83" spans="1:12" ht="66" customHeight="1" thickBot="1" x14ac:dyDescent="0.25">
      <c r="A83" s="774">
        <v>41057700</v>
      </c>
      <c r="B83" s="775" t="s">
        <v>568</v>
      </c>
      <c r="C83" s="829">
        <f>F83</f>
        <v>166311</v>
      </c>
      <c r="D83" s="830">
        <f t="shared" si="0"/>
        <v>135126</v>
      </c>
      <c r="E83" s="776">
        <f>H83</f>
        <v>81.248985334704258</v>
      </c>
      <c r="F83" s="513">
        <v>166311</v>
      </c>
      <c r="G83" s="777">
        <v>135126</v>
      </c>
      <c r="H83" s="778">
        <f>G83/F83*100</f>
        <v>81.248985334704258</v>
      </c>
      <c r="I83" s="779"/>
      <c r="J83" s="468"/>
      <c r="K83" s="469"/>
      <c r="L83" s="141"/>
    </row>
    <row r="84" spans="1:12" ht="16.5" thickBot="1" x14ac:dyDescent="0.25">
      <c r="A84" s="446">
        <v>50000000</v>
      </c>
      <c r="B84" s="530" t="s">
        <v>499</v>
      </c>
      <c r="C84" s="519">
        <v>0</v>
      </c>
      <c r="D84" s="447">
        <f t="shared" si="0"/>
        <v>39495.410000000003</v>
      </c>
      <c r="E84" s="480" t="s">
        <v>297</v>
      </c>
      <c r="F84" s="509"/>
      <c r="G84" s="438"/>
      <c r="H84" s="496"/>
      <c r="I84" s="491">
        <v>0</v>
      </c>
      <c r="J84" s="438">
        <v>39495.410000000003</v>
      </c>
      <c r="K84" s="448" t="s">
        <v>297</v>
      </c>
      <c r="L84" s="141"/>
    </row>
    <row r="85" spans="1:12" ht="16.5" thickBot="1" x14ac:dyDescent="0.25">
      <c r="A85" s="466"/>
      <c r="B85" s="531"/>
      <c r="C85" s="520"/>
      <c r="D85" s="467"/>
      <c r="E85" s="481"/>
      <c r="F85" s="513"/>
      <c r="G85" s="468"/>
      <c r="H85" s="514"/>
      <c r="I85" s="494"/>
      <c r="J85" s="468"/>
      <c r="K85" s="469"/>
      <c r="L85" s="141"/>
    </row>
    <row r="86" spans="1:12" ht="16.5" thickBot="1" x14ac:dyDescent="0.25">
      <c r="A86" s="470" t="s">
        <v>6</v>
      </c>
      <c r="B86" s="521" t="s">
        <v>404</v>
      </c>
      <c r="C86" s="483">
        <f>F86+I86</f>
        <v>622670538</v>
      </c>
      <c r="D86" s="13">
        <f>G86+J86</f>
        <v>541502455.18999994</v>
      </c>
      <c r="E86" s="472">
        <f t="shared" si="1"/>
        <v>86.964521708268123</v>
      </c>
      <c r="F86" s="509">
        <f>F64+F65</f>
        <v>606362232</v>
      </c>
      <c r="G86" s="438">
        <f>G64+G65</f>
        <v>512801345.89999998</v>
      </c>
      <c r="H86" s="496">
        <f t="shared" si="2"/>
        <v>84.570132972925663</v>
      </c>
      <c r="I86" s="483">
        <f>I64+I65</f>
        <v>16308306</v>
      </c>
      <c r="J86" s="438">
        <f>J64+J65</f>
        <v>28701109.289999999</v>
      </c>
      <c r="K86" s="439">
        <f>J86/I86*100</f>
        <v>175.99074539072296</v>
      </c>
      <c r="L86" s="141"/>
    </row>
    <row r="87" spans="1:12" ht="15.75" x14ac:dyDescent="0.25">
      <c r="A87" s="1"/>
      <c r="B87" s="1"/>
      <c r="C87" s="1"/>
      <c r="D87" s="1"/>
      <c r="E87" s="1"/>
      <c r="F87" s="1"/>
      <c r="G87" s="1"/>
      <c r="H87" s="1"/>
      <c r="I87" s="1"/>
      <c r="J87" s="1"/>
      <c r="K87" s="1"/>
    </row>
    <row r="88" spans="1:12" x14ac:dyDescent="0.2">
      <c r="A88" s="1176"/>
      <c r="B88" s="1176"/>
      <c r="C88" s="1176"/>
      <c r="D88" s="1176"/>
      <c r="E88" s="1176"/>
      <c r="F88" s="1176"/>
      <c r="G88" s="1176"/>
      <c r="H88" s="1176"/>
      <c r="I88" s="1176"/>
      <c r="J88" s="1176"/>
      <c r="K88" s="756"/>
    </row>
    <row r="90" spans="1:12" ht="18.75" x14ac:dyDescent="0.2">
      <c r="A90" s="27" t="s">
        <v>405</v>
      </c>
      <c r="B90" s="27"/>
      <c r="C90" s="144"/>
      <c r="D90" s="144"/>
      <c r="E90" s="144"/>
      <c r="F90" s="761"/>
      <c r="G90" s="761"/>
      <c r="H90" s="1175" t="s">
        <v>472</v>
      </c>
      <c r="I90" s="1175"/>
      <c r="J90" s="1175"/>
      <c r="K90" s="1175"/>
    </row>
  </sheetData>
  <mergeCells count="27">
    <mergeCell ref="H90:K90"/>
    <mergeCell ref="A88:J88"/>
    <mergeCell ref="E12:E13"/>
    <mergeCell ref="F12:F13"/>
    <mergeCell ref="G12:G13"/>
    <mergeCell ref="H12:H13"/>
    <mergeCell ref="I12:I13"/>
    <mergeCell ref="J12:J13"/>
    <mergeCell ref="A9:B9"/>
    <mergeCell ref="L9:N9"/>
    <mergeCell ref="L10:N10"/>
    <mergeCell ref="A11:A13"/>
    <mergeCell ref="B11:B13"/>
    <mergeCell ref="C11:E11"/>
    <mergeCell ref="F11:H11"/>
    <mergeCell ref="I11:K11"/>
    <mergeCell ref="C12:C13"/>
    <mergeCell ref="D12:D13"/>
    <mergeCell ref="K12:K13"/>
    <mergeCell ref="A8:J8"/>
    <mergeCell ref="L8:N8"/>
    <mergeCell ref="L1:N1"/>
    <mergeCell ref="L5:N5"/>
    <mergeCell ref="L6:N6"/>
    <mergeCell ref="L7:N7"/>
    <mergeCell ref="H2:K2"/>
    <mergeCell ref="H4:I4"/>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T36"/>
  <sheetViews>
    <sheetView view="pageBreakPreview" zoomScale="90" zoomScaleNormal="100" zoomScaleSheetLayoutView="90" workbookViewId="0">
      <selection activeCell="G10" sqref="G10"/>
    </sheetView>
  </sheetViews>
  <sheetFormatPr defaultRowHeight="12.75" x14ac:dyDescent="0.2"/>
  <cols>
    <col min="1" max="1" width="11.28515625" customWidth="1"/>
    <col min="2" max="2" width="41" customWidth="1"/>
    <col min="3" max="4" width="13.85546875" customWidth="1"/>
    <col min="5" max="5" width="16.5703125" customWidth="1"/>
    <col min="6" max="6" width="15.28515625" customWidth="1"/>
    <col min="7" max="7" width="13.5703125" customWidth="1"/>
    <col min="8" max="8" width="14.42578125" customWidth="1"/>
    <col min="9" max="9" width="13.85546875" customWidth="1"/>
    <col min="10" max="10" width="13.140625" customWidth="1"/>
  </cols>
  <sheetData>
    <row r="2" spans="1:10" ht="15.75" x14ac:dyDescent="0.2">
      <c r="G2" s="3" t="s">
        <v>163</v>
      </c>
      <c r="H2" s="3"/>
      <c r="I2" s="4"/>
    </row>
    <row r="3" spans="1:10" ht="15.75" x14ac:dyDescent="0.2">
      <c r="G3" s="3" t="s">
        <v>571</v>
      </c>
      <c r="H3" s="3"/>
      <c r="I3" s="4"/>
    </row>
    <row r="4" spans="1:10" ht="15.75" x14ac:dyDescent="0.25">
      <c r="G4" s="6" t="s">
        <v>699</v>
      </c>
      <c r="H4" s="6"/>
      <c r="I4" s="7"/>
    </row>
    <row r="5" spans="1:10" ht="15.75" x14ac:dyDescent="0.25">
      <c r="G5" s="6" t="s">
        <v>698</v>
      </c>
      <c r="H5" s="79"/>
      <c r="I5" s="71"/>
    </row>
    <row r="6" spans="1:10" ht="15.75" x14ac:dyDescent="0.2">
      <c r="G6" s="3"/>
      <c r="H6" s="3"/>
      <c r="I6" s="3"/>
    </row>
    <row r="8" spans="1:10" ht="20.25" x14ac:dyDescent="0.3">
      <c r="A8" s="1186" t="s">
        <v>406</v>
      </c>
      <c r="B8" s="1187"/>
      <c r="C8" s="1187"/>
      <c r="D8" s="1187"/>
      <c r="E8" s="1187"/>
      <c r="F8" s="1187"/>
      <c r="G8" s="1187"/>
      <c r="H8" s="1187"/>
      <c r="I8" s="137"/>
      <c r="J8" s="137"/>
    </row>
    <row r="9" spans="1:10" ht="20.25" x14ac:dyDescent="0.3">
      <c r="A9" s="136"/>
      <c r="B9" s="137"/>
      <c r="C9" s="137"/>
      <c r="D9" s="137"/>
      <c r="E9" s="137"/>
      <c r="F9" s="137"/>
      <c r="G9" s="137"/>
      <c r="H9" s="137"/>
      <c r="I9" s="137"/>
      <c r="J9" s="137"/>
    </row>
    <row r="10" spans="1:10" ht="15.75" x14ac:dyDescent="0.25">
      <c r="A10" s="146" t="s">
        <v>162</v>
      </c>
      <c r="B10" s="1"/>
      <c r="C10" s="1"/>
      <c r="D10" s="1"/>
      <c r="E10" s="1"/>
      <c r="F10" s="1"/>
      <c r="G10" s="1"/>
      <c r="H10" s="1"/>
      <c r="I10" s="1"/>
      <c r="J10" s="1"/>
    </row>
    <row r="11" spans="1:10" ht="16.5" thickBot="1" x14ac:dyDescent="0.3">
      <c r="A11" s="147" t="s">
        <v>0</v>
      </c>
      <c r="B11" s="1"/>
      <c r="C11" s="1"/>
      <c r="D11" s="1"/>
      <c r="E11" s="1"/>
      <c r="F11" s="1"/>
      <c r="G11" s="1"/>
      <c r="H11" s="2" t="s">
        <v>269</v>
      </c>
      <c r="I11" s="2"/>
      <c r="J11" s="2"/>
    </row>
    <row r="12" spans="1:10" ht="15.6" customHeight="1" x14ac:dyDescent="0.2">
      <c r="A12" s="1188" t="s">
        <v>310</v>
      </c>
      <c r="B12" s="1191" t="s">
        <v>407</v>
      </c>
      <c r="C12" s="1183" t="s">
        <v>1</v>
      </c>
      <c r="D12" s="1184"/>
      <c r="E12" s="1183" t="s">
        <v>2</v>
      </c>
      <c r="F12" s="1184"/>
      <c r="G12" s="1183" t="s">
        <v>3</v>
      </c>
      <c r="H12" s="1184"/>
      <c r="I12" s="1184"/>
      <c r="J12" s="1185"/>
    </row>
    <row r="13" spans="1:10" ht="15.6" customHeight="1" x14ac:dyDescent="0.2">
      <c r="A13" s="1189"/>
      <c r="B13" s="1192"/>
      <c r="C13" s="1171" t="s">
        <v>459</v>
      </c>
      <c r="D13" s="1171" t="s">
        <v>615</v>
      </c>
      <c r="E13" s="1171" t="s">
        <v>459</v>
      </c>
      <c r="F13" s="1171" t="s">
        <v>615</v>
      </c>
      <c r="G13" s="1171" t="s">
        <v>459</v>
      </c>
      <c r="H13" s="1171" t="s">
        <v>5</v>
      </c>
      <c r="I13" s="1171" t="s">
        <v>615</v>
      </c>
      <c r="J13" s="1173" t="s">
        <v>5</v>
      </c>
    </row>
    <row r="14" spans="1:10" ht="44.45" customHeight="1" thickBot="1" x14ac:dyDescent="0.25">
      <c r="A14" s="1190"/>
      <c r="B14" s="1193"/>
      <c r="C14" s="1181"/>
      <c r="D14" s="1181"/>
      <c r="E14" s="1181"/>
      <c r="F14" s="1181"/>
      <c r="G14" s="1181"/>
      <c r="H14" s="1181"/>
      <c r="I14" s="1181"/>
      <c r="J14" s="1182"/>
    </row>
    <row r="15" spans="1:10" ht="16.5" thickBot="1" x14ac:dyDescent="0.25">
      <c r="A15" s="226">
        <v>1</v>
      </c>
      <c r="B15" s="227">
        <v>2</v>
      </c>
      <c r="C15" s="227">
        <v>3</v>
      </c>
      <c r="D15" s="227">
        <v>4</v>
      </c>
      <c r="E15" s="227">
        <v>5</v>
      </c>
      <c r="F15" s="227">
        <v>6</v>
      </c>
      <c r="G15" s="227">
        <v>7</v>
      </c>
      <c r="H15" s="228">
        <v>6</v>
      </c>
      <c r="I15" s="227">
        <v>7</v>
      </c>
      <c r="J15" s="229">
        <v>8</v>
      </c>
    </row>
    <row r="16" spans="1:10" ht="15.75" x14ac:dyDescent="0.25">
      <c r="A16" s="1194" t="s">
        <v>408</v>
      </c>
      <c r="B16" s="1195"/>
      <c r="C16" s="1195"/>
      <c r="D16" s="1195"/>
      <c r="E16" s="1195"/>
      <c r="F16" s="1195"/>
      <c r="G16" s="1195"/>
      <c r="H16" s="1195"/>
      <c r="I16" s="230"/>
      <c r="J16" s="593"/>
    </row>
    <row r="17" spans="1:20" ht="15.75" x14ac:dyDescent="0.2">
      <c r="A17" s="148" t="s">
        <v>409</v>
      </c>
      <c r="B17" s="149" t="s">
        <v>410</v>
      </c>
      <c r="C17" s="139">
        <f>E17+G17</f>
        <v>100349779</v>
      </c>
      <c r="D17" s="139">
        <f>F17+I17</f>
        <v>67289076.299999997</v>
      </c>
      <c r="E17" s="139">
        <f>E18</f>
        <v>-22538194</v>
      </c>
      <c r="F17" s="139">
        <f>F18</f>
        <v>29644945.119999997</v>
      </c>
      <c r="G17" s="139">
        <f>G18</f>
        <v>122887973</v>
      </c>
      <c r="H17" s="218">
        <f>H18</f>
        <v>122887973</v>
      </c>
      <c r="I17" s="218">
        <f t="shared" ref="I17:J17" si="0">I18</f>
        <v>37644131.18</v>
      </c>
      <c r="J17" s="594">
        <f t="shared" si="0"/>
        <v>37644131.18</v>
      </c>
    </row>
    <row r="18" spans="1:20" ht="31.5" x14ac:dyDescent="0.2">
      <c r="A18" s="150" t="s">
        <v>411</v>
      </c>
      <c r="B18" s="151" t="s">
        <v>412</v>
      </c>
      <c r="C18" s="139">
        <f t="shared" ref="C18:C21" si="1">E18+G18</f>
        <v>100349779</v>
      </c>
      <c r="D18" s="139">
        <f t="shared" ref="D18:D22" si="2">F18+I18</f>
        <v>67289076.299999997</v>
      </c>
      <c r="E18" s="8">
        <f>E19-E20+E21</f>
        <v>-22538194</v>
      </c>
      <c r="F18" s="8">
        <f>F19-1000000+F21</f>
        <v>29644945.119999997</v>
      </c>
      <c r="G18" s="8">
        <f>G21</f>
        <v>122887973</v>
      </c>
      <c r="H18" s="219">
        <f>H21</f>
        <v>122887973</v>
      </c>
      <c r="I18" s="219">
        <f t="shared" ref="I18:J18" si="3">I21</f>
        <v>37644131.18</v>
      </c>
      <c r="J18" s="595">
        <f t="shared" si="3"/>
        <v>37644131.18</v>
      </c>
    </row>
    <row r="19" spans="1:20" ht="15.75" x14ac:dyDescent="0.2">
      <c r="A19" s="150" t="s">
        <v>413</v>
      </c>
      <c r="B19" s="151" t="s">
        <v>414</v>
      </c>
      <c r="C19" s="139">
        <f>E19+G19</f>
        <v>105349779</v>
      </c>
      <c r="D19" s="139">
        <f t="shared" si="2"/>
        <v>68289076.299999997</v>
      </c>
      <c r="E19" s="14">
        <f>1000000+25340511+40131417+20498000+18379851</f>
        <v>105349779</v>
      </c>
      <c r="F19" s="14">
        <f>60089176.3+8199900</f>
        <v>68289076.299999997</v>
      </c>
      <c r="G19" s="8">
        <v>0</v>
      </c>
      <c r="H19" s="220">
        <v>0</v>
      </c>
      <c r="I19" s="224">
        <v>0</v>
      </c>
      <c r="J19" s="596"/>
    </row>
    <row r="20" spans="1:20" ht="15.75" x14ac:dyDescent="0.2">
      <c r="A20" s="150" t="s">
        <v>415</v>
      </c>
      <c r="B20" s="151" t="s">
        <v>416</v>
      </c>
      <c r="C20" s="139">
        <f t="shared" si="1"/>
        <v>5000000</v>
      </c>
      <c r="D20" s="139">
        <f t="shared" si="2"/>
        <v>5000000</v>
      </c>
      <c r="E20" s="8">
        <f>1000000+4000000</f>
        <v>5000000</v>
      </c>
      <c r="F20" s="8">
        <f>1000000+4000000</f>
        <v>5000000</v>
      </c>
      <c r="G20" s="8">
        <v>0</v>
      </c>
      <c r="H20" s="220">
        <v>0</v>
      </c>
      <c r="I20" s="224">
        <v>0</v>
      </c>
      <c r="J20" s="596"/>
    </row>
    <row r="21" spans="1:20" ht="48" thickBot="1" x14ac:dyDescent="0.25">
      <c r="A21" s="153" t="s">
        <v>417</v>
      </c>
      <c r="B21" s="154" t="s">
        <v>418</v>
      </c>
      <c r="C21" s="586">
        <f t="shared" si="1"/>
        <v>0</v>
      </c>
      <c r="D21" s="586">
        <f t="shared" si="2"/>
        <v>0</v>
      </c>
      <c r="E21" s="15">
        <f>-883500-26657365-56092284-4572000-2164782-32518042</f>
        <v>-122887973</v>
      </c>
      <c r="F21" s="15">
        <f>-37644131.18</f>
        <v>-37644131.18</v>
      </c>
      <c r="G21" s="15">
        <f>883500+26657365+56092284+4572000+2164782+32518042</f>
        <v>122887973</v>
      </c>
      <c r="H21" s="587">
        <f>G21</f>
        <v>122887973</v>
      </c>
      <c r="I21" s="588">
        <f>37644131.18</f>
        <v>37644131.18</v>
      </c>
      <c r="J21" s="597">
        <f>I21</f>
        <v>37644131.18</v>
      </c>
    </row>
    <row r="22" spans="1:20" ht="16.5" thickBot="1" x14ac:dyDescent="0.3">
      <c r="A22" s="155" t="s">
        <v>6</v>
      </c>
      <c r="B22" s="156" t="s">
        <v>419</v>
      </c>
      <c r="C22" s="13">
        <f>E22+G22</f>
        <v>100349779</v>
      </c>
      <c r="D22" s="13">
        <f t="shared" si="2"/>
        <v>67289076.299999997</v>
      </c>
      <c r="E22" s="157">
        <f t="shared" ref="E22:J22" si="4">E17</f>
        <v>-22538194</v>
      </c>
      <c r="F22" s="157">
        <f t="shared" si="4"/>
        <v>29644945.119999997</v>
      </c>
      <c r="G22" s="157">
        <f t="shared" si="4"/>
        <v>122887973</v>
      </c>
      <c r="H22" s="223">
        <f t="shared" si="4"/>
        <v>122887973</v>
      </c>
      <c r="I22" s="223">
        <f t="shared" si="4"/>
        <v>37644131.18</v>
      </c>
      <c r="J22" s="158">
        <f t="shared" si="4"/>
        <v>37644131.18</v>
      </c>
    </row>
    <row r="23" spans="1:20" ht="15.75" x14ac:dyDescent="0.25">
      <c r="A23" s="1196" t="s">
        <v>420</v>
      </c>
      <c r="B23" s="1197"/>
      <c r="C23" s="1197"/>
      <c r="D23" s="1197"/>
      <c r="E23" s="1197"/>
      <c r="F23" s="1197"/>
      <c r="G23" s="1197"/>
      <c r="H23" s="1197"/>
      <c r="I23" s="589"/>
      <c r="J23" s="598"/>
    </row>
    <row r="24" spans="1:20" ht="31.5" x14ac:dyDescent="0.2">
      <c r="A24" s="148" t="s">
        <v>421</v>
      </c>
      <c r="B24" s="149" t="s">
        <v>422</v>
      </c>
      <c r="C24" s="139">
        <f>E24+G24</f>
        <v>100349779</v>
      </c>
      <c r="D24" s="139">
        <f>F24+I24</f>
        <v>67289076.299999997</v>
      </c>
      <c r="E24" s="139">
        <f t="shared" ref="E24:J24" si="5">E17</f>
        <v>-22538194</v>
      </c>
      <c r="F24" s="139">
        <f t="shared" si="5"/>
        <v>29644945.119999997</v>
      </c>
      <c r="G24" s="139">
        <f t="shared" si="5"/>
        <v>122887973</v>
      </c>
      <c r="H24" s="221">
        <f t="shared" si="5"/>
        <v>122887973</v>
      </c>
      <c r="I24" s="221">
        <f t="shared" si="5"/>
        <v>37644131.18</v>
      </c>
      <c r="J24" s="599">
        <f t="shared" si="5"/>
        <v>37644131.18</v>
      </c>
    </row>
    <row r="25" spans="1:20" ht="15.75" x14ac:dyDescent="0.2">
      <c r="A25" s="150" t="s">
        <v>423</v>
      </c>
      <c r="B25" s="151" t="s">
        <v>424</v>
      </c>
      <c r="C25" s="139">
        <f t="shared" ref="C25:C29" si="6">E25+G25</f>
        <v>100349779</v>
      </c>
      <c r="D25" s="139">
        <f t="shared" ref="D25:D29" si="7">F25+I25</f>
        <v>67289076.299999997</v>
      </c>
      <c r="E25" s="8">
        <f t="shared" ref="E25:F27" si="8">E18</f>
        <v>-22538194</v>
      </c>
      <c r="F25" s="8">
        <f t="shared" si="8"/>
        <v>29644945.119999997</v>
      </c>
      <c r="G25" s="8">
        <f>G28</f>
        <v>122887973</v>
      </c>
      <c r="H25" s="220">
        <f>H28</f>
        <v>122887973</v>
      </c>
      <c r="I25" s="220">
        <f>I28</f>
        <v>37644131.18</v>
      </c>
      <c r="J25" s="596">
        <v>626575</v>
      </c>
    </row>
    <row r="26" spans="1:20" ht="15.75" x14ac:dyDescent="0.2">
      <c r="A26" s="150" t="s">
        <v>425</v>
      </c>
      <c r="B26" s="151" t="s">
        <v>414</v>
      </c>
      <c r="C26" s="139">
        <f t="shared" si="6"/>
        <v>105349779</v>
      </c>
      <c r="D26" s="139">
        <f t="shared" si="7"/>
        <v>68289076.299999997</v>
      </c>
      <c r="E26" s="8">
        <f t="shared" si="8"/>
        <v>105349779</v>
      </c>
      <c r="F26" s="8">
        <f t="shared" si="8"/>
        <v>68289076.299999997</v>
      </c>
      <c r="G26" s="8">
        <v>0</v>
      </c>
      <c r="H26" s="220">
        <v>0</v>
      </c>
      <c r="I26" s="224">
        <v>0</v>
      </c>
      <c r="J26" s="596"/>
      <c r="M26" s="152"/>
    </row>
    <row r="27" spans="1:20" ht="15.75" x14ac:dyDescent="0.2">
      <c r="A27" s="150" t="s">
        <v>426</v>
      </c>
      <c r="B27" s="151" t="s">
        <v>416</v>
      </c>
      <c r="C27" s="139">
        <f t="shared" si="6"/>
        <v>5000000</v>
      </c>
      <c r="D27" s="139">
        <f t="shared" si="7"/>
        <v>5000000</v>
      </c>
      <c r="E27" s="8">
        <f t="shared" si="8"/>
        <v>5000000</v>
      </c>
      <c r="F27" s="8">
        <f t="shared" si="8"/>
        <v>5000000</v>
      </c>
      <c r="G27" s="8">
        <v>0</v>
      </c>
      <c r="H27" s="220">
        <v>0</v>
      </c>
      <c r="I27" s="224">
        <v>0</v>
      </c>
      <c r="J27" s="596"/>
    </row>
    <row r="28" spans="1:20" ht="48" thickBot="1" x14ac:dyDescent="0.25">
      <c r="A28" s="153" t="s">
        <v>427</v>
      </c>
      <c r="B28" s="154" t="s">
        <v>418</v>
      </c>
      <c r="C28" s="586">
        <f t="shared" si="6"/>
        <v>0</v>
      </c>
      <c r="D28" s="586">
        <f t="shared" si="7"/>
        <v>0</v>
      </c>
      <c r="E28" s="15">
        <f t="shared" ref="E28:J29" si="9">E21</f>
        <v>-122887973</v>
      </c>
      <c r="F28" s="15">
        <f t="shared" si="9"/>
        <v>-37644131.18</v>
      </c>
      <c r="G28" s="15">
        <f>G21</f>
        <v>122887973</v>
      </c>
      <c r="H28" s="222">
        <f>H21</f>
        <v>122887973</v>
      </c>
      <c r="I28" s="222">
        <f>I21</f>
        <v>37644131.18</v>
      </c>
      <c r="J28" s="600">
        <f>J21</f>
        <v>37644131.18</v>
      </c>
    </row>
    <row r="29" spans="1:20" ht="16.5" thickBot="1" x14ac:dyDescent="0.3">
      <c r="A29" s="155" t="s">
        <v>6</v>
      </c>
      <c r="B29" s="156" t="s">
        <v>419</v>
      </c>
      <c r="C29" s="13">
        <f t="shared" si="6"/>
        <v>100349779</v>
      </c>
      <c r="D29" s="13">
        <f t="shared" si="7"/>
        <v>67289076.299999997</v>
      </c>
      <c r="E29" s="157">
        <f t="shared" si="9"/>
        <v>-22538194</v>
      </c>
      <c r="F29" s="157">
        <f t="shared" si="9"/>
        <v>29644945.119999997</v>
      </c>
      <c r="G29" s="157">
        <f t="shared" si="9"/>
        <v>122887973</v>
      </c>
      <c r="H29" s="223">
        <f t="shared" si="9"/>
        <v>122887973</v>
      </c>
      <c r="I29" s="223">
        <f t="shared" si="9"/>
        <v>37644131.18</v>
      </c>
      <c r="J29" s="158">
        <f t="shared" si="9"/>
        <v>37644131.18</v>
      </c>
    </row>
    <row r="31" spans="1:20" ht="13.5" customHeight="1" x14ac:dyDescent="0.2"/>
    <row r="32" spans="1:20" s="5" customFormat="1" ht="42.6" customHeight="1" x14ac:dyDescent="0.2">
      <c r="A32" s="1198" t="s">
        <v>405</v>
      </c>
      <c r="B32" s="1198"/>
      <c r="C32" s="159"/>
      <c r="D32" s="159"/>
      <c r="E32" s="159"/>
      <c r="F32" s="159"/>
      <c r="G32" s="1199" t="s">
        <v>472</v>
      </c>
      <c r="H32" s="1199"/>
      <c r="I32" s="212"/>
      <c r="J32" s="212"/>
      <c r="K32" s="3"/>
      <c r="L32" s="3"/>
      <c r="M32" s="3"/>
      <c r="O32" s="3"/>
      <c r="P32" s="160"/>
      <c r="Q32" s="3"/>
      <c r="R32" s="161"/>
      <c r="S32" s="162"/>
      <c r="T32" s="163"/>
    </row>
    <row r="33" spans="1:10" s="20" customFormat="1" ht="20.25" x14ac:dyDescent="0.3">
      <c r="A33" s="19"/>
      <c r="B33" s="19"/>
      <c r="H33" s="21"/>
      <c r="I33" s="21"/>
      <c r="J33" s="21"/>
    </row>
    <row r="34" spans="1:10" ht="15.75" x14ac:dyDescent="0.2">
      <c r="A34" s="22"/>
      <c r="B34" s="22"/>
    </row>
    <row r="35" spans="1:10" ht="15.75" x14ac:dyDescent="0.2">
      <c r="A35" s="1200"/>
      <c r="B35" s="1200"/>
    </row>
    <row r="36" spans="1:10" ht="15.75" x14ac:dyDescent="0.25">
      <c r="A36" s="1"/>
    </row>
  </sheetData>
  <mergeCells count="19">
    <mergeCell ref="A16:H16"/>
    <mergeCell ref="A23:H23"/>
    <mergeCell ref="A32:B32"/>
    <mergeCell ref="G32:H32"/>
    <mergeCell ref="A35:B35"/>
    <mergeCell ref="G13:G14"/>
    <mergeCell ref="I13:I14"/>
    <mergeCell ref="J13:J14"/>
    <mergeCell ref="G12:J12"/>
    <mergeCell ref="A8:H8"/>
    <mergeCell ref="A12:A14"/>
    <mergeCell ref="B12:B14"/>
    <mergeCell ref="H13:H14"/>
    <mergeCell ref="C12:D12"/>
    <mergeCell ref="C13:C14"/>
    <mergeCell ref="D13:D14"/>
    <mergeCell ref="E12:F12"/>
    <mergeCell ref="E13:E14"/>
    <mergeCell ref="F13:F14"/>
  </mergeCells>
  <pageMargins left="1.1811023622047245" right="0.39370078740157483" top="0.78740157480314965" bottom="0.78740157480314965"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N352"/>
  <sheetViews>
    <sheetView view="pageBreakPreview" topLeftCell="A2" zoomScale="88" zoomScaleNormal="100" zoomScaleSheetLayoutView="88" workbookViewId="0">
      <selection activeCell="L11" sqref="L11"/>
    </sheetView>
  </sheetViews>
  <sheetFormatPr defaultColWidth="8.85546875" defaultRowHeight="15.75" x14ac:dyDescent="0.25"/>
  <cols>
    <col min="1" max="3" width="12.140625" style="47" customWidth="1"/>
    <col min="4" max="4" width="44.28515625" style="48" customWidth="1"/>
    <col min="5" max="5" width="17.42578125" style="48" customWidth="1"/>
    <col min="6" max="6" width="18.28515625" style="48" customWidth="1"/>
    <col min="7" max="7" width="10.7109375" style="48" customWidth="1"/>
    <col min="8" max="8" width="18" style="49" customWidth="1"/>
    <col min="9" max="9" width="17.28515625" style="49" customWidth="1"/>
    <col min="10" max="10" width="11.42578125" style="49" customWidth="1"/>
    <col min="11" max="12" width="17.42578125" style="48" customWidth="1"/>
    <col min="13" max="13" width="12" style="48" customWidth="1"/>
    <col min="14" max="16384" width="8.85546875" style="1"/>
  </cols>
  <sheetData>
    <row r="1" spans="1:14" x14ac:dyDescent="0.25">
      <c r="K1" s="3" t="s">
        <v>508</v>
      </c>
    </row>
    <row r="2" spans="1:14" x14ac:dyDescent="0.25">
      <c r="K2" s="3" t="s">
        <v>571</v>
      </c>
    </row>
    <row r="3" spans="1:14" x14ac:dyDescent="0.25">
      <c r="K3" s="6" t="s">
        <v>699</v>
      </c>
      <c r="L3" s="578"/>
      <c r="M3" s="578"/>
    </row>
    <row r="4" spans="1:14" x14ac:dyDescent="0.25">
      <c r="K4" s="6" t="s">
        <v>700</v>
      </c>
      <c r="L4" s="579"/>
      <c r="M4" s="579"/>
    </row>
    <row r="5" spans="1:14" x14ac:dyDescent="0.25">
      <c r="I5" s="48"/>
      <c r="J5" s="48"/>
      <c r="K5" s="3"/>
      <c r="L5" s="573"/>
      <c r="M5" s="573"/>
      <c r="N5" s="2"/>
    </row>
    <row r="6" spans="1:14" x14ac:dyDescent="0.25">
      <c r="I6" s="48"/>
      <c r="J6" s="48"/>
      <c r="K6" s="574"/>
      <c r="L6" s="574"/>
      <c r="M6" s="574"/>
      <c r="N6" s="30"/>
    </row>
    <row r="7" spans="1:14" x14ac:dyDescent="0.25">
      <c r="I7" s="48"/>
      <c r="J7" s="48"/>
      <c r="K7" s="574"/>
      <c r="L7" s="574"/>
      <c r="M7" s="574"/>
      <c r="N7" s="30"/>
    </row>
    <row r="8" spans="1:14" x14ac:dyDescent="0.25">
      <c r="I8" s="48"/>
      <c r="J8" s="48"/>
      <c r="K8" s="574"/>
      <c r="L8" s="574"/>
      <c r="M8" s="574"/>
      <c r="N8" s="30"/>
    </row>
    <row r="9" spans="1:14" x14ac:dyDescent="0.25">
      <c r="I9" s="48"/>
      <c r="J9" s="48"/>
      <c r="K9" s="575"/>
      <c r="L9" s="575"/>
      <c r="M9" s="575"/>
      <c r="N9" s="30"/>
    </row>
    <row r="10" spans="1:14" x14ac:dyDescent="0.25">
      <c r="I10" s="48"/>
      <c r="J10" s="48"/>
      <c r="K10" s="575"/>
      <c r="L10" s="575"/>
      <c r="M10" s="575"/>
      <c r="N10" s="30"/>
    </row>
    <row r="11" spans="1:14" x14ac:dyDescent="0.25">
      <c r="I11" s="48"/>
      <c r="J11" s="48"/>
      <c r="K11" s="574"/>
      <c r="L11" s="574"/>
      <c r="M11" s="574"/>
      <c r="N11" s="21"/>
    </row>
    <row r="12" spans="1:14" x14ac:dyDescent="0.25">
      <c r="A12" s="1205" t="s">
        <v>164</v>
      </c>
      <c r="B12" s="1206"/>
      <c r="C12" s="1206"/>
      <c r="D12" s="1206"/>
      <c r="E12" s="1206"/>
      <c r="F12" s="1206"/>
      <c r="G12" s="1206"/>
      <c r="H12" s="1206"/>
      <c r="I12" s="1206"/>
      <c r="J12" s="1206"/>
      <c r="K12" s="1206"/>
      <c r="L12" s="138"/>
      <c r="M12" s="138"/>
    </row>
    <row r="13" spans="1:14" x14ac:dyDescent="0.25">
      <c r="A13" s="1205" t="s">
        <v>624</v>
      </c>
      <c r="B13" s="1206"/>
      <c r="C13" s="1206"/>
      <c r="D13" s="1206"/>
      <c r="E13" s="1206"/>
      <c r="F13" s="1206"/>
      <c r="G13" s="1206"/>
      <c r="H13" s="1206"/>
      <c r="I13" s="1206"/>
      <c r="J13" s="1206"/>
      <c r="K13" s="1206"/>
      <c r="L13" s="138"/>
      <c r="M13" s="138"/>
    </row>
    <row r="14" spans="1:14" x14ac:dyDescent="0.25">
      <c r="A14" s="50" t="s">
        <v>162</v>
      </c>
    </row>
    <row r="15" spans="1:14" ht="17.45" customHeight="1" thickBot="1" x14ac:dyDescent="0.3">
      <c r="A15" s="47" t="s">
        <v>0</v>
      </c>
      <c r="K15" s="49" t="s">
        <v>7</v>
      </c>
      <c r="L15" s="49"/>
      <c r="M15" s="49"/>
    </row>
    <row r="16" spans="1:14" s="31" customFormat="1" ht="13.9" customHeight="1" x14ac:dyDescent="0.2">
      <c r="A16" s="1207" t="s">
        <v>8</v>
      </c>
      <c r="B16" s="1210" t="s">
        <v>9</v>
      </c>
      <c r="C16" s="1210" t="s">
        <v>10</v>
      </c>
      <c r="D16" s="1210" t="s">
        <v>11</v>
      </c>
      <c r="E16" s="1213" t="s">
        <v>2</v>
      </c>
      <c r="F16" s="1213"/>
      <c r="G16" s="1213"/>
      <c r="H16" s="1216" t="s">
        <v>3</v>
      </c>
      <c r="I16" s="1217"/>
      <c r="J16" s="1218"/>
      <c r="K16" s="1216" t="s">
        <v>165</v>
      </c>
      <c r="L16" s="1217"/>
      <c r="M16" s="1219"/>
    </row>
    <row r="17" spans="1:13" s="31" customFormat="1" ht="12.75" x14ac:dyDescent="0.2">
      <c r="A17" s="1208"/>
      <c r="B17" s="1211"/>
      <c r="C17" s="1211"/>
      <c r="D17" s="1211"/>
      <c r="E17" s="1201" t="s">
        <v>459</v>
      </c>
      <c r="F17" s="1214" t="s">
        <v>615</v>
      </c>
      <c r="G17" s="1201" t="s">
        <v>460</v>
      </c>
      <c r="H17" s="1201" t="s">
        <v>459</v>
      </c>
      <c r="I17" s="1214" t="s">
        <v>615</v>
      </c>
      <c r="J17" s="1201" t="s">
        <v>460</v>
      </c>
      <c r="K17" s="1201" t="s">
        <v>459</v>
      </c>
      <c r="L17" s="1214" t="s">
        <v>615</v>
      </c>
      <c r="M17" s="1220" t="s">
        <v>460</v>
      </c>
    </row>
    <row r="18" spans="1:13" s="31" customFormat="1" ht="13.15" customHeight="1" x14ac:dyDescent="0.2">
      <c r="A18" s="1208"/>
      <c r="B18" s="1211"/>
      <c r="C18" s="1211"/>
      <c r="D18" s="1211"/>
      <c r="E18" s="1202"/>
      <c r="F18" s="1214"/>
      <c r="G18" s="1202"/>
      <c r="H18" s="1202"/>
      <c r="I18" s="1214"/>
      <c r="J18" s="1202"/>
      <c r="K18" s="1202"/>
      <c r="L18" s="1214"/>
      <c r="M18" s="1221"/>
    </row>
    <row r="19" spans="1:13" s="31" customFormat="1" ht="55.9" customHeight="1" thickBot="1" x14ac:dyDescent="0.25">
      <c r="A19" s="1209"/>
      <c r="B19" s="1212"/>
      <c r="C19" s="1212"/>
      <c r="D19" s="1212"/>
      <c r="E19" s="1203"/>
      <c r="F19" s="1215"/>
      <c r="G19" s="1203"/>
      <c r="H19" s="1203"/>
      <c r="I19" s="1215"/>
      <c r="J19" s="1203"/>
      <c r="K19" s="1203"/>
      <c r="L19" s="1215"/>
      <c r="M19" s="1222"/>
    </row>
    <row r="20" spans="1:13" ht="16.5" thickBot="1" x14ac:dyDescent="0.3">
      <c r="A20" s="238">
        <v>1</v>
      </c>
      <c r="B20" s="231">
        <v>2</v>
      </c>
      <c r="C20" s="231">
        <v>3</v>
      </c>
      <c r="D20" s="231">
        <v>4</v>
      </c>
      <c r="E20" s="231">
        <v>5</v>
      </c>
      <c r="F20" s="231">
        <v>6</v>
      </c>
      <c r="G20" s="231">
        <v>7</v>
      </c>
      <c r="H20" s="231">
        <v>8</v>
      </c>
      <c r="I20" s="231">
        <v>9</v>
      </c>
      <c r="J20" s="231">
        <v>10</v>
      </c>
      <c r="K20" s="231">
        <v>11</v>
      </c>
      <c r="L20" s="231">
        <v>12</v>
      </c>
      <c r="M20" s="239">
        <v>13</v>
      </c>
    </row>
    <row r="21" spans="1:13" ht="48" thickBot="1" x14ac:dyDescent="0.3">
      <c r="A21" s="38" t="s">
        <v>13</v>
      </c>
      <c r="B21" s="39" t="s">
        <v>14</v>
      </c>
      <c r="C21" s="39" t="s">
        <v>14</v>
      </c>
      <c r="D21" s="40" t="s">
        <v>15</v>
      </c>
      <c r="E21" s="232">
        <f>E22</f>
        <v>116803552</v>
      </c>
      <c r="F21" s="232">
        <f>F22</f>
        <v>90609318.219999999</v>
      </c>
      <c r="G21" s="243">
        <f>F21/E21</f>
        <v>0.77574111975635807</v>
      </c>
      <c r="H21" s="240">
        <f>H22</f>
        <v>40106664</v>
      </c>
      <c r="I21" s="240">
        <f>I22</f>
        <v>30180464.989999998</v>
      </c>
      <c r="J21" s="243">
        <f>I21/H21</f>
        <v>0.75250499493051826</v>
      </c>
      <c r="K21" s="240">
        <f t="shared" ref="K21:L23" si="0">E21+H21</f>
        <v>156910216</v>
      </c>
      <c r="L21" s="232">
        <f t="shared" si="0"/>
        <v>120789783.20999999</v>
      </c>
      <c r="M21" s="252">
        <f>L21/K21</f>
        <v>0.76980190512260838</v>
      </c>
    </row>
    <row r="22" spans="1:13" ht="31.5" x14ac:dyDescent="0.25">
      <c r="A22" s="51" t="s">
        <v>16</v>
      </c>
      <c r="B22" s="52" t="s">
        <v>14</v>
      </c>
      <c r="C22" s="52" t="s">
        <v>14</v>
      </c>
      <c r="D22" s="53" t="s">
        <v>15</v>
      </c>
      <c r="E22" s="54">
        <f>E23+E29+E31+E35+E39+E41+E45+E48+E51+E55+E57+E61+E63+E53</f>
        <v>116803552</v>
      </c>
      <c r="F22" s="54">
        <f>F23+F29+F31+F35+F39+F41+F45+F48+F51+F55+F57+F61+F63+F53</f>
        <v>90609318.219999999</v>
      </c>
      <c r="G22" s="244">
        <f t="shared" ref="G22:G235" si="1">F22/E22</f>
        <v>0.77574111975635807</v>
      </c>
      <c r="H22" s="55">
        <f>H23+H35+H45+H48+H41+H63+H29+H31+H51+H53+H55+H57+H61</f>
        <v>40106664</v>
      </c>
      <c r="I22" s="55">
        <f>I23+I35+I45+I48+I41+I63+I29+I31+I51+I53+I55+I57+I61</f>
        <v>30180464.989999998</v>
      </c>
      <c r="J22" s="244">
        <f t="shared" ref="J22:J191" si="2">I22/H22</f>
        <v>0.75250499493051826</v>
      </c>
      <c r="K22" s="55">
        <f>E22+H22</f>
        <v>156910216</v>
      </c>
      <c r="L22" s="54">
        <f>F22+I22</f>
        <v>120789783.20999999</v>
      </c>
      <c r="M22" s="607">
        <f t="shared" ref="M22:M100" si="3">L22/K22</f>
        <v>0.76980190512260838</v>
      </c>
    </row>
    <row r="23" spans="1:13" ht="78.75" x14ac:dyDescent="0.25">
      <c r="A23" s="1124" t="s">
        <v>166</v>
      </c>
      <c r="B23" s="1125" t="s">
        <v>167</v>
      </c>
      <c r="C23" s="1125" t="s">
        <v>17</v>
      </c>
      <c r="D23" s="28" t="s">
        <v>168</v>
      </c>
      <c r="E23" s="43">
        <f>E24</f>
        <v>29887014</v>
      </c>
      <c r="F23" s="43">
        <f>F24</f>
        <v>19296154.440000001</v>
      </c>
      <c r="G23" s="245">
        <f t="shared" si="1"/>
        <v>0.64563674510943114</v>
      </c>
      <c r="H23" s="251">
        <f>H27</f>
        <v>338000</v>
      </c>
      <c r="I23" s="55">
        <f>I24+I27+I28</f>
        <v>559323.99</v>
      </c>
      <c r="J23" s="245">
        <f t="shared" si="2"/>
        <v>1.6548047041420118</v>
      </c>
      <c r="K23" s="248">
        <f t="shared" si="0"/>
        <v>30225014</v>
      </c>
      <c r="L23" s="225">
        <f t="shared" si="0"/>
        <v>19855478.43</v>
      </c>
      <c r="M23" s="608">
        <f t="shared" si="3"/>
        <v>0.65692205899391809</v>
      </c>
    </row>
    <row r="24" spans="1:13" x14ac:dyDescent="0.25">
      <c r="A24" s="1124"/>
      <c r="B24" s="1125"/>
      <c r="C24" s="1125"/>
      <c r="D24" s="601" t="s">
        <v>462</v>
      </c>
      <c r="E24" s="43">
        <v>29887014</v>
      </c>
      <c r="F24" s="43">
        <v>19296154.440000001</v>
      </c>
      <c r="G24" s="245">
        <f t="shared" si="1"/>
        <v>0.64563674510943114</v>
      </c>
      <c r="H24" s="55">
        <v>0</v>
      </c>
      <c r="I24" s="8">
        <v>22.86</v>
      </c>
      <c r="J24" s="245">
        <v>0</v>
      </c>
      <c r="K24" s="248">
        <f t="shared" ref="K24:K66" si="4">E24+H24</f>
        <v>29887014</v>
      </c>
      <c r="L24" s="225">
        <f t="shared" ref="L24:L66" si="5">F24+I24</f>
        <v>19296177.300000001</v>
      </c>
      <c r="M24" s="608">
        <f t="shared" si="3"/>
        <v>0.64563750999012481</v>
      </c>
    </row>
    <row r="25" spans="1:13" x14ac:dyDescent="0.25">
      <c r="A25" s="1124"/>
      <c r="B25" s="1125"/>
      <c r="C25" s="1125"/>
      <c r="D25" s="602" t="s">
        <v>463</v>
      </c>
      <c r="E25" s="43">
        <v>23566881</v>
      </c>
      <c r="F25" s="43">
        <v>16079935.439999999</v>
      </c>
      <c r="G25" s="245">
        <f t="shared" si="1"/>
        <v>0.68231071561824408</v>
      </c>
      <c r="H25" s="55"/>
      <c r="I25" s="8"/>
      <c r="J25" s="245"/>
      <c r="K25" s="248">
        <f t="shared" si="4"/>
        <v>23566881</v>
      </c>
      <c r="L25" s="225">
        <f t="shared" si="5"/>
        <v>16079935.439999999</v>
      </c>
      <c r="M25" s="608">
        <f t="shared" si="3"/>
        <v>0.68231071561824408</v>
      </c>
    </row>
    <row r="26" spans="1:13" ht="31.5" x14ac:dyDescent="0.25">
      <c r="A26" s="1124"/>
      <c r="B26" s="1125"/>
      <c r="C26" s="1125"/>
      <c r="D26" s="602" t="s">
        <v>464</v>
      </c>
      <c r="E26" s="43">
        <v>2835579</v>
      </c>
      <c r="F26" s="43">
        <v>985941.18</v>
      </c>
      <c r="G26" s="245">
        <f t="shared" si="1"/>
        <v>0.34770365417433269</v>
      </c>
      <c r="H26" s="55"/>
      <c r="I26" s="8"/>
      <c r="J26" s="245"/>
      <c r="K26" s="248">
        <f t="shared" si="4"/>
        <v>2835579</v>
      </c>
      <c r="L26" s="225">
        <f t="shared" si="5"/>
        <v>985941.18</v>
      </c>
      <c r="M26" s="608">
        <f t="shared" si="3"/>
        <v>0.34770365417433269</v>
      </c>
    </row>
    <row r="27" spans="1:13" x14ac:dyDescent="0.25">
      <c r="A27" s="1124"/>
      <c r="B27" s="1125"/>
      <c r="C27" s="1125"/>
      <c r="D27" s="601" t="s">
        <v>465</v>
      </c>
      <c r="E27" s="43"/>
      <c r="F27" s="43"/>
      <c r="G27" s="245"/>
      <c r="H27" s="55">
        <f>H28</f>
        <v>338000</v>
      </c>
      <c r="I27" s="8">
        <v>365367.13</v>
      </c>
      <c r="J27" s="245">
        <f t="shared" si="2"/>
        <v>1.0809678402366865</v>
      </c>
      <c r="K27" s="248">
        <f t="shared" si="4"/>
        <v>338000</v>
      </c>
      <c r="L27" s="225">
        <f t="shared" si="5"/>
        <v>365367.13</v>
      </c>
      <c r="M27" s="608">
        <f t="shared" si="3"/>
        <v>1.0809678402366865</v>
      </c>
    </row>
    <row r="28" spans="1:13" x14ac:dyDescent="0.25">
      <c r="A28" s="1124"/>
      <c r="B28" s="1125"/>
      <c r="C28" s="1125"/>
      <c r="D28" s="602" t="s">
        <v>466</v>
      </c>
      <c r="E28" s="43"/>
      <c r="F28" s="43"/>
      <c r="G28" s="245"/>
      <c r="H28" s="55">
        <v>338000</v>
      </c>
      <c r="I28" s="8">
        <v>193934</v>
      </c>
      <c r="J28" s="245">
        <f t="shared" si="2"/>
        <v>0.57376923076923081</v>
      </c>
      <c r="K28" s="248">
        <f t="shared" si="4"/>
        <v>338000</v>
      </c>
      <c r="L28" s="225">
        <f t="shared" si="5"/>
        <v>193934</v>
      </c>
      <c r="M28" s="608">
        <f t="shared" si="3"/>
        <v>0.57376923076923081</v>
      </c>
    </row>
    <row r="29" spans="1:13" ht="31.5" x14ac:dyDescent="0.25">
      <c r="A29" s="57" t="s">
        <v>461</v>
      </c>
      <c r="B29" s="56" t="s">
        <v>219</v>
      </c>
      <c r="C29" s="1125">
        <v>133</v>
      </c>
      <c r="D29" s="28" t="s">
        <v>245</v>
      </c>
      <c r="E29" s="43">
        <f>E30</f>
        <v>109000</v>
      </c>
      <c r="F29" s="43">
        <f>F30</f>
        <v>18000</v>
      </c>
      <c r="G29" s="245">
        <f t="shared" si="1"/>
        <v>0.16513761467889909</v>
      </c>
      <c r="H29" s="55">
        <v>0</v>
      </c>
      <c r="I29" s="8"/>
      <c r="J29" s="245"/>
      <c r="K29" s="248">
        <f t="shared" si="4"/>
        <v>109000</v>
      </c>
      <c r="L29" s="225">
        <f t="shared" si="5"/>
        <v>18000</v>
      </c>
      <c r="M29" s="608">
        <f t="shared" si="3"/>
        <v>0.16513761467889909</v>
      </c>
    </row>
    <row r="30" spans="1:13" x14ac:dyDescent="0.25">
      <c r="A30" s="57"/>
      <c r="B30" s="56"/>
      <c r="C30" s="1125"/>
      <c r="D30" s="601" t="s">
        <v>462</v>
      </c>
      <c r="E30" s="43">
        <v>109000</v>
      </c>
      <c r="F30" s="43">
        <v>18000</v>
      </c>
      <c r="G30" s="245">
        <f t="shared" si="1"/>
        <v>0.16513761467889909</v>
      </c>
      <c r="H30" s="55"/>
      <c r="I30" s="8"/>
      <c r="J30" s="245"/>
      <c r="K30" s="248">
        <f t="shared" si="4"/>
        <v>109000</v>
      </c>
      <c r="L30" s="225">
        <f t="shared" si="5"/>
        <v>18000</v>
      </c>
      <c r="M30" s="608">
        <f t="shared" si="3"/>
        <v>0.16513761467889909</v>
      </c>
    </row>
    <row r="31" spans="1:13" ht="31.5" x14ac:dyDescent="0.25">
      <c r="A31" s="1124" t="s">
        <v>18</v>
      </c>
      <c r="B31" s="1125" t="s">
        <v>19</v>
      </c>
      <c r="C31" s="1125" t="s">
        <v>20</v>
      </c>
      <c r="D31" s="28" t="s">
        <v>21</v>
      </c>
      <c r="E31" s="43">
        <f>E32</f>
        <v>22925874</v>
      </c>
      <c r="F31" s="43">
        <f>F32</f>
        <v>16333310.74</v>
      </c>
      <c r="G31" s="245">
        <f t="shared" si="1"/>
        <v>0.7124400465604932</v>
      </c>
      <c r="H31" s="55">
        <f>H33</f>
        <v>2173600</v>
      </c>
      <c r="I31" s="55">
        <f>I33</f>
        <v>0</v>
      </c>
      <c r="J31" s="245">
        <f t="shared" si="2"/>
        <v>0</v>
      </c>
      <c r="K31" s="248">
        <f t="shared" si="4"/>
        <v>25099474</v>
      </c>
      <c r="L31" s="225">
        <f t="shared" si="5"/>
        <v>16333310.74</v>
      </c>
      <c r="M31" s="608">
        <f t="shared" si="3"/>
        <v>0.65074314864128224</v>
      </c>
    </row>
    <row r="32" spans="1:13" x14ac:dyDescent="0.25">
      <c r="A32" s="1124"/>
      <c r="B32" s="1125"/>
      <c r="C32" s="1125"/>
      <c r="D32" s="601" t="s">
        <v>462</v>
      </c>
      <c r="E32" s="43">
        <v>22925874</v>
      </c>
      <c r="F32" s="43">
        <v>16333310.74</v>
      </c>
      <c r="G32" s="245">
        <f t="shared" si="1"/>
        <v>0.7124400465604932</v>
      </c>
      <c r="H32" s="55"/>
      <c r="I32" s="8"/>
      <c r="J32" s="245"/>
      <c r="K32" s="248">
        <f t="shared" si="4"/>
        <v>22925874</v>
      </c>
      <c r="L32" s="225">
        <f t="shared" si="5"/>
        <v>16333310.74</v>
      </c>
      <c r="M32" s="608">
        <f t="shared" si="3"/>
        <v>0.7124400465604932</v>
      </c>
    </row>
    <row r="33" spans="1:13" x14ac:dyDescent="0.25">
      <c r="A33" s="1124"/>
      <c r="B33" s="1125"/>
      <c r="C33" s="1125"/>
      <c r="D33" s="601" t="s">
        <v>465</v>
      </c>
      <c r="E33" s="43"/>
      <c r="F33" s="43"/>
      <c r="G33" s="245"/>
      <c r="H33" s="55">
        <f>H34</f>
        <v>2173600</v>
      </c>
      <c r="I33" s="55">
        <f>I34</f>
        <v>0</v>
      </c>
      <c r="J33" s="245">
        <f t="shared" si="2"/>
        <v>0</v>
      </c>
      <c r="K33" s="248">
        <f t="shared" si="4"/>
        <v>2173600</v>
      </c>
      <c r="L33" s="225">
        <f t="shared" si="5"/>
        <v>0</v>
      </c>
      <c r="M33" s="608">
        <f t="shared" si="3"/>
        <v>0</v>
      </c>
    </row>
    <row r="34" spans="1:13" x14ac:dyDescent="0.25">
      <c r="A34" s="1124"/>
      <c r="B34" s="1125"/>
      <c r="C34" s="1125"/>
      <c r="D34" s="602" t="s">
        <v>466</v>
      </c>
      <c r="E34" s="43"/>
      <c r="F34" s="43"/>
      <c r="G34" s="245"/>
      <c r="H34" s="1126">
        <v>2173600</v>
      </c>
      <c r="I34" s="792">
        <v>0</v>
      </c>
      <c r="J34" s="245">
        <f t="shared" si="2"/>
        <v>0</v>
      </c>
      <c r="K34" s="248">
        <f t="shared" si="4"/>
        <v>2173600</v>
      </c>
      <c r="L34" s="225">
        <f t="shared" si="5"/>
        <v>0</v>
      </c>
      <c r="M34" s="608">
        <f t="shared" si="3"/>
        <v>0</v>
      </c>
    </row>
    <row r="35" spans="1:13" ht="47.25" x14ac:dyDescent="0.25">
      <c r="A35" s="1124" t="s">
        <v>22</v>
      </c>
      <c r="B35" s="1125" t="s">
        <v>23</v>
      </c>
      <c r="C35" s="1125" t="s">
        <v>24</v>
      </c>
      <c r="D35" s="28" t="s">
        <v>25</v>
      </c>
      <c r="E35" s="43">
        <f>E36</f>
        <v>556580</v>
      </c>
      <c r="F35" s="43">
        <f>F36</f>
        <v>322570.23999999999</v>
      </c>
      <c r="G35" s="245">
        <f t="shared" si="1"/>
        <v>0.57955772755039703</v>
      </c>
      <c r="H35" s="55">
        <f>H37</f>
        <v>372400</v>
      </c>
      <c r="I35" s="55">
        <f>I37</f>
        <v>372377</v>
      </c>
      <c r="J35" s="245">
        <f t="shared" si="2"/>
        <v>0.99993823845327601</v>
      </c>
      <c r="K35" s="248">
        <f t="shared" si="4"/>
        <v>928980</v>
      </c>
      <c r="L35" s="225">
        <f t="shared" si="5"/>
        <v>694947.24</v>
      </c>
      <c r="M35" s="608">
        <f t="shared" si="3"/>
        <v>0.74807556675062969</v>
      </c>
    </row>
    <row r="36" spans="1:13" x14ac:dyDescent="0.25">
      <c r="A36" s="1124"/>
      <c r="B36" s="1125"/>
      <c r="C36" s="1125"/>
      <c r="D36" s="601" t="s">
        <v>462</v>
      </c>
      <c r="E36" s="43">
        <v>556580</v>
      </c>
      <c r="F36" s="43">
        <v>322570.23999999999</v>
      </c>
      <c r="G36" s="245">
        <f t="shared" si="1"/>
        <v>0.57955772755039703</v>
      </c>
      <c r="H36" s="55"/>
      <c r="I36" s="8"/>
      <c r="J36" s="245"/>
      <c r="K36" s="248">
        <f t="shared" si="4"/>
        <v>556580</v>
      </c>
      <c r="L36" s="225">
        <f t="shared" si="5"/>
        <v>322570.23999999999</v>
      </c>
      <c r="M36" s="608">
        <f t="shared" si="3"/>
        <v>0.57955772755039703</v>
      </c>
    </row>
    <row r="37" spans="1:13" x14ac:dyDescent="0.25">
      <c r="A37" s="1124"/>
      <c r="B37" s="1125"/>
      <c r="C37" s="1125"/>
      <c r="D37" s="601" t="s">
        <v>465</v>
      </c>
      <c r="E37" s="43"/>
      <c r="F37" s="43"/>
      <c r="G37" s="245"/>
      <c r="H37" s="55">
        <f>H38</f>
        <v>372400</v>
      </c>
      <c r="I37" s="55">
        <f>I38</f>
        <v>372377</v>
      </c>
      <c r="J37" s="245">
        <f t="shared" si="2"/>
        <v>0.99993823845327601</v>
      </c>
      <c r="K37" s="248">
        <f t="shared" si="4"/>
        <v>372400</v>
      </c>
      <c r="L37" s="225">
        <f t="shared" si="5"/>
        <v>372377</v>
      </c>
      <c r="M37" s="608">
        <f t="shared" si="3"/>
        <v>0.99993823845327601</v>
      </c>
    </row>
    <row r="38" spans="1:13" x14ac:dyDescent="0.25">
      <c r="A38" s="1124"/>
      <c r="B38" s="1125"/>
      <c r="C38" s="1125"/>
      <c r="D38" s="602" t="s">
        <v>466</v>
      </c>
      <c r="E38" s="43"/>
      <c r="F38" s="43"/>
      <c r="G38" s="245"/>
      <c r="H38" s="55">
        <v>372400</v>
      </c>
      <c r="I38" s="224">
        <v>372377</v>
      </c>
      <c r="J38" s="245">
        <f t="shared" si="2"/>
        <v>0.99993823845327601</v>
      </c>
      <c r="K38" s="248">
        <f t="shared" si="4"/>
        <v>372400</v>
      </c>
      <c r="L38" s="225">
        <f t="shared" si="5"/>
        <v>372377</v>
      </c>
      <c r="M38" s="608">
        <f t="shared" si="3"/>
        <v>0.99993823845327601</v>
      </c>
    </row>
    <row r="39" spans="1:13" ht="31.5" x14ac:dyDescent="0.25">
      <c r="A39" s="57" t="s">
        <v>228</v>
      </c>
      <c r="B39" s="1125">
        <v>2152</v>
      </c>
      <c r="C39" s="56" t="s">
        <v>229</v>
      </c>
      <c r="D39" s="28" t="s">
        <v>246</v>
      </c>
      <c r="E39" s="43">
        <f>E40</f>
        <v>3407103</v>
      </c>
      <c r="F39" s="43">
        <f>F40</f>
        <v>1518951.6</v>
      </c>
      <c r="G39" s="245">
        <f t="shared" si="1"/>
        <v>0.44581910203477854</v>
      </c>
      <c r="H39" s="55">
        <v>0</v>
      </c>
      <c r="I39" s="8"/>
      <c r="J39" s="245"/>
      <c r="K39" s="248">
        <f t="shared" si="4"/>
        <v>3407103</v>
      </c>
      <c r="L39" s="225">
        <f t="shared" si="5"/>
        <v>1518951.6</v>
      </c>
      <c r="M39" s="608">
        <f t="shared" si="3"/>
        <v>0.44581910203477854</v>
      </c>
    </row>
    <row r="40" spans="1:13" x14ac:dyDescent="0.25">
      <c r="A40" s="57"/>
      <c r="B40" s="1125"/>
      <c r="C40" s="56"/>
      <c r="D40" s="601" t="s">
        <v>462</v>
      </c>
      <c r="E40" s="43">
        <v>3407103</v>
      </c>
      <c r="F40" s="43">
        <v>1518951.6</v>
      </c>
      <c r="G40" s="245">
        <f t="shared" si="1"/>
        <v>0.44581910203477854</v>
      </c>
      <c r="H40" s="55"/>
      <c r="I40" s="8"/>
      <c r="J40" s="245"/>
      <c r="K40" s="248">
        <f t="shared" si="4"/>
        <v>3407103</v>
      </c>
      <c r="L40" s="225">
        <f t="shared" si="5"/>
        <v>1518951.6</v>
      </c>
      <c r="M40" s="608">
        <f t="shared" si="3"/>
        <v>0.44581910203477854</v>
      </c>
    </row>
    <row r="41" spans="1:13" ht="31.5" x14ac:dyDescent="0.25">
      <c r="A41" s="1124" t="s">
        <v>29</v>
      </c>
      <c r="B41" s="1125" t="s">
        <v>30</v>
      </c>
      <c r="C41" s="1125" t="s">
        <v>31</v>
      </c>
      <c r="D41" s="28" t="s">
        <v>32</v>
      </c>
      <c r="E41" s="43">
        <f>E42</f>
        <v>356546</v>
      </c>
      <c r="F41" s="43">
        <f>F42</f>
        <v>173836</v>
      </c>
      <c r="G41" s="245">
        <f t="shared" si="1"/>
        <v>0.48755560292360595</v>
      </c>
      <c r="H41" s="55">
        <f>H43</f>
        <v>53364</v>
      </c>
      <c r="I41" s="55">
        <f>I43</f>
        <v>53364</v>
      </c>
      <c r="J41" s="245">
        <f t="shared" si="2"/>
        <v>1</v>
      </c>
      <c r="K41" s="248">
        <f t="shared" si="4"/>
        <v>409910</v>
      </c>
      <c r="L41" s="225">
        <f t="shared" si="5"/>
        <v>227200</v>
      </c>
      <c r="M41" s="608">
        <f t="shared" si="3"/>
        <v>0.5542680100509868</v>
      </c>
    </row>
    <row r="42" spans="1:13" x14ac:dyDescent="0.25">
      <c r="A42" s="1124"/>
      <c r="B42" s="1125"/>
      <c r="C42" s="1125"/>
      <c r="D42" s="601" t="s">
        <v>462</v>
      </c>
      <c r="E42" s="43">
        <v>356546</v>
      </c>
      <c r="F42" s="43">
        <v>173836</v>
      </c>
      <c r="G42" s="245">
        <f t="shared" si="1"/>
        <v>0.48755560292360595</v>
      </c>
      <c r="H42" s="55"/>
      <c r="I42" s="8"/>
      <c r="J42" s="245"/>
      <c r="K42" s="248">
        <f t="shared" si="4"/>
        <v>356546</v>
      </c>
      <c r="L42" s="225">
        <f t="shared" si="5"/>
        <v>173836</v>
      </c>
      <c r="M42" s="608">
        <f t="shared" si="3"/>
        <v>0.48755560292360595</v>
      </c>
    </row>
    <row r="43" spans="1:13" x14ac:dyDescent="0.25">
      <c r="A43" s="1124"/>
      <c r="B43" s="1125"/>
      <c r="C43" s="1125"/>
      <c r="D43" s="601" t="s">
        <v>465</v>
      </c>
      <c r="E43" s="43"/>
      <c r="F43" s="43"/>
      <c r="G43" s="245"/>
      <c r="H43" s="55">
        <f>H44</f>
        <v>53364</v>
      </c>
      <c r="I43" s="16">
        <f>I44</f>
        <v>53364</v>
      </c>
      <c r="J43" s="245">
        <f t="shared" si="2"/>
        <v>1</v>
      </c>
      <c r="K43" s="248">
        <f t="shared" si="4"/>
        <v>53364</v>
      </c>
      <c r="L43" s="225">
        <f t="shared" si="5"/>
        <v>53364</v>
      </c>
      <c r="M43" s="608">
        <f t="shared" si="3"/>
        <v>1</v>
      </c>
    </row>
    <row r="44" spans="1:13" x14ac:dyDescent="0.25">
      <c r="A44" s="1124"/>
      <c r="B44" s="1125"/>
      <c r="C44" s="1125"/>
      <c r="D44" s="602" t="s">
        <v>466</v>
      </c>
      <c r="E44" s="43"/>
      <c r="F44" s="43"/>
      <c r="G44" s="245"/>
      <c r="H44" s="55">
        <v>53364</v>
      </c>
      <c r="I44" s="16">
        <v>53364</v>
      </c>
      <c r="J44" s="245">
        <f t="shared" si="2"/>
        <v>1</v>
      </c>
      <c r="K44" s="248">
        <f t="shared" si="4"/>
        <v>53364</v>
      </c>
      <c r="L44" s="225">
        <f t="shared" si="5"/>
        <v>53364</v>
      </c>
      <c r="M44" s="608">
        <f t="shared" si="3"/>
        <v>1</v>
      </c>
    </row>
    <row r="45" spans="1:13" ht="32.25" customHeight="1" x14ac:dyDescent="0.25">
      <c r="A45" s="57" t="s">
        <v>247</v>
      </c>
      <c r="B45" s="56">
        <v>7650</v>
      </c>
      <c r="C45" s="56" t="s">
        <v>171</v>
      </c>
      <c r="D45" s="28" t="s">
        <v>248</v>
      </c>
      <c r="E45" s="43">
        <v>0</v>
      </c>
      <c r="F45" s="43">
        <v>0</v>
      </c>
      <c r="G45" s="245"/>
      <c r="H45" s="55">
        <f>H46</f>
        <v>57000</v>
      </c>
      <c r="I45" s="55">
        <f>I46</f>
        <v>0</v>
      </c>
      <c r="J45" s="245">
        <f t="shared" si="2"/>
        <v>0</v>
      </c>
      <c r="K45" s="248">
        <f t="shared" si="4"/>
        <v>57000</v>
      </c>
      <c r="L45" s="225">
        <f t="shared" si="5"/>
        <v>0</v>
      </c>
      <c r="M45" s="608">
        <f t="shared" si="3"/>
        <v>0</v>
      </c>
    </row>
    <row r="46" spans="1:13" x14ac:dyDescent="0.25">
      <c r="A46" s="57"/>
      <c r="B46" s="56"/>
      <c r="C46" s="56"/>
      <c r="D46" s="601" t="s">
        <v>465</v>
      </c>
      <c r="E46" s="43"/>
      <c r="F46" s="43"/>
      <c r="G46" s="245"/>
      <c r="H46" s="55">
        <f>H47</f>
        <v>57000</v>
      </c>
      <c r="I46" s="8">
        <v>0</v>
      </c>
      <c r="J46" s="245">
        <f t="shared" si="2"/>
        <v>0</v>
      </c>
      <c r="K46" s="248">
        <f t="shared" si="4"/>
        <v>57000</v>
      </c>
      <c r="L46" s="225">
        <f t="shared" si="5"/>
        <v>0</v>
      </c>
      <c r="M46" s="608">
        <f t="shared" si="3"/>
        <v>0</v>
      </c>
    </row>
    <row r="47" spans="1:13" x14ac:dyDescent="0.25">
      <c r="A47" s="57"/>
      <c r="B47" s="56"/>
      <c r="C47" s="56"/>
      <c r="D47" s="602" t="s">
        <v>466</v>
      </c>
      <c r="E47" s="43"/>
      <c r="F47" s="43"/>
      <c r="G47" s="245"/>
      <c r="H47" s="55">
        <v>57000</v>
      </c>
      <c r="I47" s="792">
        <v>0</v>
      </c>
      <c r="J47" s="245">
        <f t="shared" si="2"/>
        <v>0</v>
      </c>
      <c r="K47" s="248">
        <f t="shared" si="4"/>
        <v>57000</v>
      </c>
      <c r="L47" s="225">
        <f t="shared" si="5"/>
        <v>0</v>
      </c>
      <c r="M47" s="608">
        <f t="shared" si="3"/>
        <v>0</v>
      </c>
    </row>
    <row r="48" spans="1:13" ht="80.25" customHeight="1" x14ac:dyDescent="0.25">
      <c r="A48" s="57" t="s">
        <v>249</v>
      </c>
      <c r="B48" s="56" t="s">
        <v>250</v>
      </c>
      <c r="C48" s="56" t="s">
        <v>171</v>
      </c>
      <c r="D48" s="28" t="s">
        <v>251</v>
      </c>
      <c r="E48" s="43">
        <v>0</v>
      </c>
      <c r="F48" s="43">
        <v>0</v>
      </c>
      <c r="G48" s="245"/>
      <c r="H48" s="55">
        <f>H49</f>
        <v>16900</v>
      </c>
      <c r="I48" s="55">
        <f>I49</f>
        <v>0</v>
      </c>
      <c r="J48" s="245">
        <f t="shared" si="2"/>
        <v>0</v>
      </c>
      <c r="K48" s="248">
        <f t="shared" si="4"/>
        <v>16900</v>
      </c>
      <c r="L48" s="225">
        <f t="shared" si="5"/>
        <v>0</v>
      </c>
      <c r="M48" s="608">
        <f t="shared" si="3"/>
        <v>0</v>
      </c>
    </row>
    <row r="49" spans="1:13" x14ac:dyDescent="0.25">
      <c r="A49" s="57"/>
      <c r="B49" s="56"/>
      <c r="C49" s="56"/>
      <c r="D49" s="601" t="s">
        <v>465</v>
      </c>
      <c r="E49" s="43"/>
      <c r="F49" s="43"/>
      <c r="G49" s="245"/>
      <c r="H49" s="55">
        <f>H50</f>
        <v>16900</v>
      </c>
      <c r="I49" s="55">
        <f>I50</f>
        <v>0</v>
      </c>
      <c r="J49" s="245">
        <f t="shared" si="2"/>
        <v>0</v>
      </c>
      <c r="K49" s="248">
        <f t="shared" si="4"/>
        <v>16900</v>
      </c>
      <c r="L49" s="225">
        <f t="shared" si="5"/>
        <v>0</v>
      </c>
      <c r="M49" s="608">
        <f t="shared" si="3"/>
        <v>0</v>
      </c>
    </row>
    <row r="50" spans="1:13" x14ac:dyDescent="0.25">
      <c r="A50" s="57"/>
      <c r="B50" s="56"/>
      <c r="C50" s="56"/>
      <c r="D50" s="602" t="s">
        <v>466</v>
      </c>
      <c r="E50" s="43"/>
      <c r="F50" s="43"/>
      <c r="G50" s="245"/>
      <c r="H50" s="55">
        <v>16900</v>
      </c>
      <c r="I50" s="8">
        <v>0</v>
      </c>
      <c r="J50" s="245">
        <f t="shared" si="2"/>
        <v>0</v>
      </c>
      <c r="K50" s="248">
        <f t="shared" si="4"/>
        <v>16900</v>
      </c>
      <c r="L50" s="225">
        <f t="shared" si="5"/>
        <v>0</v>
      </c>
      <c r="M50" s="608">
        <f t="shared" si="3"/>
        <v>0</v>
      </c>
    </row>
    <row r="51" spans="1:13" ht="31.5" x14ac:dyDescent="0.25">
      <c r="A51" s="1124" t="s">
        <v>169</v>
      </c>
      <c r="B51" s="1125" t="s">
        <v>170</v>
      </c>
      <c r="C51" s="1125" t="s">
        <v>171</v>
      </c>
      <c r="D51" s="28" t="s">
        <v>172</v>
      </c>
      <c r="E51" s="43">
        <f>E52</f>
        <v>39188</v>
      </c>
      <c r="F51" s="43">
        <f>F52</f>
        <v>39188</v>
      </c>
      <c r="G51" s="245">
        <f t="shared" si="1"/>
        <v>1</v>
      </c>
      <c r="H51" s="55">
        <v>0</v>
      </c>
      <c r="I51" s="8">
        <v>0</v>
      </c>
      <c r="J51" s="245"/>
      <c r="K51" s="248">
        <f t="shared" si="4"/>
        <v>39188</v>
      </c>
      <c r="L51" s="225">
        <f t="shared" si="5"/>
        <v>39188</v>
      </c>
      <c r="M51" s="608">
        <f t="shared" si="3"/>
        <v>1</v>
      </c>
    </row>
    <row r="52" spans="1:13" x14ac:dyDescent="0.25">
      <c r="A52" s="1124"/>
      <c r="B52" s="1125"/>
      <c r="C52" s="1125"/>
      <c r="D52" s="601" t="s">
        <v>462</v>
      </c>
      <c r="E52" s="43">
        <v>39188</v>
      </c>
      <c r="F52" s="43">
        <v>39188</v>
      </c>
      <c r="G52" s="245">
        <f t="shared" si="1"/>
        <v>1</v>
      </c>
      <c r="H52" s="55"/>
      <c r="I52" s="8"/>
      <c r="J52" s="245"/>
      <c r="K52" s="248">
        <f>E52+H52</f>
        <v>39188</v>
      </c>
      <c r="L52" s="225">
        <f t="shared" si="5"/>
        <v>39188</v>
      </c>
      <c r="M52" s="608">
        <f t="shared" si="3"/>
        <v>1</v>
      </c>
    </row>
    <row r="53" spans="1:13" ht="47.25" x14ac:dyDescent="0.25">
      <c r="A53" s="57" t="s">
        <v>625</v>
      </c>
      <c r="B53" s="1125">
        <v>8110</v>
      </c>
      <c r="C53" s="1125" t="s">
        <v>35</v>
      </c>
      <c r="D53" s="28" t="s">
        <v>232</v>
      </c>
      <c r="E53" s="43">
        <f>E54</f>
        <v>111980</v>
      </c>
      <c r="F53" s="43">
        <f>F54</f>
        <v>0</v>
      </c>
      <c r="G53" s="245">
        <f t="shared" si="1"/>
        <v>0</v>
      </c>
      <c r="H53" s="55"/>
      <c r="I53" s="8"/>
      <c r="J53" s="245"/>
      <c r="K53" s="248">
        <f t="shared" ref="K53:K54" si="6">E53+H53</f>
        <v>111980</v>
      </c>
      <c r="L53" s="225">
        <f t="shared" si="5"/>
        <v>0</v>
      </c>
      <c r="M53" s="608">
        <f t="shared" si="3"/>
        <v>0</v>
      </c>
    </row>
    <row r="54" spans="1:13" x14ac:dyDescent="0.25">
      <c r="A54" s="1124"/>
      <c r="B54" s="1125"/>
      <c r="C54" s="1125"/>
      <c r="D54" s="601" t="s">
        <v>462</v>
      </c>
      <c r="E54" s="886">
        <v>111980</v>
      </c>
      <c r="F54" s="885">
        <v>0</v>
      </c>
      <c r="G54" s="245">
        <f t="shared" si="1"/>
        <v>0</v>
      </c>
      <c r="H54" s="55"/>
      <c r="I54" s="8"/>
      <c r="J54" s="245"/>
      <c r="K54" s="248">
        <f t="shared" si="6"/>
        <v>111980</v>
      </c>
      <c r="L54" s="225">
        <f t="shared" si="5"/>
        <v>0</v>
      </c>
      <c r="M54" s="608">
        <f t="shared" si="3"/>
        <v>0</v>
      </c>
    </row>
    <row r="55" spans="1:13" ht="31.5" x14ac:dyDescent="0.25">
      <c r="A55" s="1124" t="s">
        <v>33</v>
      </c>
      <c r="B55" s="1125" t="s">
        <v>34</v>
      </c>
      <c r="C55" s="1125" t="s">
        <v>35</v>
      </c>
      <c r="D55" s="28" t="s">
        <v>36</v>
      </c>
      <c r="E55" s="43">
        <f>E56</f>
        <v>6000</v>
      </c>
      <c r="F55" s="43">
        <f>F56</f>
        <v>5606.09</v>
      </c>
      <c r="G55" s="245">
        <f t="shared" si="1"/>
        <v>0.93434833333333334</v>
      </c>
      <c r="H55" s="55">
        <v>0</v>
      </c>
      <c r="I55" s="8">
        <v>0</v>
      </c>
      <c r="J55" s="245"/>
      <c r="K55" s="248">
        <f t="shared" si="4"/>
        <v>6000</v>
      </c>
      <c r="L55" s="225">
        <f t="shared" si="5"/>
        <v>5606.09</v>
      </c>
      <c r="M55" s="608">
        <f t="shared" si="3"/>
        <v>0.93434833333333334</v>
      </c>
    </row>
    <row r="56" spans="1:13" x14ac:dyDescent="0.25">
      <c r="A56" s="1124"/>
      <c r="B56" s="1125"/>
      <c r="C56" s="1125"/>
      <c r="D56" s="601" t="s">
        <v>462</v>
      </c>
      <c r="E56" s="43">
        <v>6000</v>
      </c>
      <c r="F56" s="43">
        <v>5606.09</v>
      </c>
      <c r="G56" s="245">
        <f t="shared" si="1"/>
        <v>0.93434833333333334</v>
      </c>
      <c r="H56" s="55"/>
      <c r="I56" s="8"/>
      <c r="J56" s="245"/>
      <c r="K56" s="248">
        <f t="shared" si="4"/>
        <v>6000</v>
      </c>
      <c r="L56" s="225">
        <f t="shared" si="5"/>
        <v>5606.09</v>
      </c>
      <c r="M56" s="608">
        <f t="shared" si="3"/>
        <v>0.93434833333333334</v>
      </c>
    </row>
    <row r="57" spans="1:13" ht="31.5" x14ac:dyDescent="0.25">
      <c r="A57" s="1124" t="s">
        <v>155</v>
      </c>
      <c r="B57" s="1125" t="s">
        <v>173</v>
      </c>
      <c r="C57" s="1125" t="s">
        <v>35</v>
      </c>
      <c r="D57" s="28" t="s">
        <v>156</v>
      </c>
      <c r="E57" s="43">
        <f>E58</f>
        <v>18132201</v>
      </c>
      <c r="F57" s="43">
        <f>F58</f>
        <v>12517205.890000001</v>
      </c>
      <c r="G57" s="245">
        <f t="shared" si="1"/>
        <v>0.69033019708969701</v>
      </c>
      <c r="H57" s="55">
        <f>H58+H59</f>
        <v>900000</v>
      </c>
      <c r="I57" s="55">
        <f>I58+I59</f>
        <v>0</v>
      </c>
      <c r="J57" s="245">
        <f t="shared" si="2"/>
        <v>0</v>
      </c>
      <c r="K57" s="248">
        <f>E57+H57</f>
        <v>19032201</v>
      </c>
      <c r="L57" s="225">
        <f t="shared" si="5"/>
        <v>12517205.890000001</v>
      </c>
      <c r="M57" s="608">
        <f t="shared" si="3"/>
        <v>0.65768567124737709</v>
      </c>
    </row>
    <row r="58" spans="1:13" x14ac:dyDescent="0.25">
      <c r="A58" s="41"/>
      <c r="B58" s="42"/>
      <c r="C58" s="42"/>
      <c r="D58" s="601" t="s">
        <v>462</v>
      </c>
      <c r="E58" s="44">
        <v>18132201</v>
      </c>
      <c r="F58" s="44">
        <v>12517205.890000001</v>
      </c>
      <c r="G58" s="245">
        <f t="shared" si="1"/>
        <v>0.69033019708969701</v>
      </c>
      <c r="H58" s="247"/>
      <c r="I58" s="8"/>
      <c r="J58" s="245"/>
      <c r="K58" s="248">
        <f t="shared" si="4"/>
        <v>18132201</v>
      </c>
      <c r="L58" s="225">
        <f t="shared" si="5"/>
        <v>12517205.890000001</v>
      </c>
      <c r="M58" s="608">
        <f t="shared" si="3"/>
        <v>0.69033019708969701</v>
      </c>
    </row>
    <row r="59" spans="1:13" x14ac:dyDescent="0.25">
      <c r="A59" s="41"/>
      <c r="B59" s="42"/>
      <c r="C59" s="42"/>
      <c r="D59" s="601" t="s">
        <v>465</v>
      </c>
      <c r="E59" s="44"/>
      <c r="F59" s="44"/>
      <c r="G59" s="246"/>
      <c r="H59" s="249">
        <f>H60</f>
        <v>900000</v>
      </c>
      <c r="I59" s="249">
        <f>I60</f>
        <v>0</v>
      </c>
      <c r="J59" s="245">
        <f t="shared" si="2"/>
        <v>0</v>
      </c>
      <c r="K59" s="248">
        <f t="shared" si="4"/>
        <v>900000</v>
      </c>
      <c r="L59" s="225">
        <f t="shared" si="5"/>
        <v>0</v>
      </c>
      <c r="M59" s="608">
        <f t="shared" si="3"/>
        <v>0</v>
      </c>
    </row>
    <row r="60" spans="1:13" x14ac:dyDescent="0.25">
      <c r="A60" s="41"/>
      <c r="B60" s="42"/>
      <c r="C60" s="42"/>
      <c r="D60" s="602" t="s">
        <v>466</v>
      </c>
      <c r="E60" s="44"/>
      <c r="F60" s="44"/>
      <c r="G60" s="246"/>
      <c r="H60" s="1127">
        <v>900000</v>
      </c>
      <c r="I60" s="15">
        <v>0</v>
      </c>
      <c r="J60" s="245">
        <f t="shared" si="2"/>
        <v>0</v>
      </c>
      <c r="K60" s="248">
        <f t="shared" si="4"/>
        <v>900000</v>
      </c>
      <c r="L60" s="225">
        <f t="shared" si="5"/>
        <v>0</v>
      </c>
      <c r="M60" s="608">
        <f t="shared" si="3"/>
        <v>0</v>
      </c>
    </row>
    <row r="61" spans="1:13" ht="31.5" x14ac:dyDescent="0.25">
      <c r="A61" s="41" t="s">
        <v>37</v>
      </c>
      <c r="B61" s="42" t="s">
        <v>38</v>
      </c>
      <c r="C61" s="42" t="s">
        <v>39</v>
      </c>
      <c r="D61" s="37" t="s">
        <v>40</v>
      </c>
      <c r="E61" s="44">
        <f>E62</f>
        <v>3379702</v>
      </c>
      <c r="F61" s="44">
        <f>F62</f>
        <v>2492131.2200000002</v>
      </c>
      <c r="G61" s="246">
        <f t="shared" si="1"/>
        <v>0.73738194077466013</v>
      </c>
      <c r="H61" s="249">
        <v>0</v>
      </c>
      <c r="I61" s="15">
        <v>0</v>
      </c>
      <c r="J61" s="245"/>
      <c r="K61" s="248">
        <f t="shared" si="4"/>
        <v>3379702</v>
      </c>
      <c r="L61" s="225">
        <f t="shared" si="5"/>
        <v>2492131.2200000002</v>
      </c>
      <c r="M61" s="608">
        <f t="shared" si="3"/>
        <v>0.73738194077466013</v>
      </c>
    </row>
    <row r="62" spans="1:13" x14ac:dyDescent="0.25">
      <c r="A62" s="41"/>
      <c r="B62" s="42"/>
      <c r="C62" s="42"/>
      <c r="D62" s="603" t="s">
        <v>462</v>
      </c>
      <c r="E62" s="44">
        <v>3379702</v>
      </c>
      <c r="F62" s="44">
        <v>2492131.2200000002</v>
      </c>
      <c r="G62" s="246">
        <f t="shared" si="1"/>
        <v>0.73738194077466013</v>
      </c>
      <c r="H62" s="249"/>
      <c r="I62" s="15"/>
      <c r="J62" s="245"/>
      <c r="K62" s="250">
        <f t="shared" si="4"/>
        <v>3379702</v>
      </c>
      <c r="L62" s="237">
        <f t="shared" si="5"/>
        <v>2492131.2200000002</v>
      </c>
      <c r="M62" s="609">
        <f t="shared" si="3"/>
        <v>0.73738194077466013</v>
      </c>
    </row>
    <row r="63" spans="1:13" ht="63" x14ac:dyDescent="0.25">
      <c r="A63" s="57" t="s">
        <v>511</v>
      </c>
      <c r="B63" s="1125">
        <v>9800</v>
      </c>
      <c r="C63" s="56" t="s">
        <v>219</v>
      </c>
      <c r="D63" s="37" t="s">
        <v>512</v>
      </c>
      <c r="E63" s="43">
        <f>E64</f>
        <v>37892364</v>
      </c>
      <c r="F63" s="43">
        <f>F64</f>
        <v>37892364</v>
      </c>
      <c r="G63" s="246">
        <f t="shared" si="1"/>
        <v>1</v>
      </c>
      <c r="H63" s="247">
        <f>H65</f>
        <v>36195400</v>
      </c>
      <c r="I63" s="247">
        <f>I65</f>
        <v>29195400</v>
      </c>
      <c r="J63" s="245">
        <f t="shared" si="2"/>
        <v>0.80660525923183612</v>
      </c>
      <c r="K63" s="250">
        <f t="shared" si="4"/>
        <v>74087764</v>
      </c>
      <c r="L63" s="237">
        <f t="shared" si="5"/>
        <v>67087764</v>
      </c>
      <c r="M63" s="609">
        <f t="shared" si="3"/>
        <v>0.90551746169583414</v>
      </c>
    </row>
    <row r="64" spans="1:13" x14ac:dyDescent="0.25">
      <c r="A64" s="1124"/>
      <c r="B64" s="1125"/>
      <c r="C64" s="1125"/>
      <c r="D64" s="601" t="s">
        <v>462</v>
      </c>
      <c r="E64" s="43">
        <v>37892364</v>
      </c>
      <c r="F64" s="43">
        <v>37892364</v>
      </c>
      <c r="G64" s="245">
        <f t="shared" si="1"/>
        <v>1</v>
      </c>
      <c r="H64" s="247"/>
      <c r="I64" s="8"/>
      <c r="J64" s="245"/>
      <c r="K64" s="248">
        <f t="shared" si="4"/>
        <v>37892364</v>
      </c>
      <c r="L64" s="225">
        <f t="shared" si="5"/>
        <v>37892364</v>
      </c>
      <c r="M64" s="608">
        <f t="shared" si="3"/>
        <v>1</v>
      </c>
    </row>
    <row r="65" spans="1:13" x14ac:dyDescent="0.25">
      <c r="A65" s="1124"/>
      <c r="B65" s="1125"/>
      <c r="C65" s="1125"/>
      <c r="D65" s="601" t="s">
        <v>465</v>
      </c>
      <c r="E65" s="43"/>
      <c r="F65" s="43"/>
      <c r="G65" s="245"/>
      <c r="H65" s="247">
        <f>H66</f>
        <v>36195400</v>
      </c>
      <c r="I65" s="247">
        <f>I66</f>
        <v>29195400</v>
      </c>
      <c r="J65" s="245">
        <f t="shared" si="2"/>
        <v>0.80660525923183612</v>
      </c>
      <c r="K65" s="248">
        <f t="shared" si="4"/>
        <v>36195400</v>
      </c>
      <c r="L65" s="225">
        <f t="shared" si="5"/>
        <v>29195400</v>
      </c>
      <c r="M65" s="608">
        <f t="shared" si="3"/>
        <v>0.80660525923183612</v>
      </c>
    </row>
    <row r="66" spans="1:13" ht="16.5" thickBot="1" x14ac:dyDescent="0.3">
      <c r="A66" s="36"/>
      <c r="B66" s="12"/>
      <c r="C66" s="12"/>
      <c r="D66" s="624" t="s">
        <v>466</v>
      </c>
      <c r="E66" s="235"/>
      <c r="F66" s="235"/>
      <c r="G66" s="253"/>
      <c r="H66" s="622">
        <v>36195400</v>
      </c>
      <c r="I66" s="236">
        <v>29195400</v>
      </c>
      <c r="J66" s="244">
        <f t="shared" si="2"/>
        <v>0.80660525923183612</v>
      </c>
      <c r="K66" s="251">
        <f t="shared" si="4"/>
        <v>36195400</v>
      </c>
      <c r="L66" s="625">
        <f t="shared" si="5"/>
        <v>29195400</v>
      </c>
      <c r="M66" s="607">
        <f t="shared" si="3"/>
        <v>0.80660525923183612</v>
      </c>
    </row>
    <row r="67" spans="1:13" ht="48" thickBot="1" x14ac:dyDescent="0.3">
      <c r="A67" s="38" t="s">
        <v>41</v>
      </c>
      <c r="B67" s="39" t="s">
        <v>14</v>
      </c>
      <c r="C67" s="39" t="s">
        <v>14</v>
      </c>
      <c r="D67" s="40" t="s">
        <v>42</v>
      </c>
      <c r="E67" s="58">
        <f>E68</f>
        <v>237500227</v>
      </c>
      <c r="F67" s="58">
        <f>F68</f>
        <v>161583702.84</v>
      </c>
      <c r="G67" s="243">
        <f t="shared" si="1"/>
        <v>0.680351782737454</v>
      </c>
      <c r="H67" s="58">
        <f>H68</f>
        <v>9660508</v>
      </c>
      <c r="I67" s="58">
        <f>I68</f>
        <v>5999903</v>
      </c>
      <c r="J67" s="243">
        <f t="shared" si="2"/>
        <v>0.6210753099112386</v>
      </c>
      <c r="K67" s="241">
        <f>K68</f>
        <v>247160735</v>
      </c>
      <c r="L67" s="241">
        <f>L68</f>
        <v>167583605.84</v>
      </c>
      <c r="M67" s="252">
        <f t="shared" si="3"/>
        <v>0.67803490647493014</v>
      </c>
    </row>
    <row r="68" spans="1:13" s="32" customFormat="1" ht="31.5" x14ac:dyDescent="0.25">
      <c r="A68" s="51" t="s">
        <v>43</v>
      </c>
      <c r="B68" s="52" t="s">
        <v>14</v>
      </c>
      <c r="C68" s="52" t="s">
        <v>14</v>
      </c>
      <c r="D68" s="53" t="s">
        <v>42</v>
      </c>
      <c r="E68" s="45">
        <f>E69+E73+E77+E82+E85+E91+E95+E97+E101+E104+E111+E114+E119+E108</f>
        <v>237500227</v>
      </c>
      <c r="F68" s="45">
        <f>F69+F73+F77+F82+F85+F91+F95+F97+F101+F104+F111+F114+F119+F108</f>
        <v>161583702.84</v>
      </c>
      <c r="G68" s="244">
        <f t="shared" si="1"/>
        <v>0.680351782737454</v>
      </c>
      <c r="H68" s="45">
        <f>H69+H73+H77+H82+H85+H91+H95+H97+H101+H104+H111+H114+H116</f>
        <v>9660508</v>
      </c>
      <c r="I68" s="45">
        <f>I69+I73+I77+I82+I85+I91+I95+I97+I101+I104+I111+I114+I116</f>
        <v>5999903</v>
      </c>
      <c r="J68" s="244">
        <f t="shared" si="2"/>
        <v>0.6210753099112386</v>
      </c>
      <c r="K68" s="242">
        <f>K69+K73+K77+K82+K85+K91+K95+K97+K101+K104+K111+K114+K116+K119+K108</f>
        <v>247160735</v>
      </c>
      <c r="L68" s="242">
        <f>L69+L73+L77+L82+L85+L91+L95+L97+L101+L104+L111+L114+L116+L119+L108</f>
        <v>167583605.84</v>
      </c>
      <c r="M68" s="610">
        <f t="shared" si="3"/>
        <v>0.67803490647493014</v>
      </c>
    </row>
    <row r="69" spans="1:13" ht="47.25" x14ac:dyDescent="0.25">
      <c r="A69" s="1124" t="s">
        <v>174</v>
      </c>
      <c r="B69" s="1125" t="s">
        <v>44</v>
      </c>
      <c r="C69" s="1125" t="s">
        <v>17</v>
      </c>
      <c r="D69" s="28" t="s">
        <v>175</v>
      </c>
      <c r="E69" s="43">
        <f>E70</f>
        <v>4230513</v>
      </c>
      <c r="F69" s="43">
        <f>F70</f>
        <v>3069195.41</v>
      </c>
      <c r="G69" s="245">
        <f t="shared" si="1"/>
        <v>0.72549012613836672</v>
      </c>
      <c r="H69" s="8">
        <v>0</v>
      </c>
      <c r="I69" s="8">
        <v>0</v>
      </c>
      <c r="J69" s="245"/>
      <c r="K69" s="219">
        <f>E69+H69</f>
        <v>4230513</v>
      </c>
      <c r="L69" s="219">
        <f>F69+I69</f>
        <v>3069195.41</v>
      </c>
      <c r="M69" s="609">
        <f t="shared" si="3"/>
        <v>0.72549012613836672</v>
      </c>
    </row>
    <row r="70" spans="1:13" x14ac:dyDescent="0.25">
      <c r="A70" s="1124"/>
      <c r="B70" s="1125"/>
      <c r="C70" s="1125"/>
      <c r="D70" s="601" t="s">
        <v>462</v>
      </c>
      <c r="E70" s="43">
        <v>4230513</v>
      </c>
      <c r="F70" s="43">
        <v>3069195.41</v>
      </c>
      <c r="G70" s="245">
        <f t="shared" si="1"/>
        <v>0.72549012613836672</v>
      </c>
      <c r="H70" s="8"/>
      <c r="I70" s="8"/>
      <c r="J70" s="245"/>
      <c r="K70" s="219">
        <f t="shared" ref="K70:K122" si="7">E70+H70</f>
        <v>4230513</v>
      </c>
      <c r="L70" s="219">
        <f t="shared" ref="L70:L122" si="8">F70+I70</f>
        <v>3069195.41</v>
      </c>
      <c r="M70" s="609">
        <f t="shared" si="3"/>
        <v>0.72549012613836672</v>
      </c>
    </row>
    <row r="71" spans="1:13" x14ac:dyDescent="0.25">
      <c r="A71" s="1124"/>
      <c r="B71" s="1125"/>
      <c r="C71" s="1125"/>
      <c r="D71" s="602" t="s">
        <v>463</v>
      </c>
      <c r="E71" s="43">
        <v>3592103</v>
      </c>
      <c r="F71" s="43">
        <v>2681270.61</v>
      </c>
      <c r="G71" s="245">
        <f t="shared" si="1"/>
        <v>0.74643477929224189</v>
      </c>
      <c r="H71" s="8"/>
      <c r="I71" s="8"/>
      <c r="J71" s="245"/>
      <c r="K71" s="219">
        <f t="shared" si="7"/>
        <v>3592103</v>
      </c>
      <c r="L71" s="219">
        <f t="shared" si="8"/>
        <v>2681270.61</v>
      </c>
      <c r="M71" s="609">
        <f t="shared" si="3"/>
        <v>0.74643477929224189</v>
      </c>
    </row>
    <row r="72" spans="1:13" ht="31.5" x14ac:dyDescent="0.25">
      <c r="A72" s="1124"/>
      <c r="B72" s="1125"/>
      <c r="C72" s="1125"/>
      <c r="D72" s="602" t="s">
        <v>464</v>
      </c>
      <c r="E72" s="43">
        <v>140633</v>
      </c>
      <c r="F72" s="43">
        <v>75738.009999999995</v>
      </c>
      <c r="G72" s="245">
        <f t="shared" si="1"/>
        <v>0.53855076688970582</v>
      </c>
      <c r="H72" s="8"/>
      <c r="I72" s="8"/>
      <c r="J72" s="245"/>
      <c r="K72" s="219">
        <f t="shared" si="7"/>
        <v>140633</v>
      </c>
      <c r="L72" s="219">
        <f t="shared" si="8"/>
        <v>75738.009999999995</v>
      </c>
      <c r="M72" s="609">
        <f t="shared" si="3"/>
        <v>0.53855076688970582</v>
      </c>
    </row>
    <row r="73" spans="1:13" x14ac:dyDescent="0.25">
      <c r="A73" s="1124" t="s">
        <v>45</v>
      </c>
      <c r="B73" s="1125" t="s">
        <v>46</v>
      </c>
      <c r="C73" s="1125" t="s">
        <v>47</v>
      </c>
      <c r="D73" s="28" t="s">
        <v>48</v>
      </c>
      <c r="E73" s="43">
        <f>E74</f>
        <v>77843136</v>
      </c>
      <c r="F73" s="43">
        <f>F74</f>
        <v>52920463.229999997</v>
      </c>
      <c r="G73" s="245">
        <f t="shared" si="1"/>
        <v>0.67983467713839274</v>
      </c>
      <c r="H73" s="8">
        <f>H74</f>
        <v>2382283</v>
      </c>
      <c r="I73" s="8">
        <f>I74</f>
        <v>1635262.48</v>
      </c>
      <c r="J73" s="245">
        <f t="shared" si="2"/>
        <v>0.68642662521623166</v>
      </c>
      <c r="K73" s="219">
        <f t="shared" si="7"/>
        <v>80225419</v>
      </c>
      <c r="L73" s="219">
        <f t="shared" si="8"/>
        <v>54555725.709999993</v>
      </c>
      <c r="M73" s="609">
        <f t="shared" si="3"/>
        <v>0.68003042414773796</v>
      </c>
    </row>
    <row r="74" spans="1:13" x14ac:dyDescent="0.25">
      <c r="A74" s="1124"/>
      <c r="B74" s="1125"/>
      <c r="C74" s="1125"/>
      <c r="D74" s="601" t="s">
        <v>462</v>
      </c>
      <c r="E74" s="43">
        <v>77843136</v>
      </c>
      <c r="F74" s="43">
        <v>52920463.229999997</v>
      </c>
      <c r="G74" s="245">
        <f t="shared" si="1"/>
        <v>0.67983467713839274</v>
      </c>
      <c r="H74" s="8">
        <v>2382283</v>
      </c>
      <c r="I74" s="8">
        <v>1635262.48</v>
      </c>
      <c r="J74" s="245">
        <f t="shared" si="2"/>
        <v>0.68642662521623166</v>
      </c>
      <c r="K74" s="219">
        <f t="shared" si="7"/>
        <v>80225419</v>
      </c>
      <c r="L74" s="219">
        <f t="shared" si="8"/>
        <v>54555725.709999993</v>
      </c>
      <c r="M74" s="609">
        <f t="shared" si="3"/>
        <v>0.68003042414773796</v>
      </c>
    </row>
    <row r="75" spans="1:13" x14ac:dyDescent="0.25">
      <c r="A75" s="1124"/>
      <c r="B75" s="1125"/>
      <c r="C75" s="1125"/>
      <c r="D75" s="602" t="s">
        <v>463</v>
      </c>
      <c r="E75" s="43">
        <v>58664512</v>
      </c>
      <c r="F75" s="43">
        <v>41270711.310000002</v>
      </c>
      <c r="G75" s="245">
        <f t="shared" si="1"/>
        <v>0.7035038714717341</v>
      </c>
      <c r="H75" s="8"/>
      <c r="I75" s="8"/>
      <c r="J75" s="245"/>
      <c r="K75" s="219">
        <f t="shared" si="7"/>
        <v>58664512</v>
      </c>
      <c r="L75" s="219">
        <f t="shared" si="8"/>
        <v>41270711.310000002</v>
      </c>
      <c r="M75" s="609">
        <f t="shared" si="3"/>
        <v>0.7035038714717341</v>
      </c>
    </row>
    <row r="76" spans="1:13" ht="31.5" x14ac:dyDescent="0.25">
      <c r="A76" s="1124"/>
      <c r="B76" s="1125"/>
      <c r="C76" s="1125"/>
      <c r="D76" s="602" t="s">
        <v>464</v>
      </c>
      <c r="E76" s="43">
        <v>8580141</v>
      </c>
      <c r="F76" s="43">
        <v>4961487.57</v>
      </c>
      <c r="G76" s="245">
        <f t="shared" si="1"/>
        <v>0.57825245179537266</v>
      </c>
      <c r="H76" s="8"/>
      <c r="I76" s="8"/>
      <c r="J76" s="245"/>
      <c r="K76" s="219">
        <f t="shared" si="7"/>
        <v>8580141</v>
      </c>
      <c r="L76" s="219">
        <f t="shared" si="8"/>
        <v>4961487.57</v>
      </c>
      <c r="M76" s="609">
        <f t="shared" si="3"/>
        <v>0.57825245179537266</v>
      </c>
    </row>
    <row r="77" spans="1:13" ht="31.5" x14ac:dyDescent="0.25">
      <c r="A77" s="1124" t="s">
        <v>49</v>
      </c>
      <c r="B77" s="1125" t="s">
        <v>50</v>
      </c>
      <c r="C77" s="1125" t="s">
        <v>51</v>
      </c>
      <c r="D77" s="28" t="s">
        <v>52</v>
      </c>
      <c r="E77" s="43">
        <f>E78</f>
        <v>64039240</v>
      </c>
      <c r="F77" s="43">
        <f>F78</f>
        <v>40163598.990000002</v>
      </c>
      <c r="G77" s="245">
        <f t="shared" si="1"/>
        <v>0.62717169957045094</v>
      </c>
      <c r="H77" s="8">
        <f>H78</f>
        <v>6581445</v>
      </c>
      <c r="I77" s="8">
        <f>I78+I81</f>
        <v>3716727.02</v>
      </c>
      <c r="J77" s="245">
        <f t="shared" si="2"/>
        <v>0.5647281136589305</v>
      </c>
      <c r="K77" s="219">
        <f t="shared" si="7"/>
        <v>70620685</v>
      </c>
      <c r="L77" s="219">
        <f t="shared" si="8"/>
        <v>43880326.010000005</v>
      </c>
      <c r="M77" s="609">
        <f t="shared" si="3"/>
        <v>0.62135231356082155</v>
      </c>
    </row>
    <row r="78" spans="1:13" x14ac:dyDescent="0.25">
      <c r="A78" s="1124"/>
      <c r="B78" s="1125"/>
      <c r="C78" s="1125"/>
      <c r="D78" s="601" t="s">
        <v>462</v>
      </c>
      <c r="E78" s="43">
        <v>64039240</v>
      </c>
      <c r="F78" s="43">
        <v>40163598.990000002</v>
      </c>
      <c r="G78" s="245">
        <f t="shared" si="1"/>
        <v>0.62717169957045094</v>
      </c>
      <c r="H78" s="8">
        <v>6581445</v>
      </c>
      <c r="I78" s="8">
        <v>3665196.4</v>
      </c>
      <c r="J78" s="245">
        <f t="shared" si="2"/>
        <v>0.55689843187932131</v>
      </c>
      <c r="K78" s="219">
        <f t="shared" si="7"/>
        <v>70620685</v>
      </c>
      <c r="L78" s="219">
        <f t="shared" si="8"/>
        <v>43828795.390000001</v>
      </c>
      <c r="M78" s="609">
        <f t="shared" si="3"/>
        <v>0.62062263188186295</v>
      </c>
    </row>
    <row r="79" spans="1:13" x14ac:dyDescent="0.25">
      <c r="A79" s="1124"/>
      <c r="B79" s="1125"/>
      <c r="C79" s="1125"/>
      <c r="D79" s="602" t="s">
        <v>463</v>
      </c>
      <c r="E79" s="43">
        <v>30648810</v>
      </c>
      <c r="F79" s="43">
        <v>21871856.850000001</v>
      </c>
      <c r="G79" s="245">
        <f t="shared" si="1"/>
        <v>0.71362825669251106</v>
      </c>
      <c r="H79" s="8">
        <v>1183367</v>
      </c>
      <c r="I79" s="8">
        <v>770091.65</v>
      </c>
      <c r="J79" s="245">
        <f t="shared" si="2"/>
        <v>0.65076316138611268</v>
      </c>
      <c r="K79" s="219">
        <f t="shared" si="7"/>
        <v>31832177</v>
      </c>
      <c r="L79" s="219">
        <f t="shared" si="8"/>
        <v>22641948.5</v>
      </c>
      <c r="M79" s="609">
        <f t="shared" si="3"/>
        <v>0.71129123528057792</v>
      </c>
    </row>
    <row r="80" spans="1:13" ht="31.5" x14ac:dyDescent="0.25">
      <c r="A80" s="1124"/>
      <c r="B80" s="1125"/>
      <c r="C80" s="1125"/>
      <c r="D80" s="602" t="s">
        <v>464</v>
      </c>
      <c r="E80" s="43">
        <v>15457756</v>
      </c>
      <c r="F80" s="43">
        <v>9284642.1099999994</v>
      </c>
      <c r="G80" s="245">
        <f t="shared" si="1"/>
        <v>0.60064618111451618</v>
      </c>
      <c r="H80" s="8">
        <v>55353</v>
      </c>
      <c r="I80" s="8">
        <v>30346.13</v>
      </c>
      <c r="J80" s="245">
        <f t="shared" si="2"/>
        <v>0.5482291836034181</v>
      </c>
      <c r="K80" s="219">
        <f t="shared" si="7"/>
        <v>15513109</v>
      </c>
      <c r="L80" s="219">
        <f t="shared" si="8"/>
        <v>9314988.2400000002</v>
      </c>
      <c r="M80" s="609">
        <f t="shared" si="3"/>
        <v>0.60045914974232439</v>
      </c>
    </row>
    <row r="81" spans="1:13" x14ac:dyDescent="0.25">
      <c r="A81" s="1124"/>
      <c r="B81" s="1125"/>
      <c r="C81" s="1125"/>
      <c r="D81" s="601" t="s">
        <v>465</v>
      </c>
      <c r="E81" s="43"/>
      <c r="F81" s="43"/>
      <c r="G81" s="245"/>
      <c r="H81" s="8">
        <v>0</v>
      </c>
      <c r="I81" s="8">
        <v>51530.62</v>
      </c>
      <c r="J81" s="245"/>
      <c r="K81" s="219">
        <f t="shared" si="7"/>
        <v>0</v>
      </c>
      <c r="L81" s="219">
        <f t="shared" si="8"/>
        <v>51530.62</v>
      </c>
      <c r="M81" s="609"/>
    </row>
    <row r="82" spans="1:13" ht="31.5" x14ac:dyDescent="0.25">
      <c r="A82" s="64" t="s">
        <v>176</v>
      </c>
      <c r="B82" s="65" t="s">
        <v>177</v>
      </c>
      <c r="C82" s="65" t="s">
        <v>51</v>
      </c>
      <c r="D82" s="34" t="s">
        <v>52</v>
      </c>
      <c r="E82" s="43">
        <f>E83</f>
        <v>75510600</v>
      </c>
      <c r="F82" s="43">
        <f>F83</f>
        <v>54520700.539999999</v>
      </c>
      <c r="G82" s="245">
        <f t="shared" si="1"/>
        <v>0.72202711327946012</v>
      </c>
      <c r="H82" s="8">
        <v>0</v>
      </c>
      <c r="I82" s="8">
        <v>0</v>
      </c>
      <c r="J82" s="245"/>
      <c r="K82" s="219">
        <f t="shared" si="7"/>
        <v>75510600</v>
      </c>
      <c r="L82" s="219">
        <f t="shared" si="8"/>
        <v>54520700.539999999</v>
      </c>
      <c r="M82" s="609">
        <f t="shared" si="3"/>
        <v>0.72202711327946012</v>
      </c>
    </row>
    <row r="83" spans="1:13" x14ac:dyDescent="0.25">
      <c r="A83" s="64"/>
      <c r="B83" s="65"/>
      <c r="C83" s="65"/>
      <c r="D83" s="601" t="s">
        <v>462</v>
      </c>
      <c r="E83" s="43">
        <f>E84</f>
        <v>75510600</v>
      </c>
      <c r="F83" s="8">
        <f>F84</f>
        <v>54520700.539999999</v>
      </c>
      <c r="G83" s="245">
        <f t="shared" si="1"/>
        <v>0.72202711327946012</v>
      </c>
      <c r="H83" s="8">
        <v>0</v>
      </c>
      <c r="I83" s="8">
        <v>0</v>
      </c>
      <c r="J83" s="245"/>
      <c r="K83" s="219">
        <f t="shared" si="7"/>
        <v>75510600</v>
      </c>
      <c r="L83" s="219">
        <f t="shared" si="8"/>
        <v>54520700.539999999</v>
      </c>
      <c r="M83" s="609">
        <f t="shared" si="3"/>
        <v>0.72202711327946012</v>
      </c>
    </row>
    <row r="84" spans="1:13" x14ac:dyDescent="0.25">
      <c r="A84" s="64"/>
      <c r="B84" s="65"/>
      <c r="C84" s="65"/>
      <c r="D84" s="602" t="s">
        <v>463</v>
      </c>
      <c r="E84" s="43">
        <v>75510600</v>
      </c>
      <c r="F84" s="8">
        <v>54520700.539999999</v>
      </c>
      <c r="G84" s="245">
        <f t="shared" si="1"/>
        <v>0.72202711327946012</v>
      </c>
      <c r="H84" s="8">
        <v>0</v>
      </c>
      <c r="I84" s="8">
        <v>0</v>
      </c>
      <c r="J84" s="245"/>
      <c r="K84" s="219">
        <f t="shared" si="7"/>
        <v>75510600</v>
      </c>
      <c r="L84" s="219">
        <f t="shared" si="8"/>
        <v>54520700.539999999</v>
      </c>
      <c r="M84" s="609">
        <f t="shared" si="3"/>
        <v>0.72202711327946012</v>
      </c>
    </row>
    <row r="85" spans="1:13" ht="47.25" x14ac:dyDescent="0.25">
      <c r="A85" s="1124" t="s">
        <v>53</v>
      </c>
      <c r="B85" s="1125" t="s">
        <v>54</v>
      </c>
      <c r="C85" s="1125" t="s">
        <v>55</v>
      </c>
      <c r="D85" s="28" t="s">
        <v>56</v>
      </c>
      <c r="E85" s="43">
        <f>E86</f>
        <v>5469873</v>
      </c>
      <c r="F85" s="43">
        <f>F86</f>
        <v>3496369.87</v>
      </c>
      <c r="G85" s="245">
        <f t="shared" si="1"/>
        <v>0.63920494497769875</v>
      </c>
      <c r="H85" s="8">
        <f>H89+H90</f>
        <v>0</v>
      </c>
      <c r="I85" s="8">
        <f>I89+I90</f>
        <v>222895</v>
      </c>
      <c r="J85" s="245"/>
      <c r="K85" s="219">
        <f t="shared" si="7"/>
        <v>5469873</v>
      </c>
      <c r="L85" s="219">
        <f t="shared" si="8"/>
        <v>3719264.87</v>
      </c>
      <c r="M85" s="609">
        <f t="shared" si="3"/>
        <v>0.67995451996783107</v>
      </c>
    </row>
    <row r="86" spans="1:13" x14ac:dyDescent="0.25">
      <c r="A86" s="1124"/>
      <c r="B86" s="1125"/>
      <c r="C86" s="1125"/>
      <c r="D86" s="601" t="s">
        <v>462</v>
      </c>
      <c r="E86" s="43">
        <v>5469873</v>
      </c>
      <c r="F86" s="43">
        <v>3496369.87</v>
      </c>
      <c r="G86" s="245">
        <f t="shared" si="1"/>
        <v>0.63920494497769875</v>
      </c>
      <c r="H86" s="8">
        <v>0</v>
      </c>
      <c r="I86" s="8">
        <v>0</v>
      </c>
      <c r="J86" s="245"/>
      <c r="K86" s="219">
        <f t="shared" si="7"/>
        <v>5469873</v>
      </c>
      <c r="L86" s="219">
        <f t="shared" si="8"/>
        <v>3496369.87</v>
      </c>
      <c r="M86" s="609">
        <f t="shared" si="3"/>
        <v>0.63920494497769875</v>
      </c>
    </row>
    <row r="87" spans="1:13" x14ac:dyDescent="0.25">
      <c r="A87" s="1124"/>
      <c r="B87" s="1125"/>
      <c r="C87" s="1125"/>
      <c r="D87" s="602" t="s">
        <v>463</v>
      </c>
      <c r="E87" s="43">
        <v>4804311</v>
      </c>
      <c r="F87" s="43">
        <v>3150142.73</v>
      </c>
      <c r="G87" s="245">
        <f t="shared" si="1"/>
        <v>0.655690843078227</v>
      </c>
      <c r="H87" s="8">
        <v>0</v>
      </c>
      <c r="I87" s="8">
        <v>0</v>
      </c>
      <c r="J87" s="245"/>
      <c r="K87" s="219">
        <f t="shared" si="7"/>
        <v>4804311</v>
      </c>
      <c r="L87" s="219">
        <f t="shared" si="8"/>
        <v>3150142.73</v>
      </c>
      <c r="M87" s="609">
        <f t="shared" si="3"/>
        <v>0.655690843078227</v>
      </c>
    </row>
    <row r="88" spans="1:13" ht="31.5" x14ac:dyDescent="0.25">
      <c r="A88" s="1124"/>
      <c r="B88" s="1125"/>
      <c r="C88" s="1125"/>
      <c r="D88" s="602" t="s">
        <v>464</v>
      </c>
      <c r="E88" s="43">
        <v>244601</v>
      </c>
      <c r="F88" s="43">
        <v>140642.09</v>
      </c>
      <c r="G88" s="245">
        <f t="shared" si="1"/>
        <v>0.57498575230681803</v>
      </c>
      <c r="H88" s="8">
        <v>0</v>
      </c>
      <c r="I88" s="8">
        <v>0</v>
      </c>
      <c r="J88" s="245"/>
      <c r="K88" s="219">
        <f t="shared" si="7"/>
        <v>244601</v>
      </c>
      <c r="L88" s="219">
        <f t="shared" si="8"/>
        <v>140642.09</v>
      </c>
      <c r="M88" s="609">
        <f t="shared" si="3"/>
        <v>0.57498575230681803</v>
      </c>
    </row>
    <row r="89" spans="1:13" x14ac:dyDescent="0.25">
      <c r="A89" s="1124"/>
      <c r="B89" s="1125"/>
      <c r="C89" s="1125"/>
      <c r="D89" s="601" t="s">
        <v>462</v>
      </c>
      <c r="E89" s="43"/>
      <c r="F89" s="43"/>
      <c r="G89" s="245"/>
      <c r="H89" s="8">
        <v>0</v>
      </c>
      <c r="I89" s="8">
        <v>155895</v>
      </c>
      <c r="J89" s="245"/>
      <c r="K89" s="219">
        <f t="shared" si="7"/>
        <v>0</v>
      </c>
      <c r="L89" s="219">
        <f t="shared" si="8"/>
        <v>155895</v>
      </c>
      <c r="M89" s="609"/>
    </row>
    <row r="90" spans="1:13" x14ac:dyDescent="0.25">
      <c r="A90" s="1124"/>
      <c r="B90" s="1125"/>
      <c r="C90" s="1125"/>
      <c r="D90" s="601" t="s">
        <v>465</v>
      </c>
      <c r="E90" s="43"/>
      <c r="F90" s="43"/>
      <c r="G90" s="245"/>
      <c r="H90" s="8">
        <v>0</v>
      </c>
      <c r="I90" s="8">
        <v>67000</v>
      </c>
      <c r="J90" s="245"/>
      <c r="K90" s="219">
        <f t="shared" si="7"/>
        <v>0</v>
      </c>
      <c r="L90" s="219">
        <f t="shared" si="8"/>
        <v>67000</v>
      </c>
      <c r="M90" s="609"/>
    </row>
    <row r="91" spans="1:13" ht="31.5" x14ac:dyDescent="0.25">
      <c r="A91" s="1124" t="s">
        <v>178</v>
      </c>
      <c r="B91" s="1125" t="s">
        <v>179</v>
      </c>
      <c r="C91" s="1125" t="s">
        <v>57</v>
      </c>
      <c r="D91" s="28" t="s">
        <v>180</v>
      </c>
      <c r="E91" s="43">
        <f>E92</f>
        <v>4258888</v>
      </c>
      <c r="F91" s="43">
        <f>F92</f>
        <v>3047282.77</v>
      </c>
      <c r="G91" s="245">
        <f t="shared" si="1"/>
        <v>0.71551136587766573</v>
      </c>
      <c r="H91" s="8">
        <v>0</v>
      </c>
      <c r="I91" s="8">
        <v>0</v>
      </c>
      <c r="J91" s="245"/>
      <c r="K91" s="219">
        <f t="shared" si="7"/>
        <v>4258888</v>
      </c>
      <c r="L91" s="219">
        <f t="shared" si="8"/>
        <v>3047282.77</v>
      </c>
      <c r="M91" s="609">
        <f t="shared" si="3"/>
        <v>0.71551136587766573</v>
      </c>
    </row>
    <row r="92" spans="1:13" x14ac:dyDescent="0.25">
      <c r="A92" s="1124"/>
      <c r="B92" s="1125"/>
      <c r="C92" s="1125"/>
      <c r="D92" s="601" t="s">
        <v>462</v>
      </c>
      <c r="E92" s="43">
        <v>4258888</v>
      </c>
      <c r="F92" s="43">
        <v>3047282.77</v>
      </c>
      <c r="G92" s="245">
        <f t="shared" si="1"/>
        <v>0.71551136587766573</v>
      </c>
      <c r="H92" s="8"/>
      <c r="I92" s="8">
        <v>0</v>
      </c>
      <c r="J92" s="245"/>
      <c r="K92" s="219">
        <f t="shared" si="7"/>
        <v>4258888</v>
      </c>
      <c r="L92" s="219">
        <f t="shared" si="8"/>
        <v>3047282.77</v>
      </c>
      <c r="M92" s="609">
        <f t="shared" si="3"/>
        <v>0.71551136587766573</v>
      </c>
    </row>
    <row r="93" spans="1:13" x14ac:dyDescent="0.25">
      <c r="A93" s="1124"/>
      <c r="B93" s="1125"/>
      <c r="C93" s="1125"/>
      <c r="D93" s="602" t="s">
        <v>463</v>
      </c>
      <c r="E93" s="43">
        <v>3899966</v>
      </c>
      <c r="F93" s="43">
        <v>2815902.28</v>
      </c>
      <c r="G93" s="245">
        <f t="shared" si="1"/>
        <v>0.72203252028351006</v>
      </c>
      <c r="H93" s="8"/>
      <c r="I93" s="8">
        <v>0</v>
      </c>
      <c r="J93" s="245"/>
      <c r="K93" s="219">
        <f t="shared" si="7"/>
        <v>3899966</v>
      </c>
      <c r="L93" s="219">
        <f t="shared" si="8"/>
        <v>2815902.28</v>
      </c>
      <c r="M93" s="609">
        <f t="shared" si="3"/>
        <v>0.72203252028351006</v>
      </c>
    </row>
    <row r="94" spans="1:13" ht="31.5" x14ac:dyDescent="0.25">
      <c r="A94" s="1124"/>
      <c r="B94" s="1125"/>
      <c r="C94" s="1125"/>
      <c r="D94" s="602" t="s">
        <v>464</v>
      </c>
      <c r="E94" s="43">
        <v>170008</v>
      </c>
      <c r="F94" s="43">
        <v>87240.15</v>
      </c>
      <c r="G94" s="245">
        <f t="shared" si="1"/>
        <v>0.51315320455507973</v>
      </c>
      <c r="H94" s="8"/>
      <c r="I94" s="8">
        <v>0</v>
      </c>
      <c r="J94" s="245"/>
      <c r="K94" s="219">
        <f t="shared" si="7"/>
        <v>170008</v>
      </c>
      <c r="L94" s="219">
        <f t="shared" si="8"/>
        <v>87240.15</v>
      </c>
      <c r="M94" s="609">
        <f t="shared" si="3"/>
        <v>0.51315320455507973</v>
      </c>
    </row>
    <row r="95" spans="1:13" x14ac:dyDescent="0.25">
      <c r="A95" s="1124" t="s">
        <v>58</v>
      </c>
      <c r="B95" s="1125" t="s">
        <v>59</v>
      </c>
      <c r="C95" s="1125" t="s">
        <v>57</v>
      </c>
      <c r="D95" s="28" t="s">
        <v>60</v>
      </c>
      <c r="E95" s="43">
        <f>E96</f>
        <v>69480</v>
      </c>
      <c r="F95" s="43">
        <f>F96</f>
        <v>60430</v>
      </c>
      <c r="G95" s="245">
        <f t="shared" si="1"/>
        <v>0.86974668969487623</v>
      </c>
      <c r="H95" s="8">
        <v>0</v>
      </c>
      <c r="I95" s="8"/>
      <c r="J95" s="245"/>
      <c r="K95" s="219">
        <f t="shared" si="7"/>
        <v>69480</v>
      </c>
      <c r="L95" s="219">
        <f t="shared" si="8"/>
        <v>60430</v>
      </c>
      <c r="M95" s="609">
        <f t="shared" si="3"/>
        <v>0.86974668969487623</v>
      </c>
    </row>
    <row r="96" spans="1:13" x14ac:dyDescent="0.25">
      <c r="A96" s="1124"/>
      <c r="B96" s="1125"/>
      <c r="C96" s="1125"/>
      <c r="D96" s="601" t="s">
        <v>462</v>
      </c>
      <c r="E96" s="43">
        <v>69480</v>
      </c>
      <c r="F96" s="43">
        <v>60430</v>
      </c>
      <c r="G96" s="245">
        <f t="shared" si="1"/>
        <v>0.86974668969487623</v>
      </c>
      <c r="H96" s="8"/>
      <c r="I96" s="8"/>
      <c r="J96" s="245"/>
      <c r="K96" s="219">
        <f t="shared" si="7"/>
        <v>69480</v>
      </c>
      <c r="L96" s="219">
        <f t="shared" si="8"/>
        <v>60430</v>
      </c>
      <c r="M96" s="609">
        <f t="shared" si="3"/>
        <v>0.86974668969487623</v>
      </c>
    </row>
    <row r="97" spans="1:13" ht="47.25" x14ac:dyDescent="0.25">
      <c r="A97" s="1124" t="s">
        <v>61</v>
      </c>
      <c r="B97" s="1125" t="s">
        <v>62</v>
      </c>
      <c r="C97" s="1125" t="s">
        <v>57</v>
      </c>
      <c r="D97" s="28" t="s">
        <v>63</v>
      </c>
      <c r="E97" s="43">
        <f>E98</f>
        <v>1188020</v>
      </c>
      <c r="F97" s="43">
        <f>F98</f>
        <v>657579.56000000006</v>
      </c>
      <c r="G97" s="245">
        <f t="shared" si="1"/>
        <v>0.5535088298176799</v>
      </c>
      <c r="H97" s="8">
        <v>0</v>
      </c>
      <c r="I97" s="8">
        <f>I98</f>
        <v>100684.5</v>
      </c>
      <c r="J97" s="245"/>
      <c r="K97" s="219">
        <f t="shared" si="7"/>
        <v>1188020</v>
      </c>
      <c r="L97" s="219">
        <f t="shared" si="8"/>
        <v>758264.06</v>
      </c>
      <c r="M97" s="609">
        <f t="shared" si="3"/>
        <v>0.638258665679029</v>
      </c>
    </row>
    <row r="98" spans="1:13" x14ac:dyDescent="0.25">
      <c r="A98" s="1124"/>
      <c r="B98" s="1125"/>
      <c r="C98" s="1125"/>
      <c r="D98" s="601" t="s">
        <v>462</v>
      </c>
      <c r="E98" s="43">
        <v>1188020</v>
      </c>
      <c r="F98" s="43">
        <v>657579.56000000006</v>
      </c>
      <c r="G98" s="245">
        <f t="shared" si="1"/>
        <v>0.5535088298176799</v>
      </c>
      <c r="H98" s="8"/>
      <c r="I98" s="8">
        <v>100684.5</v>
      </c>
      <c r="J98" s="245"/>
      <c r="K98" s="219">
        <f t="shared" si="7"/>
        <v>1188020</v>
      </c>
      <c r="L98" s="219">
        <f t="shared" si="8"/>
        <v>758264.06</v>
      </c>
      <c r="M98" s="609">
        <f t="shared" si="3"/>
        <v>0.638258665679029</v>
      </c>
    </row>
    <row r="99" spans="1:13" x14ac:dyDescent="0.25">
      <c r="A99" s="1124"/>
      <c r="B99" s="1125"/>
      <c r="C99" s="1125"/>
      <c r="D99" s="602" t="s">
        <v>463</v>
      </c>
      <c r="E99" s="43">
        <v>690594</v>
      </c>
      <c r="F99" s="43">
        <v>482062.77</v>
      </c>
      <c r="G99" s="245">
        <f t="shared" si="1"/>
        <v>0.69804077359490524</v>
      </c>
      <c r="H99" s="8"/>
      <c r="I99" s="8"/>
      <c r="J99" s="245"/>
      <c r="K99" s="219">
        <f t="shared" si="7"/>
        <v>690594</v>
      </c>
      <c r="L99" s="219">
        <f t="shared" si="8"/>
        <v>482062.77</v>
      </c>
      <c r="M99" s="609">
        <f t="shared" si="3"/>
        <v>0.69804077359490524</v>
      </c>
    </row>
    <row r="100" spans="1:13" ht="31.5" x14ac:dyDescent="0.25">
      <c r="A100" s="1124"/>
      <c r="B100" s="1125"/>
      <c r="C100" s="1125"/>
      <c r="D100" s="602" t="s">
        <v>464</v>
      </c>
      <c r="E100" s="43">
        <v>443408</v>
      </c>
      <c r="F100" s="43">
        <v>129470.46</v>
      </c>
      <c r="G100" s="245">
        <f t="shared" si="1"/>
        <v>0.29198945440767871</v>
      </c>
      <c r="H100" s="8"/>
      <c r="I100" s="8"/>
      <c r="J100" s="245"/>
      <c r="K100" s="219">
        <f t="shared" si="7"/>
        <v>443408</v>
      </c>
      <c r="L100" s="219">
        <f t="shared" si="8"/>
        <v>129470.46</v>
      </c>
      <c r="M100" s="609">
        <f t="shared" si="3"/>
        <v>0.29198945440767871</v>
      </c>
    </row>
    <row r="101" spans="1:13" ht="47.25" x14ac:dyDescent="0.25">
      <c r="A101" s="1123" t="s">
        <v>254</v>
      </c>
      <c r="B101" s="69" t="s">
        <v>255</v>
      </c>
      <c r="C101" s="69" t="s">
        <v>57</v>
      </c>
      <c r="D101" s="28" t="s">
        <v>256</v>
      </c>
      <c r="E101" s="43">
        <f>E102</f>
        <v>1766200</v>
      </c>
      <c r="F101" s="43">
        <f>F102</f>
        <v>1244116.19</v>
      </c>
      <c r="G101" s="245">
        <f t="shared" si="1"/>
        <v>0.7044027799796172</v>
      </c>
      <c r="H101" s="8"/>
      <c r="I101" s="8"/>
      <c r="J101" s="245"/>
      <c r="K101" s="219">
        <f t="shared" si="7"/>
        <v>1766200</v>
      </c>
      <c r="L101" s="219">
        <f t="shared" si="8"/>
        <v>1244116.19</v>
      </c>
      <c r="M101" s="609">
        <f t="shared" ref="M101:M182" si="9">L101/K101</f>
        <v>0.7044027799796172</v>
      </c>
    </row>
    <row r="102" spans="1:13" x14ac:dyDescent="0.25">
      <c r="A102" s="9"/>
      <c r="B102" s="10"/>
      <c r="C102" s="10"/>
      <c r="D102" s="601" t="s">
        <v>462</v>
      </c>
      <c r="E102" s="44">
        <v>1766200</v>
      </c>
      <c r="F102" s="44">
        <v>1244116.19</v>
      </c>
      <c r="G102" s="245">
        <f t="shared" si="1"/>
        <v>0.7044027799796172</v>
      </c>
      <c r="H102" s="15"/>
      <c r="I102" s="15"/>
      <c r="J102" s="245"/>
      <c r="K102" s="219">
        <f t="shared" si="7"/>
        <v>1766200</v>
      </c>
      <c r="L102" s="219">
        <f t="shared" si="8"/>
        <v>1244116.19</v>
      </c>
      <c r="M102" s="609">
        <f t="shared" si="9"/>
        <v>0.7044027799796172</v>
      </c>
    </row>
    <row r="103" spans="1:13" x14ac:dyDescent="0.25">
      <c r="A103" s="9"/>
      <c r="B103" s="10"/>
      <c r="C103" s="10"/>
      <c r="D103" s="602" t="s">
        <v>463</v>
      </c>
      <c r="E103" s="44">
        <v>1766200</v>
      </c>
      <c r="F103" s="44">
        <v>1244116.19</v>
      </c>
      <c r="G103" s="245">
        <f t="shared" si="1"/>
        <v>0.7044027799796172</v>
      </c>
      <c r="H103" s="15"/>
      <c r="I103" s="15"/>
      <c r="J103" s="245"/>
      <c r="K103" s="219">
        <f t="shared" si="7"/>
        <v>1766200</v>
      </c>
      <c r="L103" s="219">
        <f t="shared" si="8"/>
        <v>1244116.19</v>
      </c>
      <c r="M103" s="609">
        <f t="shared" si="9"/>
        <v>0.7044027799796172</v>
      </c>
    </row>
    <row r="104" spans="1:13" ht="47.25" x14ac:dyDescent="0.25">
      <c r="A104" s="41" t="s">
        <v>64</v>
      </c>
      <c r="B104" s="42" t="s">
        <v>65</v>
      </c>
      <c r="C104" s="42" t="s">
        <v>57</v>
      </c>
      <c r="D104" s="37" t="s">
        <v>66</v>
      </c>
      <c r="E104" s="44">
        <f>E105</f>
        <v>1558497</v>
      </c>
      <c r="F104" s="44">
        <f>F105</f>
        <v>1083923.57</v>
      </c>
      <c r="G104" s="246">
        <f t="shared" si="1"/>
        <v>0.69549288192405889</v>
      </c>
      <c r="H104" s="15">
        <v>0</v>
      </c>
      <c r="I104" s="15"/>
      <c r="J104" s="246"/>
      <c r="K104" s="219">
        <f t="shared" si="7"/>
        <v>1558497</v>
      </c>
      <c r="L104" s="219">
        <f t="shared" si="8"/>
        <v>1083923.57</v>
      </c>
      <c r="M104" s="609">
        <f t="shared" si="9"/>
        <v>0.69549288192405889</v>
      </c>
    </row>
    <row r="105" spans="1:13" x14ac:dyDescent="0.25">
      <c r="A105" s="1124"/>
      <c r="B105" s="1125"/>
      <c r="C105" s="1125"/>
      <c r="D105" s="601" t="s">
        <v>462</v>
      </c>
      <c r="E105" s="43">
        <v>1558497</v>
      </c>
      <c r="F105" s="43">
        <v>1083923.57</v>
      </c>
      <c r="G105" s="245">
        <f t="shared" si="1"/>
        <v>0.69549288192405889</v>
      </c>
      <c r="H105" s="8"/>
      <c r="I105" s="8"/>
      <c r="J105" s="245"/>
      <c r="K105" s="219">
        <f t="shared" si="7"/>
        <v>1558497</v>
      </c>
      <c r="L105" s="219">
        <f t="shared" si="8"/>
        <v>1083923.57</v>
      </c>
      <c r="M105" s="609">
        <f t="shared" si="9"/>
        <v>0.69549288192405889</v>
      </c>
    </row>
    <row r="106" spans="1:13" x14ac:dyDescent="0.25">
      <c r="A106" s="1124"/>
      <c r="B106" s="1125"/>
      <c r="C106" s="1125"/>
      <c r="D106" s="602" t="s">
        <v>463</v>
      </c>
      <c r="E106" s="43">
        <v>1452012</v>
      </c>
      <c r="F106" s="43">
        <v>1003253.28</v>
      </c>
      <c r="G106" s="245">
        <f t="shared" si="1"/>
        <v>0.69094007487541431</v>
      </c>
      <c r="H106" s="8"/>
      <c r="I106" s="8"/>
      <c r="J106" s="245"/>
      <c r="K106" s="219">
        <f t="shared" si="7"/>
        <v>1452012</v>
      </c>
      <c r="L106" s="219">
        <f t="shared" si="8"/>
        <v>1003253.28</v>
      </c>
      <c r="M106" s="609">
        <f t="shared" si="9"/>
        <v>0.69094007487541431</v>
      </c>
    </row>
    <row r="107" spans="1:13" ht="31.5" x14ac:dyDescent="0.25">
      <c r="A107" s="41"/>
      <c r="B107" s="42"/>
      <c r="C107" s="42"/>
      <c r="D107" s="604" t="s">
        <v>464</v>
      </c>
      <c r="E107" s="44">
        <v>38669</v>
      </c>
      <c r="F107" s="44">
        <v>27026.44</v>
      </c>
      <c r="G107" s="246">
        <f t="shared" si="1"/>
        <v>0.69891747911763946</v>
      </c>
      <c r="H107" s="15"/>
      <c r="I107" s="15"/>
      <c r="J107" s="246"/>
      <c r="K107" s="222">
        <f t="shared" si="7"/>
        <v>38669</v>
      </c>
      <c r="L107" s="222">
        <f t="shared" si="8"/>
        <v>27026.44</v>
      </c>
      <c r="M107" s="609">
        <f t="shared" si="9"/>
        <v>0.69891747911763946</v>
      </c>
    </row>
    <row r="108" spans="1:13" ht="63" x14ac:dyDescent="0.25">
      <c r="A108" s="57" t="s">
        <v>626</v>
      </c>
      <c r="B108" s="42">
        <v>1200</v>
      </c>
      <c r="C108" s="42" t="s">
        <v>57</v>
      </c>
      <c r="D108" s="37" t="s">
        <v>627</v>
      </c>
      <c r="E108" s="887">
        <f>E109</f>
        <v>292110</v>
      </c>
      <c r="F108" s="44">
        <f>F109</f>
        <v>205637.74</v>
      </c>
      <c r="G108" s="246">
        <f t="shared" si="1"/>
        <v>0.70397364006709795</v>
      </c>
      <c r="H108" s="15"/>
      <c r="I108" s="15"/>
      <c r="J108" s="246"/>
      <c r="K108" s="222">
        <f t="shared" si="7"/>
        <v>292110</v>
      </c>
      <c r="L108" s="222">
        <f t="shared" si="8"/>
        <v>205637.74</v>
      </c>
      <c r="M108" s="609">
        <f t="shared" si="9"/>
        <v>0.70397364006709795</v>
      </c>
    </row>
    <row r="109" spans="1:13" x14ac:dyDescent="0.25">
      <c r="A109" s="41"/>
      <c r="B109" s="42"/>
      <c r="C109" s="42"/>
      <c r="D109" s="601" t="s">
        <v>462</v>
      </c>
      <c r="E109" s="44">
        <v>292110</v>
      </c>
      <c r="F109" s="44">
        <v>205637.74</v>
      </c>
      <c r="G109" s="246">
        <f t="shared" si="1"/>
        <v>0.70397364006709795</v>
      </c>
      <c r="H109" s="15"/>
      <c r="I109" s="15"/>
      <c r="J109" s="246"/>
      <c r="K109" s="222">
        <f t="shared" si="7"/>
        <v>292110</v>
      </c>
      <c r="L109" s="222">
        <f t="shared" si="8"/>
        <v>205637.74</v>
      </c>
      <c r="M109" s="609">
        <f t="shared" si="9"/>
        <v>0.70397364006709795</v>
      </c>
    </row>
    <row r="110" spans="1:13" x14ac:dyDescent="0.25">
      <c r="A110" s="41"/>
      <c r="B110" s="42"/>
      <c r="C110" s="42"/>
      <c r="D110" s="602" t="s">
        <v>463</v>
      </c>
      <c r="E110" s="44">
        <v>292110</v>
      </c>
      <c r="F110" s="44">
        <v>205637.74</v>
      </c>
      <c r="G110" s="246">
        <f t="shared" si="1"/>
        <v>0.70397364006709795</v>
      </c>
      <c r="H110" s="15"/>
      <c r="I110" s="15"/>
      <c r="J110" s="246"/>
      <c r="K110" s="222">
        <f t="shared" si="7"/>
        <v>292110</v>
      </c>
      <c r="L110" s="222">
        <f t="shared" si="8"/>
        <v>205637.74</v>
      </c>
      <c r="M110" s="609">
        <f t="shared" si="9"/>
        <v>0.70397364006709795</v>
      </c>
    </row>
    <row r="111" spans="1:13" ht="78.75" x14ac:dyDescent="0.25">
      <c r="A111" s="57" t="s">
        <v>513</v>
      </c>
      <c r="B111" s="1125">
        <v>1210</v>
      </c>
      <c r="C111" s="42" t="s">
        <v>57</v>
      </c>
      <c r="D111" s="37" t="s">
        <v>514</v>
      </c>
      <c r="E111" s="43">
        <f>E112</f>
        <v>110550</v>
      </c>
      <c r="F111" s="43">
        <f>F112</f>
        <v>110550</v>
      </c>
      <c r="G111" s="246">
        <f t="shared" si="1"/>
        <v>1</v>
      </c>
      <c r="H111" s="8"/>
      <c r="I111" s="8"/>
      <c r="J111" s="245"/>
      <c r="K111" s="222">
        <f t="shared" si="7"/>
        <v>110550</v>
      </c>
      <c r="L111" s="222">
        <f t="shared" si="8"/>
        <v>110550</v>
      </c>
      <c r="M111" s="609">
        <f t="shared" si="9"/>
        <v>1</v>
      </c>
    </row>
    <row r="112" spans="1:13" x14ac:dyDescent="0.25">
      <c r="A112" s="57"/>
      <c r="B112" s="1125"/>
      <c r="C112" s="42"/>
      <c r="D112" s="601" t="s">
        <v>462</v>
      </c>
      <c r="E112" s="43">
        <f>E113</f>
        <v>110550</v>
      </c>
      <c r="F112" s="43">
        <f>F113</f>
        <v>110550</v>
      </c>
      <c r="G112" s="246">
        <f t="shared" si="1"/>
        <v>1</v>
      </c>
      <c r="H112" s="8"/>
      <c r="I112" s="8"/>
      <c r="J112" s="245"/>
      <c r="K112" s="222">
        <f t="shared" si="7"/>
        <v>110550</v>
      </c>
      <c r="L112" s="222">
        <f t="shared" si="8"/>
        <v>110550</v>
      </c>
      <c r="M112" s="609">
        <f t="shared" si="9"/>
        <v>1</v>
      </c>
    </row>
    <row r="113" spans="1:13" x14ac:dyDescent="0.25">
      <c r="A113" s="41"/>
      <c r="B113" s="42"/>
      <c r="C113" s="42"/>
      <c r="D113" s="604" t="s">
        <v>463</v>
      </c>
      <c r="E113" s="44">
        <v>110550</v>
      </c>
      <c r="F113" s="44">
        <v>110550</v>
      </c>
      <c r="G113" s="246">
        <f t="shared" si="1"/>
        <v>1</v>
      </c>
      <c r="H113" s="15"/>
      <c r="I113" s="15"/>
      <c r="J113" s="246"/>
      <c r="K113" s="222">
        <f t="shared" si="7"/>
        <v>110550</v>
      </c>
      <c r="L113" s="222">
        <f t="shared" si="8"/>
        <v>110550</v>
      </c>
      <c r="M113" s="609">
        <f t="shared" si="9"/>
        <v>1</v>
      </c>
    </row>
    <row r="114" spans="1:13" ht="126" x14ac:dyDescent="0.25">
      <c r="A114" s="57" t="s">
        <v>515</v>
      </c>
      <c r="B114" s="1125">
        <v>1291</v>
      </c>
      <c r="C114" s="42" t="s">
        <v>57</v>
      </c>
      <c r="D114" s="37" t="s">
        <v>516</v>
      </c>
      <c r="E114" s="43">
        <f>E115</f>
        <v>298620</v>
      </c>
      <c r="F114" s="43">
        <f>F115</f>
        <v>139356</v>
      </c>
      <c r="G114" s="246">
        <f t="shared" si="1"/>
        <v>0.46666666666666667</v>
      </c>
      <c r="H114" s="8"/>
      <c r="I114" s="8"/>
      <c r="J114" s="245"/>
      <c r="K114" s="222">
        <f t="shared" si="7"/>
        <v>298620</v>
      </c>
      <c r="L114" s="222">
        <f t="shared" si="8"/>
        <v>139356</v>
      </c>
      <c r="M114" s="609">
        <f t="shared" si="9"/>
        <v>0.46666666666666667</v>
      </c>
    </row>
    <row r="115" spans="1:13" x14ac:dyDescent="0.25">
      <c r="A115" s="1124"/>
      <c r="B115" s="1125"/>
      <c r="C115" s="1125"/>
      <c r="D115" s="601" t="s">
        <v>462</v>
      </c>
      <c r="E115" s="43">
        <v>298620</v>
      </c>
      <c r="F115" s="43">
        <v>139356</v>
      </c>
      <c r="G115" s="246">
        <f t="shared" si="1"/>
        <v>0.46666666666666667</v>
      </c>
      <c r="H115" s="8"/>
      <c r="I115" s="8"/>
      <c r="J115" s="245"/>
      <c r="K115" s="222">
        <f t="shared" si="7"/>
        <v>298620</v>
      </c>
      <c r="L115" s="222">
        <f t="shared" si="8"/>
        <v>139356</v>
      </c>
      <c r="M115" s="609">
        <f t="shared" si="9"/>
        <v>0.46666666666666667</v>
      </c>
    </row>
    <row r="116" spans="1:13" ht="110.25" x14ac:dyDescent="0.25">
      <c r="A116" s="57" t="s">
        <v>522</v>
      </c>
      <c r="B116" s="1125">
        <v>1292</v>
      </c>
      <c r="C116" s="1125">
        <v>990</v>
      </c>
      <c r="D116" s="37" t="s">
        <v>523</v>
      </c>
      <c r="E116" s="43"/>
      <c r="F116" s="43"/>
      <c r="G116" s="246"/>
      <c r="H116" s="8">
        <f>H117+H118</f>
        <v>696780</v>
      </c>
      <c r="I116" s="8">
        <f>I117+I118</f>
        <v>324334</v>
      </c>
      <c r="J116" s="245">
        <f>I116/H116</f>
        <v>0.46547547288957775</v>
      </c>
      <c r="K116" s="222">
        <f t="shared" si="7"/>
        <v>696780</v>
      </c>
      <c r="L116" s="222">
        <f t="shared" si="8"/>
        <v>324334</v>
      </c>
      <c r="M116" s="609">
        <f t="shared" si="9"/>
        <v>0.46547547288957775</v>
      </c>
    </row>
    <row r="117" spans="1:13" x14ac:dyDescent="0.25">
      <c r="A117" s="1124"/>
      <c r="B117" s="1125"/>
      <c r="C117" s="1125"/>
      <c r="D117" s="601" t="s">
        <v>462</v>
      </c>
      <c r="E117" s="43"/>
      <c r="F117" s="43"/>
      <c r="G117" s="246"/>
      <c r="H117" s="8">
        <v>301938</v>
      </c>
      <c r="I117" s="8">
        <v>115800</v>
      </c>
      <c r="J117" s="245">
        <f t="shared" ref="J117:J118" si="10">I117/H117</f>
        <v>0.383522445005266</v>
      </c>
      <c r="K117" s="222">
        <f t="shared" si="7"/>
        <v>301938</v>
      </c>
      <c r="L117" s="222">
        <f t="shared" si="8"/>
        <v>115800</v>
      </c>
      <c r="M117" s="609">
        <f t="shared" si="9"/>
        <v>0.383522445005266</v>
      </c>
    </row>
    <row r="118" spans="1:13" x14ac:dyDescent="0.25">
      <c r="A118" s="1124"/>
      <c r="B118" s="1125"/>
      <c r="C118" s="1125"/>
      <c r="D118" s="601" t="s">
        <v>465</v>
      </c>
      <c r="E118" s="43"/>
      <c r="F118" s="43"/>
      <c r="G118" s="246"/>
      <c r="H118" s="8">
        <v>394842</v>
      </c>
      <c r="I118" s="8">
        <v>208534</v>
      </c>
      <c r="J118" s="245">
        <f t="shared" si="10"/>
        <v>0.52814543538934566</v>
      </c>
      <c r="K118" s="222">
        <f t="shared" si="7"/>
        <v>394842</v>
      </c>
      <c r="L118" s="222">
        <f t="shared" si="8"/>
        <v>208534</v>
      </c>
      <c r="M118" s="609">
        <f t="shared" si="9"/>
        <v>0.52814543538934566</v>
      </c>
    </row>
    <row r="119" spans="1:13" ht="108.6" customHeight="1" x14ac:dyDescent="0.25">
      <c r="A119" s="57" t="s">
        <v>517</v>
      </c>
      <c r="B119" s="1125">
        <v>3140</v>
      </c>
      <c r="C119" s="1125">
        <v>1040</v>
      </c>
      <c r="D119" s="37" t="s">
        <v>518</v>
      </c>
      <c r="E119" s="43">
        <f>E120</f>
        <v>864500</v>
      </c>
      <c r="F119" s="43">
        <f>F120</f>
        <v>864498.97</v>
      </c>
      <c r="G119" s="246">
        <f t="shared" si="1"/>
        <v>0.99999880855986112</v>
      </c>
      <c r="H119" s="8"/>
      <c r="I119" s="8"/>
      <c r="J119" s="245"/>
      <c r="K119" s="222">
        <f t="shared" si="7"/>
        <v>864500</v>
      </c>
      <c r="L119" s="222">
        <f t="shared" si="8"/>
        <v>864498.97</v>
      </c>
      <c r="M119" s="609">
        <f t="shared" si="9"/>
        <v>0.99999880855986112</v>
      </c>
    </row>
    <row r="120" spans="1:13" x14ac:dyDescent="0.25">
      <c r="A120" s="1124"/>
      <c r="B120" s="1125"/>
      <c r="C120" s="1125"/>
      <c r="D120" s="601" t="s">
        <v>462</v>
      </c>
      <c r="E120" s="43">
        <v>864500</v>
      </c>
      <c r="F120" s="43">
        <v>864498.97</v>
      </c>
      <c r="G120" s="245">
        <f t="shared" si="1"/>
        <v>0.99999880855986112</v>
      </c>
      <c r="H120" s="8"/>
      <c r="I120" s="8"/>
      <c r="J120" s="245"/>
      <c r="K120" s="8">
        <f t="shared" si="7"/>
        <v>864500</v>
      </c>
      <c r="L120" s="8">
        <f t="shared" si="8"/>
        <v>864498.97</v>
      </c>
      <c r="M120" s="608">
        <f t="shared" si="9"/>
        <v>0.99999880855986112</v>
      </c>
    </row>
    <row r="121" spans="1:13" x14ac:dyDescent="0.25">
      <c r="A121" s="1124"/>
      <c r="B121" s="1125"/>
      <c r="C121" s="1125"/>
      <c r="D121" s="602" t="s">
        <v>463</v>
      </c>
      <c r="E121" s="43">
        <v>309144</v>
      </c>
      <c r="F121" s="43">
        <v>309143.53000000003</v>
      </c>
      <c r="G121" s="245">
        <f t="shared" si="1"/>
        <v>0.99999847967290334</v>
      </c>
      <c r="H121" s="8"/>
      <c r="I121" s="8"/>
      <c r="J121" s="245"/>
      <c r="K121" s="8">
        <f t="shared" si="7"/>
        <v>309144</v>
      </c>
      <c r="L121" s="8">
        <f t="shared" si="8"/>
        <v>309143.53000000003</v>
      </c>
      <c r="M121" s="608">
        <f t="shared" si="9"/>
        <v>0.99999847967290334</v>
      </c>
    </row>
    <row r="122" spans="1:13" ht="51.6" customHeight="1" thickBot="1" x14ac:dyDescent="0.3">
      <c r="A122" s="41"/>
      <c r="B122" s="42"/>
      <c r="C122" s="42"/>
      <c r="D122" s="604" t="s">
        <v>464</v>
      </c>
      <c r="E122" s="44">
        <v>9157.0400000000009</v>
      </c>
      <c r="F122" s="44">
        <v>9157.0400000000009</v>
      </c>
      <c r="G122" s="246">
        <f t="shared" si="1"/>
        <v>1</v>
      </c>
      <c r="H122" s="15"/>
      <c r="I122" s="15"/>
      <c r="J122" s="246"/>
      <c r="K122" s="15">
        <f t="shared" si="7"/>
        <v>9157.0400000000009</v>
      </c>
      <c r="L122" s="15">
        <f t="shared" si="8"/>
        <v>9157.0400000000009</v>
      </c>
      <c r="M122" s="609">
        <f t="shared" si="9"/>
        <v>1</v>
      </c>
    </row>
    <row r="123" spans="1:13" ht="48" thickBot="1" x14ac:dyDescent="0.3">
      <c r="A123" s="38" t="s">
        <v>68</v>
      </c>
      <c r="B123" s="39" t="s">
        <v>14</v>
      </c>
      <c r="C123" s="39" t="s">
        <v>14</v>
      </c>
      <c r="D123" s="40" t="s">
        <v>69</v>
      </c>
      <c r="E123" s="58">
        <f>E124</f>
        <v>38994174</v>
      </c>
      <c r="F123" s="58">
        <f>F124</f>
        <v>22832269.199999999</v>
      </c>
      <c r="G123" s="243">
        <f t="shared" si="1"/>
        <v>0.58553026921406259</v>
      </c>
      <c r="H123" s="58">
        <f>H124</f>
        <v>2304282</v>
      </c>
      <c r="I123" s="58">
        <f>I124</f>
        <v>2376798.92</v>
      </c>
      <c r="J123" s="243">
        <f t="shared" si="2"/>
        <v>1.0314705057801086</v>
      </c>
      <c r="K123" s="241">
        <f>K124</f>
        <v>41298456</v>
      </c>
      <c r="L123" s="241">
        <f>L124</f>
        <v>25209068.119999997</v>
      </c>
      <c r="M123" s="252">
        <f t="shared" si="9"/>
        <v>0.61041187883634196</v>
      </c>
    </row>
    <row r="124" spans="1:13" ht="47.25" x14ac:dyDescent="0.25">
      <c r="A124" s="51" t="s">
        <v>70</v>
      </c>
      <c r="B124" s="52" t="s">
        <v>14</v>
      </c>
      <c r="C124" s="52" t="s">
        <v>14</v>
      </c>
      <c r="D124" s="53" t="s">
        <v>69</v>
      </c>
      <c r="E124" s="46">
        <f>E125+E131+E133+E135+E141+E143+E145+E147+E152+E156</f>
        <v>38994174</v>
      </c>
      <c r="F124" s="46">
        <f>F125+F131+F133+F135+F141+F143+F145+F147+F152+F156</f>
        <v>22832269.199999999</v>
      </c>
      <c r="G124" s="244">
        <f t="shared" si="1"/>
        <v>0.58553026921406259</v>
      </c>
      <c r="H124" s="46">
        <f>H125+H131+H133+H135+H141+H143+H145+H147+H152+H156+H149</f>
        <v>2304282</v>
      </c>
      <c r="I124" s="46">
        <f>I125+I131+I133+I135+I141+I143+I145+I147+I152+I156+I149</f>
        <v>2376798.92</v>
      </c>
      <c r="J124" s="244">
        <f t="shared" si="2"/>
        <v>1.0314705057801086</v>
      </c>
      <c r="K124" s="242">
        <f>K125+K131+K133+K135+K141+K143+K145+K147+K152+K156+K149</f>
        <v>41298456</v>
      </c>
      <c r="L124" s="242">
        <f>L125+L131+L133+L135+L141+L143+L145+L147+L152+L156+L149</f>
        <v>25209068.119999997</v>
      </c>
      <c r="M124" s="610">
        <f t="shared" si="9"/>
        <v>0.61041187883634196</v>
      </c>
    </row>
    <row r="125" spans="1:13" ht="47.25" x14ac:dyDescent="0.25">
      <c r="A125" s="1124" t="s">
        <v>181</v>
      </c>
      <c r="B125" s="1125" t="s">
        <v>44</v>
      </c>
      <c r="C125" s="1125" t="s">
        <v>17</v>
      </c>
      <c r="D125" s="28" t="s">
        <v>175</v>
      </c>
      <c r="E125" s="43">
        <f>E126</f>
        <v>8297992</v>
      </c>
      <c r="F125" s="43">
        <f>F126</f>
        <v>5727887.6299999999</v>
      </c>
      <c r="G125" s="245">
        <f t="shared" si="1"/>
        <v>0.69027393976759677</v>
      </c>
      <c r="H125" s="8">
        <f>H129</f>
        <v>46000</v>
      </c>
      <c r="I125" s="8">
        <f>I129</f>
        <v>46000</v>
      </c>
      <c r="J125" s="245">
        <f t="shared" si="2"/>
        <v>1</v>
      </c>
      <c r="K125" s="219">
        <f>E125+H125</f>
        <v>8343992</v>
      </c>
      <c r="L125" s="219">
        <f>F125+I125</f>
        <v>5773887.6299999999</v>
      </c>
      <c r="M125" s="609">
        <f t="shared" si="9"/>
        <v>0.69198144365430836</v>
      </c>
    </row>
    <row r="126" spans="1:13" x14ac:dyDescent="0.25">
      <c r="A126" s="1124"/>
      <c r="B126" s="1125"/>
      <c r="C126" s="1125"/>
      <c r="D126" s="601" t="s">
        <v>462</v>
      </c>
      <c r="E126" s="43">
        <v>8297992</v>
      </c>
      <c r="F126" s="43">
        <v>5727887.6299999999</v>
      </c>
      <c r="G126" s="245">
        <f t="shared" si="1"/>
        <v>0.69027393976759677</v>
      </c>
      <c r="H126" s="8"/>
      <c r="I126" s="8"/>
      <c r="J126" s="245"/>
      <c r="K126" s="219">
        <f t="shared" ref="K126:K157" si="11">E126+H126</f>
        <v>8297992</v>
      </c>
      <c r="L126" s="219">
        <f t="shared" ref="L126:L157" si="12">F126+I126</f>
        <v>5727887.6299999999</v>
      </c>
      <c r="M126" s="609">
        <f t="shared" si="9"/>
        <v>0.69027393976759677</v>
      </c>
    </row>
    <row r="127" spans="1:13" x14ac:dyDescent="0.25">
      <c r="A127" s="1124"/>
      <c r="B127" s="1125"/>
      <c r="C127" s="1125"/>
      <c r="D127" s="602" t="s">
        <v>463</v>
      </c>
      <c r="E127" s="43">
        <v>7888588</v>
      </c>
      <c r="F127" s="43">
        <v>5464826.5099999998</v>
      </c>
      <c r="G127" s="245">
        <f t="shared" si="1"/>
        <v>0.69275090928820215</v>
      </c>
      <c r="H127" s="8"/>
      <c r="I127" s="8"/>
      <c r="J127" s="245"/>
      <c r="K127" s="219">
        <f t="shared" si="11"/>
        <v>7888588</v>
      </c>
      <c r="L127" s="219">
        <f t="shared" si="12"/>
        <v>5464826.5099999998</v>
      </c>
      <c r="M127" s="609">
        <f t="shared" si="9"/>
        <v>0.69275090928820215</v>
      </c>
    </row>
    <row r="128" spans="1:13" ht="31.5" x14ac:dyDescent="0.25">
      <c r="A128" s="1124"/>
      <c r="B128" s="1125"/>
      <c r="C128" s="1125"/>
      <c r="D128" s="602" t="s">
        <v>464</v>
      </c>
      <c r="E128" s="43">
        <v>175849</v>
      </c>
      <c r="F128" s="43">
        <v>99159.79</v>
      </c>
      <c r="G128" s="245">
        <f t="shared" si="1"/>
        <v>0.56389169116685334</v>
      </c>
      <c r="H128" s="8"/>
      <c r="I128" s="8"/>
      <c r="J128" s="245"/>
      <c r="K128" s="219">
        <f t="shared" si="11"/>
        <v>175849</v>
      </c>
      <c r="L128" s="219">
        <f t="shared" si="12"/>
        <v>99159.79</v>
      </c>
      <c r="M128" s="609">
        <f t="shared" si="9"/>
        <v>0.56389169116685334</v>
      </c>
    </row>
    <row r="129" spans="1:13" x14ac:dyDescent="0.25">
      <c r="A129" s="1124"/>
      <c r="B129" s="1125"/>
      <c r="C129" s="1125"/>
      <c r="D129" s="601" t="s">
        <v>465</v>
      </c>
      <c r="E129" s="43"/>
      <c r="F129" s="43"/>
      <c r="G129" s="245"/>
      <c r="H129" s="8">
        <f>H130</f>
        <v>46000</v>
      </c>
      <c r="I129" s="8">
        <f>I130</f>
        <v>46000</v>
      </c>
      <c r="J129" s="245">
        <f t="shared" si="2"/>
        <v>1</v>
      </c>
      <c r="K129" s="219">
        <f t="shared" si="11"/>
        <v>46000</v>
      </c>
      <c r="L129" s="219">
        <f t="shared" si="12"/>
        <v>46000</v>
      </c>
      <c r="M129" s="609">
        <f t="shared" si="9"/>
        <v>1</v>
      </c>
    </row>
    <row r="130" spans="1:13" x14ac:dyDescent="0.25">
      <c r="A130" s="1124"/>
      <c r="B130" s="1125"/>
      <c r="C130" s="1125"/>
      <c r="D130" s="602" t="s">
        <v>466</v>
      </c>
      <c r="E130" s="43"/>
      <c r="F130" s="43"/>
      <c r="G130" s="245"/>
      <c r="H130" s="8">
        <v>46000</v>
      </c>
      <c r="I130" s="8">
        <v>46000</v>
      </c>
      <c r="J130" s="245">
        <f t="shared" si="2"/>
        <v>1</v>
      </c>
      <c r="K130" s="219">
        <f t="shared" si="11"/>
        <v>46000</v>
      </c>
      <c r="L130" s="219">
        <f t="shared" si="12"/>
        <v>46000</v>
      </c>
      <c r="M130" s="609">
        <f t="shared" si="9"/>
        <v>1</v>
      </c>
    </row>
    <row r="131" spans="1:13" ht="31.5" x14ac:dyDescent="0.25">
      <c r="A131" s="1124" t="s">
        <v>71</v>
      </c>
      <c r="B131" s="1125" t="s">
        <v>72</v>
      </c>
      <c r="C131" s="1125" t="s">
        <v>73</v>
      </c>
      <c r="D131" s="28" t="s">
        <v>74</v>
      </c>
      <c r="E131" s="43">
        <f>E132</f>
        <v>12750</v>
      </c>
      <c r="F131" s="43">
        <f>F132</f>
        <v>5230.8500000000004</v>
      </c>
      <c r="G131" s="245">
        <f t="shared" si="1"/>
        <v>0.41026274509803923</v>
      </c>
      <c r="H131" s="8">
        <v>0</v>
      </c>
      <c r="I131" s="8">
        <v>0</v>
      </c>
      <c r="J131" s="245"/>
      <c r="K131" s="219">
        <f t="shared" si="11"/>
        <v>12750</v>
      </c>
      <c r="L131" s="219">
        <f t="shared" si="12"/>
        <v>5230.8500000000004</v>
      </c>
      <c r="M131" s="609">
        <f t="shared" si="9"/>
        <v>0.41026274509803923</v>
      </c>
    </row>
    <row r="132" spans="1:13" x14ac:dyDescent="0.25">
      <c r="A132" s="1124"/>
      <c r="B132" s="1125"/>
      <c r="C132" s="1125"/>
      <c r="D132" s="601" t="s">
        <v>462</v>
      </c>
      <c r="E132" s="43">
        <v>12750</v>
      </c>
      <c r="F132" s="43">
        <v>5230.8500000000004</v>
      </c>
      <c r="G132" s="245">
        <f t="shared" si="1"/>
        <v>0.41026274509803923</v>
      </c>
      <c r="H132" s="8"/>
      <c r="I132" s="8"/>
      <c r="J132" s="245"/>
      <c r="K132" s="219">
        <f t="shared" si="11"/>
        <v>12750</v>
      </c>
      <c r="L132" s="219">
        <f t="shared" si="12"/>
        <v>5230.8500000000004</v>
      </c>
      <c r="M132" s="609">
        <f t="shared" si="9"/>
        <v>0.41026274509803923</v>
      </c>
    </row>
    <row r="133" spans="1:13" ht="31.5" x14ac:dyDescent="0.25">
      <c r="A133" s="1124" t="s">
        <v>75</v>
      </c>
      <c r="B133" s="1125" t="s">
        <v>76</v>
      </c>
      <c r="C133" s="1125" t="s">
        <v>54</v>
      </c>
      <c r="D133" s="28" t="s">
        <v>77</v>
      </c>
      <c r="E133" s="43">
        <f>E134</f>
        <v>8400</v>
      </c>
      <c r="F133" s="43">
        <f>F134</f>
        <v>5404.64</v>
      </c>
      <c r="G133" s="245">
        <f t="shared" si="1"/>
        <v>0.64340952380952388</v>
      </c>
      <c r="H133" s="8">
        <v>0</v>
      </c>
      <c r="I133" s="8">
        <v>0</v>
      </c>
      <c r="J133" s="245"/>
      <c r="K133" s="219">
        <f t="shared" si="11"/>
        <v>8400</v>
      </c>
      <c r="L133" s="219">
        <f t="shared" si="12"/>
        <v>5404.64</v>
      </c>
      <c r="M133" s="609">
        <f t="shared" si="9"/>
        <v>0.64340952380952388</v>
      </c>
    </row>
    <row r="134" spans="1:13" x14ac:dyDescent="0.25">
      <c r="A134" s="1124"/>
      <c r="B134" s="1125"/>
      <c r="C134" s="1125"/>
      <c r="D134" s="601" t="s">
        <v>462</v>
      </c>
      <c r="E134" s="43">
        <v>8400</v>
      </c>
      <c r="F134" s="43">
        <v>5404.64</v>
      </c>
      <c r="G134" s="245">
        <f t="shared" si="1"/>
        <v>0.64340952380952388</v>
      </c>
      <c r="H134" s="8"/>
      <c r="I134" s="8"/>
      <c r="J134" s="245"/>
      <c r="K134" s="219">
        <f t="shared" si="11"/>
        <v>8400</v>
      </c>
      <c r="L134" s="219">
        <f t="shared" si="12"/>
        <v>5404.64</v>
      </c>
      <c r="M134" s="609">
        <f t="shared" si="9"/>
        <v>0.64340952380952388</v>
      </c>
    </row>
    <row r="135" spans="1:13" ht="31.5" x14ac:dyDescent="0.25">
      <c r="A135" s="1124" t="s">
        <v>182</v>
      </c>
      <c r="B135" s="1125" t="s">
        <v>183</v>
      </c>
      <c r="C135" s="1125" t="s">
        <v>46</v>
      </c>
      <c r="D135" s="28" t="s">
        <v>184</v>
      </c>
      <c r="E135" s="43">
        <f>E136</f>
        <v>4376131</v>
      </c>
      <c r="F135" s="43">
        <f>F136</f>
        <v>2902925.97</v>
      </c>
      <c r="G135" s="245">
        <f t="shared" si="1"/>
        <v>0.66335444939833843</v>
      </c>
      <c r="H135" s="8">
        <f>H139</f>
        <v>80500</v>
      </c>
      <c r="I135" s="8">
        <f>I139</f>
        <v>72869</v>
      </c>
      <c r="J135" s="245">
        <f t="shared" si="2"/>
        <v>0.90520496894409941</v>
      </c>
      <c r="K135" s="219">
        <f t="shared" si="11"/>
        <v>4456631</v>
      </c>
      <c r="L135" s="219">
        <f t="shared" si="12"/>
        <v>2975794.97</v>
      </c>
      <c r="M135" s="609">
        <f t="shared" si="9"/>
        <v>0.66772298850858425</v>
      </c>
    </row>
    <row r="136" spans="1:13" x14ac:dyDescent="0.25">
      <c r="A136" s="1124"/>
      <c r="B136" s="1125"/>
      <c r="C136" s="1125"/>
      <c r="D136" s="601" t="s">
        <v>462</v>
      </c>
      <c r="E136" s="43">
        <v>4376131</v>
      </c>
      <c r="F136" s="43">
        <v>2902925.97</v>
      </c>
      <c r="G136" s="245">
        <f t="shared" si="1"/>
        <v>0.66335444939833843</v>
      </c>
      <c r="H136" s="8"/>
      <c r="I136" s="8"/>
      <c r="J136" s="245"/>
      <c r="K136" s="219">
        <f t="shared" si="11"/>
        <v>4376131</v>
      </c>
      <c r="L136" s="219">
        <f t="shared" si="12"/>
        <v>2902925.97</v>
      </c>
      <c r="M136" s="609">
        <f t="shared" si="9"/>
        <v>0.66335444939833843</v>
      </c>
    </row>
    <row r="137" spans="1:13" x14ac:dyDescent="0.25">
      <c r="A137" s="1124"/>
      <c r="B137" s="1125"/>
      <c r="C137" s="1125"/>
      <c r="D137" s="602" t="s">
        <v>463</v>
      </c>
      <c r="E137" s="43">
        <v>4118841</v>
      </c>
      <c r="F137" s="43">
        <v>2722385.2</v>
      </c>
      <c r="G137" s="245">
        <f t="shared" si="1"/>
        <v>0.66095904163331387</v>
      </c>
      <c r="H137" s="8"/>
      <c r="I137" s="8"/>
      <c r="J137" s="245"/>
      <c r="K137" s="219">
        <f t="shared" si="11"/>
        <v>4118841</v>
      </c>
      <c r="L137" s="219">
        <f t="shared" si="12"/>
        <v>2722385.2</v>
      </c>
      <c r="M137" s="609">
        <f t="shared" si="9"/>
        <v>0.66095904163331387</v>
      </c>
    </row>
    <row r="138" spans="1:13" ht="31.5" x14ac:dyDescent="0.25">
      <c r="A138" s="1124"/>
      <c r="B138" s="1125"/>
      <c r="C138" s="1125"/>
      <c r="D138" s="602" t="s">
        <v>464</v>
      </c>
      <c r="E138" s="43">
        <v>88416</v>
      </c>
      <c r="F138" s="43">
        <v>23455.29</v>
      </c>
      <c r="G138" s="245">
        <f t="shared" si="1"/>
        <v>0.26528331976112923</v>
      </c>
      <c r="H138" s="8"/>
      <c r="I138" s="8"/>
      <c r="J138" s="245"/>
      <c r="K138" s="219">
        <f t="shared" si="11"/>
        <v>88416</v>
      </c>
      <c r="L138" s="219">
        <f t="shared" si="12"/>
        <v>23455.29</v>
      </c>
      <c r="M138" s="609">
        <f t="shared" si="9"/>
        <v>0.26528331976112923</v>
      </c>
    </row>
    <row r="139" spans="1:13" x14ac:dyDescent="0.25">
      <c r="A139" s="1124"/>
      <c r="B139" s="1125"/>
      <c r="C139" s="1125"/>
      <c r="D139" s="601" t="s">
        <v>465</v>
      </c>
      <c r="E139" s="43"/>
      <c r="F139" s="43"/>
      <c r="G139" s="245"/>
      <c r="H139" s="8">
        <f>H140</f>
        <v>80500</v>
      </c>
      <c r="I139" s="8">
        <f>I140</f>
        <v>72869</v>
      </c>
      <c r="J139" s="245">
        <f t="shared" si="2"/>
        <v>0.90520496894409941</v>
      </c>
      <c r="K139" s="219">
        <f t="shared" si="11"/>
        <v>80500</v>
      </c>
      <c r="L139" s="219">
        <f t="shared" si="12"/>
        <v>72869</v>
      </c>
      <c r="M139" s="609">
        <f t="shared" si="9"/>
        <v>0.90520496894409941</v>
      </c>
    </row>
    <row r="140" spans="1:13" x14ac:dyDescent="0.25">
      <c r="A140" s="1124"/>
      <c r="B140" s="1125"/>
      <c r="C140" s="1125"/>
      <c r="D140" s="602" t="s">
        <v>466</v>
      </c>
      <c r="E140" s="43"/>
      <c r="F140" s="43"/>
      <c r="G140" s="245"/>
      <c r="H140" s="8">
        <v>80500</v>
      </c>
      <c r="I140" s="8">
        <v>72869</v>
      </c>
      <c r="J140" s="245">
        <f>I140/H140</f>
        <v>0.90520496894409941</v>
      </c>
      <c r="K140" s="219">
        <f t="shared" si="11"/>
        <v>80500</v>
      </c>
      <c r="L140" s="219">
        <f t="shared" si="12"/>
        <v>72869</v>
      </c>
      <c r="M140" s="609">
        <f t="shared" si="9"/>
        <v>0.90520496894409941</v>
      </c>
    </row>
    <row r="141" spans="1:13" ht="47.25" x14ac:dyDescent="0.25">
      <c r="A141" s="70" t="s">
        <v>257</v>
      </c>
      <c r="B141" s="35" t="s">
        <v>258</v>
      </c>
      <c r="C141" s="69" t="s">
        <v>54</v>
      </c>
      <c r="D141" s="28" t="s">
        <v>259</v>
      </c>
      <c r="E141" s="43">
        <f>E142</f>
        <v>28193</v>
      </c>
      <c r="F141" s="43">
        <f>F142</f>
        <v>13180.31</v>
      </c>
      <c r="G141" s="245">
        <f t="shared" si="1"/>
        <v>0.46750292625829104</v>
      </c>
      <c r="H141" s="8">
        <v>0</v>
      </c>
      <c r="I141" s="8">
        <v>0</v>
      </c>
      <c r="J141" s="245"/>
      <c r="K141" s="219">
        <f t="shared" si="11"/>
        <v>28193</v>
      </c>
      <c r="L141" s="219">
        <f t="shared" si="12"/>
        <v>13180.31</v>
      </c>
      <c r="M141" s="609">
        <f t="shared" si="9"/>
        <v>0.46750292625829104</v>
      </c>
    </row>
    <row r="142" spans="1:13" x14ac:dyDescent="0.25">
      <c r="A142" s="70"/>
      <c r="B142" s="35"/>
      <c r="C142" s="69"/>
      <c r="D142" s="601" t="s">
        <v>462</v>
      </c>
      <c r="E142" s="43">
        <v>28193</v>
      </c>
      <c r="F142" s="43">
        <v>13180.31</v>
      </c>
      <c r="G142" s="245">
        <f t="shared" si="1"/>
        <v>0.46750292625829104</v>
      </c>
      <c r="H142" s="8"/>
      <c r="I142" s="8"/>
      <c r="J142" s="245"/>
      <c r="K142" s="219">
        <f t="shared" si="11"/>
        <v>28193</v>
      </c>
      <c r="L142" s="219">
        <f t="shared" si="12"/>
        <v>13180.31</v>
      </c>
      <c r="M142" s="609">
        <f t="shared" si="9"/>
        <v>0.46750292625829104</v>
      </c>
    </row>
    <row r="143" spans="1:13" ht="31.5" x14ac:dyDescent="0.25">
      <c r="A143" s="70" t="s">
        <v>260</v>
      </c>
      <c r="B143" s="35" t="s">
        <v>261</v>
      </c>
      <c r="C143" s="35" t="s">
        <v>73</v>
      </c>
      <c r="D143" s="605" t="s">
        <v>262</v>
      </c>
      <c r="E143" s="43">
        <f>E144</f>
        <v>91319</v>
      </c>
      <c r="F143" s="43">
        <f>F144</f>
        <v>60125</v>
      </c>
      <c r="G143" s="245">
        <f t="shared" si="1"/>
        <v>0.65840624623572308</v>
      </c>
      <c r="H143" s="8">
        <v>0</v>
      </c>
      <c r="I143" s="8">
        <v>0</v>
      </c>
      <c r="J143" s="245"/>
      <c r="K143" s="219">
        <f t="shared" si="11"/>
        <v>91319</v>
      </c>
      <c r="L143" s="219">
        <f t="shared" si="12"/>
        <v>60125</v>
      </c>
      <c r="M143" s="609">
        <f t="shared" si="9"/>
        <v>0.65840624623572308</v>
      </c>
    </row>
    <row r="144" spans="1:13" x14ac:dyDescent="0.25">
      <c r="A144" s="70"/>
      <c r="B144" s="35"/>
      <c r="C144" s="35"/>
      <c r="D144" s="601" t="s">
        <v>462</v>
      </c>
      <c r="E144" s="43">
        <v>91319</v>
      </c>
      <c r="F144" s="43">
        <v>60125</v>
      </c>
      <c r="G144" s="245">
        <f t="shared" si="1"/>
        <v>0.65840624623572308</v>
      </c>
      <c r="H144" s="8"/>
      <c r="I144" s="8"/>
      <c r="J144" s="245"/>
      <c r="K144" s="219">
        <f t="shared" si="11"/>
        <v>91319</v>
      </c>
      <c r="L144" s="219">
        <f t="shared" si="12"/>
        <v>60125</v>
      </c>
      <c r="M144" s="609">
        <f t="shared" si="9"/>
        <v>0.65840624623572308</v>
      </c>
    </row>
    <row r="145" spans="1:13" ht="94.5" x14ac:dyDescent="0.25">
      <c r="A145" s="1124" t="s">
        <v>185</v>
      </c>
      <c r="B145" s="1125" t="s">
        <v>186</v>
      </c>
      <c r="C145" s="1125" t="s">
        <v>46</v>
      </c>
      <c r="D145" s="28" t="s">
        <v>187</v>
      </c>
      <c r="E145" s="43">
        <f>E146</f>
        <v>230280</v>
      </c>
      <c r="F145" s="43">
        <f>F146</f>
        <v>108940.11</v>
      </c>
      <c r="G145" s="245">
        <f t="shared" si="1"/>
        <v>0.47307673267326733</v>
      </c>
      <c r="H145" s="8">
        <v>0</v>
      </c>
      <c r="I145" s="8">
        <v>0</v>
      </c>
      <c r="J145" s="245"/>
      <c r="K145" s="219">
        <f t="shared" si="11"/>
        <v>230280</v>
      </c>
      <c r="L145" s="219">
        <f t="shared" si="12"/>
        <v>108940.11</v>
      </c>
      <c r="M145" s="609">
        <f t="shared" si="9"/>
        <v>0.47307673267326733</v>
      </c>
    </row>
    <row r="146" spans="1:13" x14ac:dyDescent="0.25">
      <c r="A146" s="1124"/>
      <c r="B146" s="1125"/>
      <c r="C146" s="1125"/>
      <c r="D146" s="601" t="s">
        <v>462</v>
      </c>
      <c r="E146" s="43">
        <v>230280</v>
      </c>
      <c r="F146" s="43">
        <v>108940.11</v>
      </c>
      <c r="G146" s="245">
        <f t="shared" si="1"/>
        <v>0.47307673267326733</v>
      </c>
      <c r="H146" s="8"/>
      <c r="I146" s="8"/>
      <c r="J146" s="245"/>
      <c r="K146" s="219">
        <f t="shared" si="11"/>
        <v>230280</v>
      </c>
      <c r="L146" s="219">
        <f t="shared" si="12"/>
        <v>108940.11</v>
      </c>
      <c r="M146" s="609">
        <f t="shared" si="9"/>
        <v>0.47307673267326733</v>
      </c>
    </row>
    <row r="147" spans="1:13" ht="67.900000000000006" customHeight="1" x14ac:dyDescent="0.25">
      <c r="A147" s="70" t="s">
        <v>263</v>
      </c>
      <c r="B147" s="35" t="s">
        <v>264</v>
      </c>
      <c r="C147" s="35" t="s">
        <v>46</v>
      </c>
      <c r="D147" s="606" t="s">
        <v>265</v>
      </c>
      <c r="E147" s="43">
        <f>E148</f>
        <v>17623</v>
      </c>
      <c r="F147" s="43">
        <f>F148</f>
        <v>7566.94</v>
      </c>
      <c r="G147" s="245">
        <f t="shared" si="1"/>
        <v>0.42937865289678256</v>
      </c>
      <c r="H147" s="8"/>
      <c r="I147" s="8">
        <v>0</v>
      </c>
      <c r="J147" s="245"/>
      <c r="K147" s="219">
        <f t="shared" si="11"/>
        <v>17623</v>
      </c>
      <c r="L147" s="219">
        <f t="shared" si="12"/>
        <v>7566.94</v>
      </c>
      <c r="M147" s="609">
        <f t="shared" si="9"/>
        <v>0.42937865289678256</v>
      </c>
    </row>
    <row r="148" spans="1:13" ht="17.45" customHeight="1" x14ac:dyDescent="0.25">
      <c r="A148" s="70"/>
      <c r="B148" s="35"/>
      <c r="C148" s="35"/>
      <c r="D148" s="601" t="s">
        <v>462</v>
      </c>
      <c r="E148" s="43">
        <v>17623</v>
      </c>
      <c r="F148" s="43">
        <v>7566.94</v>
      </c>
      <c r="G148" s="245">
        <f t="shared" si="1"/>
        <v>0.42937865289678256</v>
      </c>
      <c r="H148" s="8"/>
      <c r="I148" s="8"/>
      <c r="J148" s="245"/>
      <c r="K148" s="219">
        <f t="shared" si="11"/>
        <v>17623</v>
      </c>
      <c r="L148" s="219">
        <f t="shared" si="12"/>
        <v>7566.94</v>
      </c>
      <c r="M148" s="609">
        <f t="shared" si="9"/>
        <v>0.42937865289678256</v>
      </c>
    </row>
    <row r="149" spans="1:13" ht="223.15" customHeight="1" x14ac:dyDescent="0.25">
      <c r="A149" s="70" t="s">
        <v>659</v>
      </c>
      <c r="B149" s="35" t="s">
        <v>658</v>
      </c>
      <c r="C149" s="35" t="s">
        <v>661</v>
      </c>
      <c r="D149" s="606" t="s">
        <v>660</v>
      </c>
      <c r="E149" s="43"/>
      <c r="F149" s="43"/>
      <c r="G149" s="245"/>
      <c r="H149" s="8">
        <f>H150</f>
        <v>2164782</v>
      </c>
      <c r="I149" s="8">
        <f>I150</f>
        <v>2164782</v>
      </c>
      <c r="J149" s="245">
        <f t="shared" si="2"/>
        <v>1</v>
      </c>
      <c r="K149" s="219">
        <f t="shared" si="11"/>
        <v>2164782</v>
      </c>
      <c r="L149" s="219">
        <f t="shared" si="12"/>
        <v>2164782</v>
      </c>
      <c r="M149" s="609">
        <f t="shared" si="9"/>
        <v>1</v>
      </c>
    </row>
    <row r="150" spans="1:13" ht="17.45" customHeight="1" x14ac:dyDescent="0.25">
      <c r="A150" s="70"/>
      <c r="B150" s="35"/>
      <c r="C150" s="35"/>
      <c r="D150" s="601" t="s">
        <v>465</v>
      </c>
      <c r="E150" s="43"/>
      <c r="F150" s="43"/>
      <c r="G150" s="245"/>
      <c r="H150" s="8">
        <f>H151</f>
        <v>2164782</v>
      </c>
      <c r="I150" s="8">
        <f>I151</f>
        <v>2164782</v>
      </c>
      <c r="J150" s="245">
        <f t="shared" si="2"/>
        <v>1</v>
      </c>
      <c r="K150" s="219">
        <f t="shared" si="11"/>
        <v>2164782</v>
      </c>
      <c r="L150" s="219">
        <f t="shared" si="12"/>
        <v>2164782</v>
      </c>
      <c r="M150" s="609">
        <f t="shared" si="9"/>
        <v>1</v>
      </c>
    </row>
    <row r="151" spans="1:13" ht="17.45" customHeight="1" x14ac:dyDescent="0.25">
      <c r="A151" s="70"/>
      <c r="B151" s="35"/>
      <c r="C151" s="35"/>
      <c r="D151" s="602" t="s">
        <v>466</v>
      </c>
      <c r="E151" s="43"/>
      <c r="F151" s="43"/>
      <c r="G151" s="245"/>
      <c r="H151" s="1128">
        <v>2164782</v>
      </c>
      <c r="I151" s="1128">
        <v>2164782</v>
      </c>
      <c r="J151" s="245">
        <f t="shared" si="2"/>
        <v>1</v>
      </c>
      <c r="K151" s="219">
        <f t="shared" si="11"/>
        <v>2164782</v>
      </c>
      <c r="L151" s="219">
        <f t="shared" si="12"/>
        <v>2164782</v>
      </c>
      <c r="M151" s="609">
        <f t="shared" si="9"/>
        <v>1</v>
      </c>
    </row>
    <row r="152" spans="1:13" ht="58.15" customHeight="1" x14ac:dyDescent="0.25">
      <c r="A152" s="1124" t="s">
        <v>188</v>
      </c>
      <c r="B152" s="1125" t="s">
        <v>189</v>
      </c>
      <c r="C152" s="1125" t="s">
        <v>78</v>
      </c>
      <c r="D152" s="28" t="s">
        <v>190</v>
      </c>
      <c r="E152" s="43">
        <f>E153</f>
        <v>6023586</v>
      </c>
      <c r="F152" s="43">
        <f>F153</f>
        <v>4074907.75</v>
      </c>
      <c r="G152" s="245">
        <f t="shared" si="1"/>
        <v>0.67649200160834422</v>
      </c>
      <c r="H152" s="8">
        <f>H153</f>
        <v>13000</v>
      </c>
      <c r="I152" s="8">
        <f>I153</f>
        <v>0</v>
      </c>
      <c r="J152" s="245">
        <f t="shared" si="2"/>
        <v>0</v>
      </c>
      <c r="K152" s="219">
        <f t="shared" si="11"/>
        <v>6036586</v>
      </c>
      <c r="L152" s="219">
        <f t="shared" si="12"/>
        <v>4074907.75</v>
      </c>
      <c r="M152" s="609">
        <f t="shared" si="9"/>
        <v>0.67503515231953959</v>
      </c>
    </row>
    <row r="153" spans="1:13" x14ac:dyDescent="0.25">
      <c r="A153" s="41"/>
      <c r="B153" s="42"/>
      <c r="C153" s="42"/>
      <c r="D153" s="601" t="s">
        <v>462</v>
      </c>
      <c r="E153" s="44">
        <v>6023586</v>
      </c>
      <c r="F153" s="44">
        <v>4074907.75</v>
      </c>
      <c r="G153" s="245">
        <f t="shared" si="1"/>
        <v>0.67649200160834422</v>
      </c>
      <c r="H153" s="15">
        <v>13000</v>
      </c>
      <c r="I153" s="15">
        <v>0</v>
      </c>
      <c r="J153" s="245">
        <f t="shared" si="2"/>
        <v>0</v>
      </c>
      <c r="K153" s="219">
        <f t="shared" si="11"/>
        <v>6036586</v>
      </c>
      <c r="L153" s="219">
        <f t="shared" si="12"/>
        <v>4074907.75</v>
      </c>
      <c r="M153" s="609">
        <f t="shared" si="9"/>
        <v>0.67503515231953959</v>
      </c>
    </row>
    <row r="154" spans="1:13" ht="15.6" customHeight="1" x14ac:dyDescent="0.25">
      <c r="A154" s="41"/>
      <c r="B154" s="42"/>
      <c r="C154" s="42"/>
      <c r="D154" s="602" t="s">
        <v>463</v>
      </c>
      <c r="E154" s="44">
        <v>5725115</v>
      </c>
      <c r="F154" s="44">
        <v>3886937.1</v>
      </c>
      <c r="G154" s="245">
        <f t="shared" si="1"/>
        <v>0.67892734032416813</v>
      </c>
      <c r="H154" s="15"/>
      <c r="I154" s="15"/>
      <c r="J154" s="245"/>
      <c r="K154" s="219">
        <f t="shared" si="11"/>
        <v>5725115</v>
      </c>
      <c r="L154" s="219">
        <f t="shared" si="12"/>
        <v>3886937.1</v>
      </c>
      <c r="M154" s="609">
        <f t="shared" si="9"/>
        <v>0.67892734032416813</v>
      </c>
    </row>
    <row r="155" spans="1:13" ht="31.5" x14ac:dyDescent="0.25">
      <c r="A155" s="41"/>
      <c r="B155" s="42"/>
      <c r="C155" s="42"/>
      <c r="D155" s="602" t="s">
        <v>464</v>
      </c>
      <c r="E155" s="44">
        <v>100756</v>
      </c>
      <c r="F155" s="44">
        <v>50951.95</v>
      </c>
      <c r="G155" s="245">
        <f t="shared" si="1"/>
        <v>0.50569643495176464</v>
      </c>
      <c r="H155" s="15"/>
      <c r="I155" s="15"/>
      <c r="J155" s="245"/>
      <c r="K155" s="219">
        <f t="shared" si="11"/>
        <v>100756</v>
      </c>
      <c r="L155" s="219">
        <f t="shared" si="12"/>
        <v>50951.95</v>
      </c>
      <c r="M155" s="609">
        <f t="shared" si="9"/>
        <v>0.50569643495176464</v>
      </c>
    </row>
    <row r="156" spans="1:13" ht="40.15" customHeight="1" x14ac:dyDescent="0.25">
      <c r="A156" s="41" t="s">
        <v>79</v>
      </c>
      <c r="B156" s="42" t="s">
        <v>80</v>
      </c>
      <c r="C156" s="42" t="s">
        <v>78</v>
      </c>
      <c r="D156" s="37" t="s">
        <v>81</v>
      </c>
      <c r="E156" s="44">
        <f>E157</f>
        <v>19907900</v>
      </c>
      <c r="F156" s="44">
        <f>F157</f>
        <v>9926100</v>
      </c>
      <c r="G156" s="246">
        <f t="shared" si="1"/>
        <v>0.49860105787149828</v>
      </c>
      <c r="H156" s="15">
        <v>0</v>
      </c>
      <c r="I156" s="15">
        <f>I157</f>
        <v>93147.92</v>
      </c>
      <c r="J156" s="246"/>
      <c r="K156" s="219">
        <f t="shared" si="11"/>
        <v>19907900</v>
      </c>
      <c r="L156" s="219">
        <f t="shared" si="12"/>
        <v>10019247.92</v>
      </c>
      <c r="M156" s="609">
        <f t="shared" si="9"/>
        <v>0.5032800004018505</v>
      </c>
    </row>
    <row r="157" spans="1:13" ht="16.5" thickBot="1" x14ac:dyDescent="0.3">
      <c r="A157" s="41"/>
      <c r="B157" s="42"/>
      <c r="C157" s="42"/>
      <c r="D157" s="603" t="s">
        <v>462</v>
      </c>
      <c r="E157" s="44">
        <v>19907900</v>
      </c>
      <c r="F157" s="44">
        <v>9926100</v>
      </c>
      <c r="G157" s="246">
        <f t="shared" si="1"/>
        <v>0.49860105787149828</v>
      </c>
      <c r="H157" s="15"/>
      <c r="I157" s="15">
        <v>93147.92</v>
      </c>
      <c r="J157" s="246"/>
      <c r="K157" s="222">
        <f t="shared" si="11"/>
        <v>19907900</v>
      </c>
      <c r="L157" s="222">
        <f t="shared" si="12"/>
        <v>10019247.92</v>
      </c>
      <c r="M157" s="609">
        <f t="shared" si="9"/>
        <v>0.5032800004018505</v>
      </c>
    </row>
    <row r="158" spans="1:13" ht="45.75" customHeight="1" thickBot="1" x14ac:dyDescent="0.3">
      <c r="A158" s="38" t="s">
        <v>82</v>
      </c>
      <c r="B158" s="39" t="s">
        <v>14</v>
      </c>
      <c r="C158" s="39" t="s">
        <v>14</v>
      </c>
      <c r="D158" s="40" t="s">
        <v>83</v>
      </c>
      <c r="E158" s="58">
        <f>E159</f>
        <v>1997047</v>
      </c>
      <c r="F158" s="58">
        <f>F159</f>
        <v>1408869.56</v>
      </c>
      <c r="G158" s="243">
        <f t="shared" si="1"/>
        <v>0.70547641592811794</v>
      </c>
      <c r="H158" s="58">
        <v>0</v>
      </c>
      <c r="I158" s="58">
        <v>0</v>
      </c>
      <c r="J158" s="243"/>
      <c r="K158" s="241">
        <f>K159</f>
        <v>1997047</v>
      </c>
      <c r="L158" s="241">
        <f>L159</f>
        <v>1408869.56</v>
      </c>
      <c r="M158" s="252">
        <f t="shared" si="9"/>
        <v>0.70547641592811794</v>
      </c>
    </row>
    <row r="159" spans="1:13" ht="47.25" x14ac:dyDescent="0.25">
      <c r="A159" s="51" t="s">
        <v>84</v>
      </c>
      <c r="B159" s="52" t="s">
        <v>14</v>
      </c>
      <c r="C159" s="52" t="s">
        <v>14</v>
      </c>
      <c r="D159" s="53" t="s">
        <v>83</v>
      </c>
      <c r="E159" s="45">
        <f>E160+E163</f>
        <v>1997047</v>
      </c>
      <c r="F159" s="45">
        <f>F160+F163</f>
        <v>1408869.56</v>
      </c>
      <c r="G159" s="244">
        <f t="shared" si="1"/>
        <v>0.70547641592811794</v>
      </c>
      <c r="H159" s="45">
        <v>0</v>
      </c>
      <c r="I159" s="45">
        <v>0</v>
      </c>
      <c r="J159" s="244"/>
      <c r="K159" s="242">
        <f>K160+K163</f>
        <v>1997047</v>
      </c>
      <c r="L159" s="242">
        <f>L160+L163</f>
        <v>1408869.56</v>
      </c>
      <c r="M159" s="610">
        <f t="shared" si="9"/>
        <v>0.70547641592811794</v>
      </c>
    </row>
    <row r="160" spans="1:13" ht="47.25" x14ac:dyDescent="0.25">
      <c r="A160" s="1124" t="s">
        <v>191</v>
      </c>
      <c r="B160" s="1125" t="s">
        <v>44</v>
      </c>
      <c r="C160" s="1125" t="s">
        <v>17</v>
      </c>
      <c r="D160" s="28" t="s">
        <v>175</v>
      </c>
      <c r="E160" s="43">
        <f>E161</f>
        <v>1965047</v>
      </c>
      <c r="F160" s="43">
        <f>F161</f>
        <v>1376869.56</v>
      </c>
      <c r="G160" s="245">
        <f t="shared" si="1"/>
        <v>0.70068021782685097</v>
      </c>
      <c r="H160" s="8">
        <v>0</v>
      </c>
      <c r="I160" s="8">
        <v>0</v>
      </c>
      <c r="J160" s="245"/>
      <c r="K160" s="219">
        <f>E160+H160</f>
        <v>1965047</v>
      </c>
      <c r="L160" s="219">
        <f>F160+I160</f>
        <v>1376869.56</v>
      </c>
      <c r="M160" s="609">
        <f t="shared" si="9"/>
        <v>0.70068021782685097</v>
      </c>
    </row>
    <row r="161" spans="1:13" x14ac:dyDescent="0.25">
      <c r="A161" s="41"/>
      <c r="B161" s="42"/>
      <c r="C161" s="42"/>
      <c r="D161" s="601" t="s">
        <v>462</v>
      </c>
      <c r="E161" s="44">
        <v>1965047</v>
      </c>
      <c r="F161" s="44">
        <v>1376869.56</v>
      </c>
      <c r="G161" s="245">
        <f t="shared" si="1"/>
        <v>0.70068021782685097</v>
      </c>
      <c r="H161" s="15"/>
      <c r="I161" s="15"/>
      <c r="J161" s="245"/>
      <c r="K161" s="219">
        <f t="shared" ref="K161:K164" si="13">E161+H161</f>
        <v>1965047</v>
      </c>
      <c r="L161" s="219">
        <f t="shared" ref="L161:L164" si="14">F161+I161</f>
        <v>1376869.56</v>
      </c>
      <c r="M161" s="609">
        <f t="shared" si="9"/>
        <v>0.70068021782685097</v>
      </c>
    </row>
    <row r="162" spans="1:13" x14ac:dyDescent="0.25">
      <c r="A162" s="41"/>
      <c r="B162" s="42"/>
      <c r="C162" s="42"/>
      <c r="D162" s="602" t="s">
        <v>463</v>
      </c>
      <c r="E162" s="44">
        <v>1919735</v>
      </c>
      <c r="F162" s="44">
        <v>1348448.9</v>
      </c>
      <c r="G162" s="245">
        <f t="shared" si="1"/>
        <v>0.70241408319377407</v>
      </c>
      <c r="H162" s="15"/>
      <c r="I162" s="15"/>
      <c r="J162" s="245"/>
      <c r="K162" s="219">
        <f t="shared" si="13"/>
        <v>1919735</v>
      </c>
      <c r="L162" s="219">
        <f t="shared" si="14"/>
        <v>1348448.9</v>
      </c>
      <c r="M162" s="609">
        <f t="shared" si="9"/>
        <v>0.70241408319377407</v>
      </c>
    </row>
    <row r="163" spans="1:13" ht="31.5" x14ac:dyDescent="0.25">
      <c r="A163" s="41" t="s">
        <v>85</v>
      </c>
      <c r="B163" s="42" t="s">
        <v>86</v>
      </c>
      <c r="C163" s="42" t="s">
        <v>67</v>
      </c>
      <c r="D163" s="37" t="s">
        <v>87</v>
      </c>
      <c r="E163" s="44">
        <f>E164</f>
        <v>32000</v>
      </c>
      <c r="F163" s="44">
        <f>F164</f>
        <v>32000</v>
      </c>
      <c r="G163" s="246">
        <f t="shared" si="1"/>
        <v>1</v>
      </c>
      <c r="H163" s="15">
        <v>0</v>
      </c>
      <c r="I163" s="15">
        <v>0</v>
      </c>
      <c r="J163" s="246"/>
      <c r="K163" s="219">
        <f t="shared" si="13"/>
        <v>32000</v>
      </c>
      <c r="L163" s="219">
        <f t="shared" si="14"/>
        <v>32000</v>
      </c>
      <c r="M163" s="609">
        <f t="shared" si="9"/>
        <v>1</v>
      </c>
    </row>
    <row r="164" spans="1:13" ht="16.5" thickBot="1" x14ac:dyDescent="0.3">
      <c r="A164" s="41"/>
      <c r="B164" s="42"/>
      <c r="C164" s="42"/>
      <c r="D164" s="603" t="s">
        <v>462</v>
      </c>
      <c r="E164" s="44">
        <v>32000</v>
      </c>
      <c r="F164" s="44">
        <v>32000</v>
      </c>
      <c r="G164" s="246">
        <f t="shared" si="1"/>
        <v>1</v>
      </c>
      <c r="H164" s="15"/>
      <c r="I164" s="15"/>
      <c r="J164" s="246"/>
      <c r="K164" s="222">
        <f t="shared" si="13"/>
        <v>32000</v>
      </c>
      <c r="L164" s="222">
        <f t="shared" si="14"/>
        <v>32000</v>
      </c>
      <c r="M164" s="609">
        <f t="shared" si="9"/>
        <v>1</v>
      </c>
    </row>
    <row r="165" spans="1:13" s="33" customFormat="1" ht="64.5" customHeight="1" thickBot="1" x14ac:dyDescent="0.3">
      <c r="A165" s="38" t="s">
        <v>88</v>
      </c>
      <c r="B165" s="39" t="s">
        <v>14</v>
      </c>
      <c r="C165" s="39" t="s">
        <v>14</v>
      </c>
      <c r="D165" s="40" t="s">
        <v>89</v>
      </c>
      <c r="E165" s="58">
        <f>E166</f>
        <v>91597416</v>
      </c>
      <c r="F165" s="58">
        <f>F166</f>
        <v>57172184.120000005</v>
      </c>
      <c r="G165" s="243">
        <f t="shared" si="1"/>
        <v>0.62416808919587863</v>
      </c>
      <c r="H165" s="58">
        <f>H166</f>
        <v>2729071</v>
      </c>
      <c r="I165" s="58">
        <f>I166</f>
        <v>906293.89999999991</v>
      </c>
      <c r="J165" s="243">
        <f t="shared" si="2"/>
        <v>0.33208879505150285</v>
      </c>
      <c r="K165" s="241">
        <f>K166</f>
        <v>94326487</v>
      </c>
      <c r="L165" s="241">
        <f>L166</f>
        <v>58078478.019999996</v>
      </c>
      <c r="M165" s="252">
        <f t="shared" si="9"/>
        <v>0.61571759817579119</v>
      </c>
    </row>
    <row r="166" spans="1:13" s="32" customFormat="1" ht="47.25" x14ac:dyDescent="0.25">
      <c r="A166" s="51" t="s">
        <v>90</v>
      </c>
      <c r="B166" s="52" t="s">
        <v>14</v>
      </c>
      <c r="C166" s="52" t="s">
        <v>14</v>
      </c>
      <c r="D166" s="53" t="s">
        <v>89</v>
      </c>
      <c r="E166" s="45">
        <f>E167+E170+E176+E178+E184+E190+E194+E199+E201+E203+E207+E214+E218+E220+E211</f>
        <v>91597416</v>
      </c>
      <c r="F166" s="45">
        <f>F167+F170+F176+F178+F184+F190+F194+F199+F201+F203+F207+F214+F218+F220+F211</f>
        <v>57172184.120000005</v>
      </c>
      <c r="G166" s="244">
        <f t="shared" si="1"/>
        <v>0.62416808919587863</v>
      </c>
      <c r="H166" s="45">
        <f>H167+H170+H176+H178+H184+H190+H194+H199+H201+H203+H207+H214+H218+H220</f>
        <v>2729071</v>
      </c>
      <c r="I166" s="45">
        <f>I167+I170+I176+I178+I184+I190+I194+I199+I201+I203+I207+I214+I218+I220</f>
        <v>906293.89999999991</v>
      </c>
      <c r="J166" s="244">
        <f t="shared" si="2"/>
        <v>0.33208879505150285</v>
      </c>
      <c r="K166" s="242">
        <f>K167+K170+K176+K178+K184+K190+K194+K199+K201+K203+K207+K214+K218+K220+K211</f>
        <v>94326487</v>
      </c>
      <c r="L166" s="242">
        <f>L167+L170+L176+L178+L184+L190+L194+L199+L201+L203+L207+L214+L218+L220+L211</f>
        <v>58078478.019999996</v>
      </c>
      <c r="M166" s="610">
        <f t="shared" si="9"/>
        <v>0.61571759817579119</v>
      </c>
    </row>
    <row r="167" spans="1:13" ht="52.15" customHeight="1" x14ac:dyDescent="0.25">
      <c r="A167" s="1124" t="s">
        <v>192</v>
      </c>
      <c r="B167" s="1125" t="s">
        <v>44</v>
      </c>
      <c r="C167" s="1125" t="s">
        <v>17</v>
      </c>
      <c r="D167" s="28" t="s">
        <v>175</v>
      </c>
      <c r="E167" s="43">
        <f>E168</f>
        <v>2735743</v>
      </c>
      <c r="F167" s="43">
        <f>F168</f>
        <v>1834796.77</v>
      </c>
      <c r="G167" s="245">
        <f t="shared" si="1"/>
        <v>0.67067585295841026</v>
      </c>
      <c r="H167" s="8">
        <v>0</v>
      </c>
      <c r="I167" s="8">
        <v>0</v>
      </c>
      <c r="J167" s="245"/>
      <c r="K167" s="219">
        <f>E167+H167</f>
        <v>2735743</v>
      </c>
      <c r="L167" s="219">
        <f>F167+I167</f>
        <v>1834796.77</v>
      </c>
      <c r="M167" s="609">
        <f t="shared" si="9"/>
        <v>0.67067585295841026</v>
      </c>
    </row>
    <row r="168" spans="1:13" x14ac:dyDescent="0.25">
      <c r="A168" s="1124"/>
      <c r="B168" s="1125"/>
      <c r="C168" s="1125"/>
      <c r="D168" s="601" t="s">
        <v>462</v>
      </c>
      <c r="E168" s="43">
        <v>2735743</v>
      </c>
      <c r="F168" s="43">
        <v>1834796.77</v>
      </c>
      <c r="G168" s="245">
        <f t="shared" si="1"/>
        <v>0.67067585295841026</v>
      </c>
      <c r="H168" s="8"/>
      <c r="I168" s="8"/>
      <c r="J168" s="245"/>
      <c r="K168" s="219">
        <f t="shared" ref="K168:K222" si="15">E168+H168</f>
        <v>2735743</v>
      </c>
      <c r="L168" s="219">
        <f t="shared" ref="L168:L222" si="16">F168+I168</f>
        <v>1834796.77</v>
      </c>
      <c r="M168" s="609">
        <f t="shared" si="9"/>
        <v>0.67067585295841026</v>
      </c>
    </row>
    <row r="169" spans="1:13" x14ac:dyDescent="0.25">
      <c r="A169" s="1124"/>
      <c r="B169" s="1125"/>
      <c r="C169" s="1125"/>
      <c r="D169" s="602" t="s">
        <v>463</v>
      </c>
      <c r="E169" s="43">
        <v>2684431</v>
      </c>
      <c r="F169" s="43">
        <v>1793509.77</v>
      </c>
      <c r="G169" s="245">
        <f t="shared" si="1"/>
        <v>0.66811542930326762</v>
      </c>
      <c r="H169" s="8"/>
      <c r="I169" s="8"/>
      <c r="J169" s="245"/>
      <c r="K169" s="219">
        <f t="shared" si="15"/>
        <v>2684431</v>
      </c>
      <c r="L169" s="219">
        <f t="shared" si="16"/>
        <v>1793509.77</v>
      </c>
      <c r="M169" s="609">
        <f t="shared" si="9"/>
        <v>0.66811542930326762</v>
      </c>
    </row>
    <row r="170" spans="1:13" ht="31.5" x14ac:dyDescent="0.25">
      <c r="A170" s="1124" t="s">
        <v>91</v>
      </c>
      <c r="B170" s="1125" t="s">
        <v>92</v>
      </c>
      <c r="C170" s="1125" t="s">
        <v>55</v>
      </c>
      <c r="D170" s="28" t="s">
        <v>93</v>
      </c>
      <c r="E170" s="43">
        <f>E171</f>
        <v>14795535</v>
      </c>
      <c r="F170" s="43">
        <f>F171</f>
        <v>9580209.0199999996</v>
      </c>
      <c r="G170" s="245">
        <f t="shared" si="1"/>
        <v>0.6475067660615178</v>
      </c>
      <c r="H170" s="8">
        <f>H171+H174</f>
        <v>877986</v>
      </c>
      <c r="I170" s="8">
        <f>I171+I174</f>
        <v>594178</v>
      </c>
      <c r="J170" s="245">
        <f t="shared" si="2"/>
        <v>0.67675110992658194</v>
      </c>
      <c r="K170" s="219">
        <f t="shared" si="15"/>
        <v>15673521</v>
      </c>
      <c r="L170" s="219">
        <f t="shared" si="16"/>
        <v>10174387.02</v>
      </c>
      <c r="M170" s="609">
        <f t="shared" si="9"/>
        <v>0.64914495090158741</v>
      </c>
    </row>
    <row r="171" spans="1:13" x14ac:dyDescent="0.25">
      <c r="A171" s="1124"/>
      <c r="B171" s="1125"/>
      <c r="C171" s="1125"/>
      <c r="D171" s="601" t="s">
        <v>462</v>
      </c>
      <c r="E171" s="43">
        <v>14795535</v>
      </c>
      <c r="F171" s="43">
        <v>9580209.0199999996</v>
      </c>
      <c r="G171" s="245">
        <f t="shared" si="1"/>
        <v>0.6475067660615178</v>
      </c>
      <c r="H171" s="8">
        <f>H172</f>
        <v>850986</v>
      </c>
      <c r="I171" s="8">
        <f>I172</f>
        <v>567178</v>
      </c>
      <c r="J171" s="245">
        <f t="shared" si="2"/>
        <v>0.66649510097698439</v>
      </c>
      <c r="K171" s="219">
        <f t="shared" si="15"/>
        <v>15646521</v>
      </c>
      <c r="L171" s="219">
        <f t="shared" si="16"/>
        <v>10147387.02</v>
      </c>
      <c r="M171" s="609">
        <f t="shared" si="9"/>
        <v>0.64853950728088372</v>
      </c>
    </row>
    <row r="172" spans="1:13" x14ac:dyDescent="0.25">
      <c r="A172" s="1124"/>
      <c r="B172" s="1125"/>
      <c r="C172" s="1125"/>
      <c r="D172" s="602" t="s">
        <v>463</v>
      </c>
      <c r="E172" s="43">
        <v>14259107</v>
      </c>
      <c r="F172" s="43">
        <v>9295840.3900000006</v>
      </c>
      <c r="G172" s="245">
        <f t="shared" si="1"/>
        <v>0.65192304048212846</v>
      </c>
      <c r="H172" s="8">
        <v>850986</v>
      </c>
      <c r="I172" s="8">
        <v>567178</v>
      </c>
      <c r="J172" s="245">
        <f t="shared" si="2"/>
        <v>0.66649510097698439</v>
      </c>
      <c r="K172" s="219">
        <f t="shared" si="15"/>
        <v>15110093</v>
      </c>
      <c r="L172" s="219">
        <f t="shared" si="16"/>
        <v>9863018.3900000006</v>
      </c>
      <c r="M172" s="609">
        <f t="shared" si="9"/>
        <v>0.65274372500553113</v>
      </c>
    </row>
    <row r="173" spans="1:13" ht="31.5" x14ac:dyDescent="0.25">
      <c r="A173" s="1124"/>
      <c r="B173" s="1125"/>
      <c r="C173" s="1125"/>
      <c r="D173" s="602" t="s">
        <v>464</v>
      </c>
      <c r="E173" s="43">
        <v>410204</v>
      </c>
      <c r="F173" s="43">
        <v>205200.23</v>
      </c>
      <c r="G173" s="245">
        <f t="shared" si="1"/>
        <v>0.50023946621680926</v>
      </c>
      <c r="H173" s="8"/>
      <c r="I173" s="8"/>
      <c r="J173" s="245"/>
      <c r="K173" s="219">
        <f t="shared" si="15"/>
        <v>410204</v>
      </c>
      <c r="L173" s="219">
        <f t="shared" si="16"/>
        <v>205200.23</v>
      </c>
      <c r="M173" s="609">
        <f t="shared" si="9"/>
        <v>0.50023946621680926</v>
      </c>
    </row>
    <row r="174" spans="1:13" x14ac:dyDescent="0.25">
      <c r="A174" s="1124"/>
      <c r="B174" s="1125"/>
      <c r="C174" s="1125"/>
      <c r="D174" s="601" t="s">
        <v>465</v>
      </c>
      <c r="E174" s="43"/>
      <c r="F174" s="43"/>
      <c r="G174" s="245"/>
      <c r="H174" s="8">
        <f>H175</f>
        <v>27000</v>
      </c>
      <c r="I174" s="8">
        <f>I175</f>
        <v>27000</v>
      </c>
      <c r="J174" s="245">
        <f t="shared" si="2"/>
        <v>1</v>
      </c>
      <c r="K174" s="219">
        <f t="shared" si="15"/>
        <v>27000</v>
      </c>
      <c r="L174" s="219">
        <f t="shared" si="16"/>
        <v>27000</v>
      </c>
      <c r="M174" s="609">
        <f t="shared" si="9"/>
        <v>1</v>
      </c>
    </row>
    <row r="175" spans="1:13" x14ac:dyDescent="0.25">
      <c r="A175" s="1124"/>
      <c r="B175" s="1125"/>
      <c r="C175" s="1125"/>
      <c r="D175" s="602" t="s">
        <v>466</v>
      </c>
      <c r="E175" s="43"/>
      <c r="F175" s="43"/>
      <c r="G175" s="245"/>
      <c r="H175" s="8">
        <v>27000</v>
      </c>
      <c r="I175" s="8">
        <v>27000</v>
      </c>
      <c r="J175" s="245">
        <f t="shared" si="2"/>
        <v>1</v>
      </c>
      <c r="K175" s="219">
        <f t="shared" si="15"/>
        <v>27000</v>
      </c>
      <c r="L175" s="219">
        <f t="shared" si="16"/>
        <v>27000</v>
      </c>
      <c r="M175" s="609">
        <f t="shared" si="9"/>
        <v>1</v>
      </c>
    </row>
    <row r="176" spans="1:13" x14ac:dyDescent="0.25">
      <c r="A176" s="1124" t="s">
        <v>94</v>
      </c>
      <c r="B176" s="1125" t="s">
        <v>95</v>
      </c>
      <c r="C176" s="1125" t="s">
        <v>67</v>
      </c>
      <c r="D176" s="28" t="s">
        <v>96</v>
      </c>
      <c r="E176" s="43">
        <f>E177</f>
        <v>240526</v>
      </c>
      <c r="F176" s="43">
        <f>F177</f>
        <v>186526</v>
      </c>
      <c r="G176" s="245">
        <f t="shared" si="1"/>
        <v>0.77549204659787296</v>
      </c>
      <c r="H176" s="8">
        <v>0</v>
      </c>
      <c r="I176" s="8">
        <v>0</v>
      </c>
      <c r="J176" s="245"/>
      <c r="K176" s="219">
        <f t="shared" si="15"/>
        <v>240526</v>
      </c>
      <c r="L176" s="219">
        <f t="shared" si="16"/>
        <v>186526</v>
      </c>
      <c r="M176" s="609">
        <f t="shared" si="9"/>
        <v>0.77549204659787296</v>
      </c>
    </row>
    <row r="177" spans="1:13" x14ac:dyDescent="0.25">
      <c r="A177" s="1124"/>
      <c r="B177" s="1125"/>
      <c r="C177" s="1125"/>
      <c r="D177" s="601" t="s">
        <v>462</v>
      </c>
      <c r="E177" s="43">
        <v>240526</v>
      </c>
      <c r="F177" s="43">
        <v>186526</v>
      </c>
      <c r="G177" s="245"/>
      <c r="H177" s="8"/>
      <c r="I177" s="8"/>
      <c r="J177" s="245"/>
      <c r="K177" s="219">
        <f t="shared" si="15"/>
        <v>240526</v>
      </c>
      <c r="L177" s="219">
        <f t="shared" si="16"/>
        <v>186526</v>
      </c>
      <c r="M177" s="609">
        <f t="shared" si="9"/>
        <v>0.77549204659787296</v>
      </c>
    </row>
    <row r="178" spans="1:13" ht="21.75" customHeight="1" x14ac:dyDescent="0.25">
      <c r="A178" s="1124" t="s">
        <v>97</v>
      </c>
      <c r="B178" s="1125" t="s">
        <v>98</v>
      </c>
      <c r="C178" s="1125" t="s">
        <v>99</v>
      </c>
      <c r="D178" s="28" t="s">
        <v>100</v>
      </c>
      <c r="E178" s="43">
        <f>E179</f>
        <v>4760466</v>
      </c>
      <c r="F178" s="43">
        <f>F179</f>
        <v>2997089.78</v>
      </c>
      <c r="G178" s="245">
        <f t="shared" si="1"/>
        <v>0.62957907482166653</v>
      </c>
      <c r="H178" s="8">
        <f>H182</f>
        <v>50000</v>
      </c>
      <c r="I178" s="8">
        <f>I182+I183</f>
        <v>108340.45999999999</v>
      </c>
      <c r="J178" s="245">
        <f t="shared" si="2"/>
        <v>2.1668091999999999</v>
      </c>
      <c r="K178" s="219">
        <f t="shared" si="15"/>
        <v>4810466</v>
      </c>
      <c r="L178" s="219">
        <f t="shared" si="16"/>
        <v>3105430.2399999998</v>
      </c>
      <c r="M178" s="609">
        <f t="shared" si="9"/>
        <v>0.64555704998226782</v>
      </c>
    </row>
    <row r="179" spans="1:13" x14ac:dyDescent="0.25">
      <c r="A179" s="1124"/>
      <c r="B179" s="1125"/>
      <c r="C179" s="1125"/>
      <c r="D179" s="601" t="s">
        <v>462</v>
      </c>
      <c r="E179" s="43">
        <v>4760466</v>
      </c>
      <c r="F179" s="43">
        <v>2997089.78</v>
      </c>
      <c r="G179" s="245">
        <f t="shared" si="1"/>
        <v>0.62957907482166653</v>
      </c>
      <c r="H179" s="8"/>
      <c r="I179" s="8"/>
      <c r="J179" s="245"/>
      <c r="K179" s="219">
        <f t="shared" si="15"/>
        <v>4760466</v>
      </c>
      <c r="L179" s="219">
        <f t="shared" si="16"/>
        <v>2997089.78</v>
      </c>
      <c r="M179" s="609">
        <f t="shared" si="9"/>
        <v>0.62957907482166653</v>
      </c>
    </row>
    <row r="180" spans="1:13" x14ac:dyDescent="0.25">
      <c r="A180" s="1124"/>
      <c r="B180" s="1125"/>
      <c r="C180" s="1125"/>
      <c r="D180" s="602" t="s">
        <v>463</v>
      </c>
      <c r="E180" s="43">
        <v>4315718</v>
      </c>
      <c r="F180" s="43">
        <v>2687174.87</v>
      </c>
      <c r="G180" s="245">
        <f t="shared" si="1"/>
        <v>0.6226483912989681</v>
      </c>
      <c r="H180" s="8"/>
      <c r="I180" s="8"/>
      <c r="J180" s="245"/>
      <c r="K180" s="219">
        <f t="shared" si="15"/>
        <v>4315718</v>
      </c>
      <c r="L180" s="219">
        <f t="shared" si="16"/>
        <v>2687174.87</v>
      </c>
      <c r="M180" s="609">
        <f t="shared" si="9"/>
        <v>0.6226483912989681</v>
      </c>
    </row>
    <row r="181" spans="1:13" ht="33" customHeight="1" x14ac:dyDescent="0.25">
      <c r="A181" s="1124"/>
      <c r="B181" s="1125"/>
      <c r="C181" s="1125"/>
      <c r="D181" s="602" t="s">
        <v>464</v>
      </c>
      <c r="E181" s="43">
        <v>246246</v>
      </c>
      <c r="F181" s="43">
        <v>166815.14000000001</v>
      </c>
      <c r="G181" s="245">
        <f t="shared" si="1"/>
        <v>0.67743289231094117</v>
      </c>
      <c r="H181" s="8"/>
      <c r="I181" s="8"/>
      <c r="J181" s="245"/>
      <c r="K181" s="219">
        <f t="shared" si="15"/>
        <v>246246</v>
      </c>
      <c r="L181" s="219">
        <f t="shared" si="16"/>
        <v>166815.14000000001</v>
      </c>
      <c r="M181" s="609">
        <f t="shared" si="9"/>
        <v>0.67743289231094117</v>
      </c>
    </row>
    <row r="182" spans="1:13" x14ac:dyDescent="0.25">
      <c r="A182" s="1124"/>
      <c r="B182" s="1125"/>
      <c r="C182" s="1125"/>
      <c r="D182" s="601" t="s">
        <v>465</v>
      </c>
      <c r="E182" s="43"/>
      <c r="F182" s="43"/>
      <c r="G182" s="245"/>
      <c r="H182" s="8">
        <f>H183</f>
        <v>50000</v>
      </c>
      <c r="I182" s="8">
        <v>58340.46</v>
      </c>
      <c r="J182" s="245">
        <f t="shared" si="2"/>
        <v>1.1668091999999999</v>
      </c>
      <c r="K182" s="219">
        <f t="shared" si="15"/>
        <v>50000</v>
      </c>
      <c r="L182" s="219">
        <f t="shared" si="16"/>
        <v>58340.46</v>
      </c>
      <c r="M182" s="609">
        <f t="shared" si="9"/>
        <v>1.1668091999999999</v>
      </c>
    </row>
    <row r="183" spans="1:13" x14ac:dyDescent="0.25">
      <c r="A183" s="1124"/>
      <c r="B183" s="1125"/>
      <c r="C183" s="1125"/>
      <c r="D183" s="602" t="s">
        <v>466</v>
      </c>
      <c r="E183" s="43"/>
      <c r="F183" s="43"/>
      <c r="G183" s="245"/>
      <c r="H183" s="8">
        <v>50000</v>
      </c>
      <c r="I183" s="8">
        <v>50000</v>
      </c>
      <c r="J183" s="245">
        <f t="shared" si="2"/>
        <v>1</v>
      </c>
      <c r="K183" s="219">
        <f t="shared" si="15"/>
        <v>50000</v>
      </c>
      <c r="L183" s="219">
        <f t="shared" si="16"/>
        <v>50000</v>
      </c>
      <c r="M183" s="609">
        <f t="shared" ref="M183:M263" si="17">L183/K183</f>
        <v>1</v>
      </c>
    </row>
    <row r="184" spans="1:13" ht="33" customHeight="1" x14ac:dyDescent="0.25">
      <c r="A184" s="1124" t="s">
        <v>101</v>
      </c>
      <c r="B184" s="1125" t="s">
        <v>102</v>
      </c>
      <c r="C184" s="1125" t="s">
        <v>99</v>
      </c>
      <c r="D184" s="28" t="s">
        <v>103</v>
      </c>
      <c r="E184" s="43">
        <f>E185</f>
        <v>1287949</v>
      </c>
      <c r="F184" s="43">
        <f>F185</f>
        <v>829574.7</v>
      </c>
      <c r="G184" s="245">
        <f t="shared" si="1"/>
        <v>0.64410524019196413</v>
      </c>
      <c r="H184" s="8">
        <f>H185+H188</f>
        <v>50299</v>
      </c>
      <c r="I184" s="8">
        <f>I185+I188</f>
        <v>59248</v>
      </c>
      <c r="J184" s="245">
        <f t="shared" si="2"/>
        <v>1.1779160619495417</v>
      </c>
      <c r="K184" s="219">
        <f t="shared" si="15"/>
        <v>1338248</v>
      </c>
      <c r="L184" s="219">
        <f t="shared" si="16"/>
        <v>888822.7</v>
      </c>
      <c r="M184" s="609">
        <f t="shared" si="17"/>
        <v>0.66416889844034888</v>
      </c>
    </row>
    <row r="185" spans="1:13" x14ac:dyDescent="0.25">
      <c r="A185" s="1124"/>
      <c r="B185" s="1125"/>
      <c r="C185" s="1125"/>
      <c r="D185" s="601" t="s">
        <v>462</v>
      </c>
      <c r="E185" s="43">
        <v>1287949</v>
      </c>
      <c r="F185" s="43">
        <v>829574.7</v>
      </c>
      <c r="G185" s="245">
        <f t="shared" si="1"/>
        <v>0.64410524019196413</v>
      </c>
      <c r="H185" s="8"/>
      <c r="I185" s="8">
        <v>1350</v>
      </c>
      <c r="J185" s="245"/>
      <c r="K185" s="219">
        <f t="shared" si="15"/>
        <v>1287949</v>
      </c>
      <c r="L185" s="219">
        <f t="shared" si="16"/>
        <v>830924.7</v>
      </c>
      <c r="M185" s="609">
        <f t="shared" si="17"/>
        <v>0.64515341834187534</v>
      </c>
    </row>
    <row r="186" spans="1:13" x14ac:dyDescent="0.25">
      <c r="A186" s="1124"/>
      <c r="B186" s="1125"/>
      <c r="C186" s="1125"/>
      <c r="D186" s="602" t="s">
        <v>463</v>
      </c>
      <c r="E186" s="43">
        <v>1112147</v>
      </c>
      <c r="F186" s="43">
        <v>715930.97</v>
      </c>
      <c r="G186" s="245">
        <f t="shared" si="1"/>
        <v>0.64373771632706822</v>
      </c>
      <c r="H186" s="8"/>
      <c r="I186" s="8"/>
      <c r="J186" s="245"/>
      <c r="K186" s="219">
        <f t="shared" si="15"/>
        <v>1112147</v>
      </c>
      <c r="L186" s="219">
        <f t="shared" si="16"/>
        <v>715930.97</v>
      </c>
      <c r="M186" s="609">
        <f t="shared" si="17"/>
        <v>0.64373771632706822</v>
      </c>
    </row>
    <row r="187" spans="1:13" ht="34.9" customHeight="1" x14ac:dyDescent="0.25">
      <c r="A187" s="1124"/>
      <c r="B187" s="1125"/>
      <c r="C187" s="1125"/>
      <c r="D187" s="602" t="s">
        <v>464</v>
      </c>
      <c r="E187" s="43">
        <v>94304</v>
      </c>
      <c r="F187" s="43">
        <v>54537.5</v>
      </c>
      <c r="G187" s="245">
        <f t="shared" si="1"/>
        <v>0.57831587207329482</v>
      </c>
      <c r="H187" s="8"/>
      <c r="I187" s="8"/>
      <c r="J187" s="245"/>
      <c r="K187" s="219">
        <f t="shared" si="15"/>
        <v>94304</v>
      </c>
      <c r="L187" s="219">
        <f t="shared" si="16"/>
        <v>54537.5</v>
      </c>
      <c r="M187" s="609">
        <f t="shared" si="17"/>
        <v>0.57831587207329482</v>
      </c>
    </row>
    <row r="188" spans="1:13" x14ac:dyDescent="0.25">
      <c r="A188" s="1124"/>
      <c r="B188" s="1125"/>
      <c r="C188" s="1125"/>
      <c r="D188" s="601" t="s">
        <v>465</v>
      </c>
      <c r="E188" s="43"/>
      <c r="F188" s="43"/>
      <c r="G188" s="245"/>
      <c r="H188" s="8">
        <f>H189</f>
        <v>50299</v>
      </c>
      <c r="I188" s="8">
        <f>I189+7600</f>
        <v>57898</v>
      </c>
      <c r="J188" s="245">
        <f t="shared" si="2"/>
        <v>1.1510765621582935</v>
      </c>
      <c r="K188" s="219">
        <f t="shared" si="15"/>
        <v>50299</v>
      </c>
      <c r="L188" s="219">
        <f t="shared" si="16"/>
        <v>57898</v>
      </c>
      <c r="M188" s="609">
        <f t="shared" si="17"/>
        <v>1.1510765621582935</v>
      </c>
    </row>
    <row r="189" spans="1:13" x14ac:dyDescent="0.25">
      <c r="A189" s="1124"/>
      <c r="B189" s="1125"/>
      <c r="C189" s="1125"/>
      <c r="D189" s="602" t="s">
        <v>466</v>
      </c>
      <c r="E189" s="43"/>
      <c r="F189" s="43"/>
      <c r="G189" s="245"/>
      <c r="H189" s="8">
        <v>50299</v>
      </c>
      <c r="I189" s="8">
        <v>50298</v>
      </c>
      <c r="J189" s="245">
        <f t="shared" si="2"/>
        <v>0.99998011888904348</v>
      </c>
      <c r="K189" s="219">
        <f t="shared" si="15"/>
        <v>50299</v>
      </c>
      <c r="L189" s="219">
        <f t="shared" si="16"/>
        <v>50298</v>
      </c>
      <c r="M189" s="609">
        <f t="shared" si="17"/>
        <v>0.99998011888904348</v>
      </c>
    </row>
    <row r="190" spans="1:13" ht="45.75" customHeight="1" x14ac:dyDescent="0.25">
      <c r="A190" s="1124" t="s">
        <v>104</v>
      </c>
      <c r="B190" s="1125" t="s">
        <v>105</v>
      </c>
      <c r="C190" s="1125" t="s">
        <v>106</v>
      </c>
      <c r="D190" s="28" t="s">
        <v>107</v>
      </c>
      <c r="E190" s="43">
        <f>E191</f>
        <v>23095620</v>
      </c>
      <c r="F190" s="43">
        <f>F191</f>
        <v>14932328.199999999</v>
      </c>
      <c r="G190" s="245">
        <f t="shared" si="1"/>
        <v>0.64654372560684659</v>
      </c>
      <c r="H190" s="8">
        <f>H191</f>
        <v>133786</v>
      </c>
      <c r="I190" s="8">
        <f>I191</f>
        <v>121527.44</v>
      </c>
      <c r="J190" s="245">
        <f t="shared" si="2"/>
        <v>0.90837187747596915</v>
      </c>
      <c r="K190" s="219">
        <f t="shared" si="15"/>
        <v>23229406</v>
      </c>
      <c r="L190" s="219">
        <f t="shared" si="16"/>
        <v>15053855.639999999</v>
      </c>
      <c r="M190" s="609">
        <f t="shared" si="17"/>
        <v>0.64805168242356259</v>
      </c>
    </row>
    <row r="191" spans="1:13" x14ac:dyDescent="0.25">
      <c r="A191" s="1124"/>
      <c r="B191" s="1125"/>
      <c r="C191" s="1125"/>
      <c r="D191" s="601" t="s">
        <v>462</v>
      </c>
      <c r="E191" s="43">
        <v>23095620</v>
      </c>
      <c r="F191" s="43">
        <v>14932328.199999999</v>
      </c>
      <c r="G191" s="245">
        <f t="shared" si="1"/>
        <v>0.64654372560684659</v>
      </c>
      <c r="H191" s="8">
        <v>133786</v>
      </c>
      <c r="I191" s="8">
        <v>121527.44</v>
      </c>
      <c r="J191" s="245">
        <f t="shared" si="2"/>
        <v>0.90837187747596915</v>
      </c>
      <c r="K191" s="219">
        <f t="shared" si="15"/>
        <v>23229406</v>
      </c>
      <c r="L191" s="219">
        <f t="shared" si="16"/>
        <v>15053855.639999999</v>
      </c>
      <c r="M191" s="609">
        <f t="shared" si="17"/>
        <v>0.64805168242356259</v>
      </c>
    </row>
    <row r="192" spans="1:13" x14ac:dyDescent="0.25">
      <c r="A192" s="1124"/>
      <c r="B192" s="1125"/>
      <c r="C192" s="1125"/>
      <c r="D192" s="602" t="s">
        <v>463</v>
      </c>
      <c r="E192" s="43">
        <v>17685455</v>
      </c>
      <c r="F192" s="43">
        <v>11892760.48</v>
      </c>
      <c r="G192" s="245">
        <f t="shared" si="1"/>
        <v>0.67245996667883301</v>
      </c>
      <c r="H192" s="8"/>
      <c r="I192" s="8"/>
      <c r="J192" s="245"/>
      <c r="K192" s="219">
        <f t="shared" si="15"/>
        <v>17685455</v>
      </c>
      <c r="L192" s="219">
        <f t="shared" si="16"/>
        <v>11892760.48</v>
      </c>
      <c r="M192" s="609">
        <f t="shared" si="17"/>
        <v>0.67245996667883301</v>
      </c>
    </row>
    <row r="193" spans="1:13" ht="31.5" x14ac:dyDescent="0.25">
      <c r="A193" s="1124"/>
      <c r="B193" s="1125"/>
      <c r="C193" s="1125"/>
      <c r="D193" s="602" t="s">
        <v>464</v>
      </c>
      <c r="E193" s="43">
        <v>4198353</v>
      </c>
      <c r="F193" s="43">
        <v>2251180.4900000002</v>
      </c>
      <c r="G193" s="245">
        <f t="shared" si="1"/>
        <v>0.53620562396730342</v>
      </c>
      <c r="H193" s="8"/>
      <c r="I193" s="8"/>
      <c r="J193" s="245"/>
      <c r="K193" s="219">
        <f t="shared" si="15"/>
        <v>4198353</v>
      </c>
      <c r="L193" s="219">
        <f t="shared" si="16"/>
        <v>2251180.4900000002</v>
      </c>
      <c r="M193" s="609">
        <f t="shared" si="17"/>
        <v>0.53620562396730342</v>
      </c>
    </row>
    <row r="194" spans="1:13" ht="31.5" x14ac:dyDescent="0.25">
      <c r="A194" s="1124" t="s">
        <v>193</v>
      </c>
      <c r="B194" s="1125" t="s">
        <v>194</v>
      </c>
      <c r="C194" s="1125" t="s">
        <v>108</v>
      </c>
      <c r="D194" s="28" t="s">
        <v>195</v>
      </c>
      <c r="E194" s="43">
        <f>E195</f>
        <v>1826056</v>
      </c>
      <c r="F194" s="43">
        <f>F195</f>
        <v>1232097.3600000001</v>
      </c>
      <c r="G194" s="245">
        <f t="shared" si="1"/>
        <v>0.67473142116123497</v>
      </c>
      <c r="H194" s="8">
        <f>H197</f>
        <v>23000</v>
      </c>
      <c r="I194" s="8">
        <f>I197</f>
        <v>23000</v>
      </c>
      <c r="J194" s="245">
        <f t="shared" ref="J194:J278" si="18">I194/H194</f>
        <v>1</v>
      </c>
      <c r="K194" s="219">
        <f t="shared" si="15"/>
        <v>1849056</v>
      </c>
      <c r="L194" s="219">
        <f t="shared" si="16"/>
        <v>1255097.3600000001</v>
      </c>
      <c r="M194" s="609">
        <f t="shared" si="17"/>
        <v>0.67877736531505817</v>
      </c>
    </row>
    <row r="195" spans="1:13" x14ac:dyDescent="0.25">
      <c r="A195" s="1124"/>
      <c r="B195" s="1125"/>
      <c r="C195" s="1125"/>
      <c r="D195" s="601" t="s">
        <v>462</v>
      </c>
      <c r="E195" s="43">
        <v>1826056</v>
      </c>
      <c r="F195" s="43">
        <v>1232097.3600000001</v>
      </c>
      <c r="G195" s="245">
        <f t="shared" si="1"/>
        <v>0.67473142116123497</v>
      </c>
      <c r="H195" s="8"/>
      <c r="I195" s="8"/>
      <c r="J195" s="245"/>
      <c r="K195" s="219">
        <f t="shared" si="15"/>
        <v>1826056</v>
      </c>
      <c r="L195" s="219">
        <f t="shared" si="16"/>
        <v>1232097.3600000001</v>
      </c>
      <c r="M195" s="609">
        <f t="shared" si="17"/>
        <v>0.67473142116123497</v>
      </c>
    </row>
    <row r="196" spans="1:13" x14ac:dyDescent="0.25">
      <c r="A196" s="1124"/>
      <c r="B196" s="1125"/>
      <c r="C196" s="1125"/>
      <c r="D196" s="602" t="s">
        <v>463</v>
      </c>
      <c r="E196" s="43">
        <v>1735698</v>
      </c>
      <c r="F196" s="43">
        <v>1155602.72</v>
      </c>
      <c r="G196" s="245">
        <f t="shared" si="1"/>
        <v>0.66578559173312402</v>
      </c>
      <c r="H196" s="8"/>
      <c r="I196" s="8"/>
      <c r="J196" s="245"/>
      <c r="K196" s="219">
        <f t="shared" si="15"/>
        <v>1735698</v>
      </c>
      <c r="L196" s="219">
        <f t="shared" si="16"/>
        <v>1155602.72</v>
      </c>
      <c r="M196" s="609">
        <f t="shared" si="17"/>
        <v>0.66578559173312402</v>
      </c>
    </row>
    <row r="197" spans="1:13" x14ac:dyDescent="0.25">
      <c r="A197" s="1124"/>
      <c r="B197" s="1125"/>
      <c r="C197" s="1125"/>
      <c r="D197" s="601" t="s">
        <v>465</v>
      </c>
      <c r="E197" s="43"/>
      <c r="F197" s="43"/>
      <c r="G197" s="245"/>
      <c r="H197" s="8">
        <f>H198</f>
        <v>23000</v>
      </c>
      <c r="I197" s="8">
        <f>I198</f>
        <v>23000</v>
      </c>
      <c r="J197" s="245">
        <f t="shared" si="18"/>
        <v>1</v>
      </c>
      <c r="K197" s="219">
        <f t="shared" si="15"/>
        <v>23000</v>
      </c>
      <c r="L197" s="219">
        <f t="shared" si="16"/>
        <v>23000</v>
      </c>
      <c r="M197" s="609">
        <f t="shared" si="17"/>
        <v>1</v>
      </c>
    </row>
    <row r="198" spans="1:13" x14ac:dyDescent="0.25">
      <c r="A198" s="1124"/>
      <c r="B198" s="1125"/>
      <c r="C198" s="1125"/>
      <c r="D198" s="602" t="s">
        <v>466</v>
      </c>
      <c r="E198" s="43"/>
      <c r="F198" s="43"/>
      <c r="G198" s="245"/>
      <c r="H198" s="8">
        <v>23000</v>
      </c>
      <c r="I198" s="8">
        <v>23000</v>
      </c>
      <c r="J198" s="245">
        <f t="shared" si="18"/>
        <v>1</v>
      </c>
      <c r="K198" s="219">
        <f t="shared" si="15"/>
        <v>23000</v>
      </c>
      <c r="L198" s="219">
        <f t="shared" si="16"/>
        <v>23000</v>
      </c>
      <c r="M198" s="609">
        <f t="shared" si="17"/>
        <v>1</v>
      </c>
    </row>
    <row r="199" spans="1:13" x14ac:dyDescent="0.25">
      <c r="A199" s="1124" t="s">
        <v>109</v>
      </c>
      <c r="B199" s="1125" t="s">
        <v>110</v>
      </c>
      <c r="C199" s="1125" t="s">
        <v>108</v>
      </c>
      <c r="D199" s="28" t="s">
        <v>111</v>
      </c>
      <c r="E199" s="43">
        <f>E200</f>
        <v>194000</v>
      </c>
      <c r="F199" s="43">
        <f>F200</f>
        <v>142995</v>
      </c>
      <c r="G199" s="245">
        <f t="shared" si="1"/>
        <v>0.73708762886597934</v>
      </c>
      <c r="H199" s="8">
        <v>0</v>
      </c>
      <c r="I199" s="8">
        <v>0</v>
      </c>
      <c r="J199" s="245"/>
      <c r="K199" s="219">
        <f t="shared" si="15"/>
        <v>194000</v>
      </c>
      <c r="L199" s="219">
        <f t="shared" si="16"/>
        <v>142995</v>
      </c>
      <c r="M199" s="609">
        <f t="shared" si="17"/>
        <v>0.73708762886597934</v>
      </c>
    </row>
    <row r="200" spans="1:13" x14ac:dyDescent="0.25">
      <c r="A200" s="1124"/>
      <c r="B200" s="1125"/>
      <c r="C200" s="1125"/>
      <c r="D200" s="601" t="s">
        <v>462</v>
      </c>
      <c r="E200" s="43">
        <v>194000</v>
      </c>
      <c r="F200" s="43">
        <v>142995</v>
      </c>
      <c r="G200" s="245">
        <f t="shared" si="1"/>
        <v>0.73708762886597934</v>
      </c>
      <c r="H200" s="8"/>
      <c r="I200" s="8"/>
      <c r="J200" s="245"/>
      <c r="K200" s="219">
        <f t="shared" si="15"/>
        <v>194000</v>
      </c>
      <c r="L200" s="219">
        <f t="shared" si="16"/>
        <v>142995</v>
      </c>
      <c r="M200" s="609">
        <f t="shared" si="17"/>
        <v>0.73708762886597934</v>
      </c>
    </row>
    <row r="201" spans="1:13" ht="31.5" x14ac:dyDescent="0.25">
      <c r="A201" s="1124" t="s">
        <v>112</v>
      </c>
      <c r="B201" s="1125" t="s">
        <v>113</v>
      </c>
      <c r="C201" s="1125" t="s">
        <v>114</v>
      </c>
      <c r="D201" s="28" t="s">
        <v>115</v>
      </c>
      <c r="E201" s="43">
        <f>E202</f>
        <v>32750</v>
      </c>
      <c r="F201" s="43">
        <f>F202</f>
        <v>29200</v>
      </c>
      <c r="G201" s="245">
        <f t="shared" si="1"/>
        <v>0.89160305343511448</v>
      </c>
      <c r="H201" s="8">
        <v>0</v>
      </c>
      <c r="I201" s="8">
        <v>0</v>
      </c>
      <c r="J201" s="245"/>
      <c r="K201" s="219">
        <f t="shared" si="15"/>
        <v>32750</v>
      </c>
      <c r="L201" s="219">
        <f t="shared" si="16"/>
        <v>29200</v>
      </c>
      <c r="M201" s="609">
        <f t="shared" si="17"/>
        <v>0.89160305343511448</v>
      </c>
    </row>
    <row r="202" spans="1:13" x14ac:dyDescent="0.25">
      <c r="A202" s="1124"/>
      <c r="B202" s="1125"/>
      <c r="C202" s="1125"/>
      <c r="D202" s="601" t="s">
        <v>462</v>
      </c>
      <c r="E202" s="43">
        <v>32750</v>
      </c>
      <c r="F202" s="43">
        <v>29200</v>
      </c>
      <c r="G202" s="245">
        <f t="shared" si="1"/>
        <v>0.89160305343511448</v>
      </c>
      <c r="H202" s="8"/>
      <c r="I202" s="8"/>
      <c r="J202" s="245"/>
      <c r="K202" s="219">
        <f t="shared" si="15"/>
        <v>32750</v>
      </c>
      <c r="L202" s="219">
        <f t="shared" si="16"/>
        <v>29200</v>
      </c>
      <c r="M202" s="609">
        <f t="shared" si="17"/>
        <v>0.89160305343511448</v>
      </c>
    </row>
    <row r="203" spans="1:13" ht="47.25" x14ac:dyDescent="0.25">
      <c r="A203" s="1124" t="s">
        <v>116</v>
      </c>
      <c r="B203" s="1125" t="s">
        <v>117</v>
      </c>
      <c r="C203" s="1125" t="s">
        <v>114</v>
      </c>
      <c r="D203" s="28" t="s">
        <v>118</v>
      </c>
      <c r="E203" s="43">
        <f>E204</f>
        <v>8200671</v>
      </c>
      <c r="F203" s="43">
        <f>F204</f>
        <v>4752577.72</v>
      </c>
      <c r="G203" s="245">
        <f t="shared" si="1"/>
        <v>0.57953522583700767</v>
      </c>
      <c r="H203" s="8">
        <v>0</v>
      </c>
      <c r="I203" s="8">
        <v>0</v>
      </c>
      <c r="J203" s="245"/>
      <c r="K203" s="219">
        <f t="shared" si="15"/>
        <v>8200671</v>
      </c>
      <c r="L203" s="219">
        <f t="shared" si="16"/>
        <v>4752577.72</v>
      </c>
      <c r="M203" s="609">
        <f t="shared" si="17"/>
        <v>0.57953522583700767</v>
      </c>
    </row>
    <row r="204" spans="1:13" x14ac:dyDescent="0.25">
      <c r="A204" s="1124"/>
      <c r="B204" s="1125"/>
      <c r="C204" s="1125"/>
      <c r="D204" s="601" t="s">
        <v>462</v>
      </c>
      <c r="E204" s="43">
        <v>8200671</v>
      </c>
      <c r="F204" s="43">
        <v>4752577.72</v>
      </c>
      <c r="G204" s="245">
        <f t="shared" si="1"/>
        <v>0.57953522583700767</v>
      </c>
      <c r="H204" s="8"/>
      <c r="I204" s="8"/>
      <c r="J204" s="245"/>
      <c r="K204" s="219">
        <f t="shared" si="15"/>
        <v>8200671</v>
      </c>
      <c r="L204" s="219">
        <f t="shared" si="16"/>
        <v>4752577.72</v>
      </c>
      <c r="M204" s="609">
        <f t="shared" si="17"/>
        <v>0.57953522583700767</v>
      </c>
    </row>
    <row r="205" spans="1:13" x14ac:dyDescent="0.25">
      <c r="A205" s="1124"/>
      <c r="B205" s="1125"/>
      <c r="C205" s="1125"/>
      <c r="D205" s="602" t="s">
        <v>463</v>
      </c>
      <c r="E205" s="43">
        <v>5841224</v>
      </c>
      <c r="F205" s="43">
        <v>3660343.77</v>
      </c>
      <c r="G205" s="245">
        <f t="shared" si="1"/>
        <v>0.6266398566464837</v>
      </c>
      <c r="H205" s="8"/>
      <c r="I205" s="8"/>
      <c r="J205" s="245"/>
      <c r="K205" s="219">
        <f t="shared" si="15"/>
        <v>5841224</v>
      </c>
      <c r="L205" s="219">
        <f t="shared" si="16"/>
        <v>3660343.77</v>
      </c>
      <c r="M205" s="609">
        <f t="shared" si="17"/>
        <v>0.6266398566464837</v>
      </c>
    </row>
    <row r="206" spans="1:13" ht="31.5" x14ac:dyDescent="0.25">
      <c r="A206" s="1124"/>
      <c r="B206" s="1125"/>
      <c r="C206" s="1125"/>
      <c r="D206" s="602" t="s">
        <v>464</v>
      </c>
      <c r="E206" s="43">
        <v>452628</v>
      </c>
      <c r="F206" s="43">
        <v>279420.11</v>
      </c>
      <c r="G206" s="245">
        <f t="shared" si="1"/>
        <v>0.61732838003835377</v>
      </c>
      <c r="H206" s="8"/>
      <c r="I206" s="8"/>
      <c r="J206" s="245"/>
      <c r="K206" s="219">
        <f t="shared" si="15"/>
        <v>452628</v>
      </c>
      <c r="L206" s="219">
        <f t="shared" si="16"/>
        <v>279420.11</v>
      </c>
      <c r="M206" s="609">
        <f t="shared" si="17"/>
        <v>0.61732838003835377</v>
      </c>
    </row>
    <row r="207" spans="1:13" ht="31.5" x14ac:dyDescent="0.25">
      <c r="A207" s="1124" t="s">
        <v>196</v>
      </c>
      <c r="B207" s="1125" t="s">
        <v>197</v>
      </c>
      <c r="C207" s="1125" t="s">
        <v>114</v>
      </c>
      <c r="D207" s="28" t="s">
        <v>157</v>
      </c>
      <c r="E207" s="43">
        <f>E208</f>
        <v>28448040</v>
      </c>
      <c r="F207" s="43">
        <f>F208</f>
        <v>16986744.010000002</v>
      </c>
      <c r="G207" s="245">
        <f t="shared" si="1"/>
        <v>0.59711474006645104</v>
      </c>
      <c r="H207" s="224">
        <f>H208+H209</f>
        <v>1594000</v>
      </c>
      <c r="I207" s="224">
        <f>I208+I209</f>
        <v>0</v>
      </c>
      <c r="J207" s="245">
        <f>I207/H207</f>
        <v>0</v>
      </c>
      <c r="K207" s="219">
        <f t="shared" si="15"/>
        <v>30042040</v>
      </c>
      <c r="L207" s="219">
        <f t="shared" si="16"/>
        <v>16986744.010000002</v>
      </c>
      <c r="M207" s="609">
        <f t="shared" si="17"/>
        <v>0.56543244100600365</v>
      </c>
    </row>
    <row r="208" spans="1:13" x14ac:dyDescent="0.25">
      <c r="A208" s="1124"/>
      <c r="B208" s="1125"/>
      <c r="C208" s="1125"/>
      <c r="D208" s="601" t="s">
        <v>462</v>
      </c>
      <c r="E208" s="43">
        <v>28448040</v>
      </c>
      <c r="F208" s="43">
        <v>16986744.010000002</v>
      </c>
      <c r="G208" s="245">
        <f t="shared" si="1"/>
        <v>0.59711474006645104</v>
      </c>
      <c r="H208" s="8"/>
      <c r="I208" s="8"/>
      <c r="J208" s="245"/>
      <c r="K208" s="219">
        <f t="shared" si="15"/>
        <v>28448040</v>
      </c>
      <c r="L208" s="219">
        <f t="shared" si="16"/>
        <v>16986744.010000002</v>
      </c>
      <c r="M208" s="609">
        <f t="shared" si="17"/>
        <v>0.59711474006645104</v>
      </c>
    </row>
    <row r="209" spans="1:13" x14ac:dyDescent="0.25">
      <c r="A209" s="1124"/>
      <c r="B209" s="1125"/>
      <c r="C209" s="1125"/>
      <c r="D209" s="601" t="s">
        <v>465</v>
      </c>
      <c r="E209" s="43"/>
      <c r="F209" s="43"/>
      <c r="G209" s="245"/>
      <c r="H209" s="8">
        <f>H210</f>
        <v>1594000</v>
      </c>
      <c r="I209" s="8">
        <f>I210</f>
        <v>0</v>
      </c>
      <c r="J209" s="245">
        <f>I209/H209</f>
        <v>0</v>
      </c>
      <c r="K209" s="219">
        <f t="shared" si="15"/>
        <v>1594000</v>
      </c>
      <c r="L209" s="219">
        <f t="shared" si="16"/>
        <v>0</v>
      </c>
      <c r="M209" s="609">
        <f t="shared" si="17"/>
        <v>0</v>
      </c>
    </row>
    <row r="210" spans="1:13" x14ac:dyDescent="0.25">
      <c r="A210" s="1124"/>
      <c r="B210" s="1125"/>
      <c r="C210" s="1125"/>
      <c r="D210" s="602" t="s">
        <v>466</v>
      </c>
      <c r="E210" s="43"/>
      <c r="F210" s="43"/>
      <c r="G210" s="245"/>
      <c r="H210" s="8">
        <v>1594000</v>
      </c>
      <c r="I210" s="8">
        <v>0</v>
      </c>
      <c r="J210" s="245">
        <f>I210/H210</f>
        <v>0</v>
      </c>
      <c r="K210" s="219">
        <f t="shared" si="15"/>
        <v>1594000</v>
      </c>
      <c r="L210" s="219">
        <f t="shared" si="16"/>
        <v>0</v>
      </c>
      <c r="M210" s="609">
        <f t="shared" si="17"/>
        <v>0</v>
      </c>
    </row>
    <row r="211" spans="1:13" ht="47.25" x14ac:dyDescent="0.25">
      <c r="A211" s="1124">
        <v>1015049</v>
      </c>
      <c r="B211" s="1125">
        <v>5049</v>
      </c>
      <c r="C211" s="1125" t="s">
        <v>114</v>
      </c>
      <c r="D211" s="28" t="s">
        <v>519</v>
      </c>
      <c r="E211" s="43">
        <f>E212</f>
        <v>166311</v>
      </c>
      <c r="F211" s="43">
        <f>F212</f>
        <v>103944</v>
      </c>
      <c r="G211" s="245">
        <f t="shared" si="1"/>
        <v>0.6249977451882317</v>
      </c>
      <c r="H211" s="8"/>
      <c r="I211" s="8"/>
      <c r="J211" s="245"/>
      <c r="K211" s="219">
        <f t="shared" si="15"/>
        <v>166311</v>
      </c>
      <c r="L211" s="219">
        <f t="shared" si="16"/>
        <v>103944</v>
      </c>
      <c r="M211" s="609">
        <f t="shared" si="17"/>
        <v>0.6249977451882317</v>
      </c>
    </row>
    <row r="212" spans="1:13" x14ac:dyDescent="0.25">
      <c r="A212" s="1124"/>
      <c r="B212" s="1125"/>
      <c r="C212" s="1125"/>
      <c r="D212" s="601" t="s">
        <v>462</v>
      </c>
      <c r="E212" s="43">
        <f>E213</f>
        <v>166311</v>
      </c>
      <c r="F212" s="43">
        <f>F213</f>
        <v>103944</v>
      </c>
      <c r="G212" s="245">
        <f t="shared" si="1"/>
        <v>0.6249977451882317</v>
      </c>
      <c r="H212" s="8"/>
      <c r="I212" s="8"/>
      <c r="J212" s="245"/>
      <c r="K212" s="219">
        <f t="shared" si="15"/>
        <v>166311</v>
      </c>
      <c r="L212" s="219">
        <f t="shared" si="16"/>
        <v>103944</v>
      </c>
      <c r="M212" s="609">
        <f t="shared" si="17"/>
        <v>0.6249977451882317</v>
      </c>
    </row>
    <row r="213" spans="1:13" x14ac:dyDescent="0.25">
      <c r="A213" s="1124"/>
      <c r="B213" s="1125"/>
      <c r="C213" s="1125"/>
      <c r="D213" s="602" t="s">
        <v>463</v>
      </c>
      <c r="E213" s="43">
        <v>166311</v>
      </c>
      <c r="F213" s="43">
        <v>103944</v>
      </c>
      <c r="G213" s="245">
        <f t="shared" si="1"/>
        <v>0.6249977451882317</v>
      </c>
      <c r="H213" s="8"/>
      <c r="I213" s="8"/>
      <c r="J213" s="245"/>
      <c r="K213" s="219">
        <f t="shared" si="15"/>
        <v>166311</v>
      </c>
      <c r="L213" s="219">
        <f t="shared" si="16"/>
        <v>103944</v>
      </c>
      <c r="M213" s="609">
        <f t="shared" si="17"/>
        <v>0.6249977451882317</v>
      </c>
    </row>
    <row r="214" spans="1:13" ht="79.5" customHeight="1" x14ac:dyDescent="0.25">
      <c r="A214" s="1124" t="s">
        <v>119</v>
      </c>
      <c r="B214" s="1125" t="s">
        <v>120</v>
      </c>
      <c r="C214" s="1125" t="s">
        <v>114</v>
      </c>
      <c r="D214" s="28" t="s">
        <v>121</v>
      </c>
      <c r="E214" s="43">
        <f>E215</f>
        <v>5273449</v>
      </c>
      <c r="F214" s="43">
        <f>F215</f>
        <v>3234101.56</v>
      </c>
      <c r="G214" s="245">
        <f t="shared" si="1"/>
        <v>0.61328014360241279</v>
      </c>
      <c r="H214" s="8">
        <v>0</v>
      </c>
      <c r="I214" s="8">
        <v>0</v>
      </c>
      <c r="J214" s="245"/>
      <c r="K214" s="219">
        <f t="shared" si="15"/>
        <v>5273449</v>
      </c>
      <c r="L214" s="219">
        <f t="shared" si="16"/>
        <v>3234101.56</v>
      </c>
      <c r="M214" s="609">
        <f t="shared" si="17"/>
        <v>0.61328014360241279</v>
      </c>
    </row>
    <row r="215" spans="1:13" x14ac:dyDescent="0.25">
      <c r="A215" s="1124"/>
      <c r="B215" s="1125"/>
      <c r="C215" s="1125"/>
      <c r="D215" s="601" t="s">
        <v>462</v>
      </c>
      <c r="E215" s="43">
        <v>5273449</v>
      </c>
      <c r="F215" s="43">
        <v>3234101.56</v>
      </c>
      <c r="G215" s="245">
        <f t="shared" si="1"/>
        <v>0.61328014360241279</v>
      </c>
      <c r="H215" s="8"/>
      <c r="I215" s="8"/>
      <c r="J215" s="245"/>
      <c r="K215" s="219">
        <f t="shared" si="15"/>
        <v>5273449</v>
      </c>
      <c r="L215" s="219">
        <f t="shared" si="16"/>
        <v>3234101.56</v>
      </c>
      <c r="M215" s="609">
        <f t="shared" si="17"/>
        <v>0.61328014360241279</v>
      </c>
    </row>
    <row r="216" spans="1:13" x14ac:dyDescent="0.25">
      <c r="A216" s="1124"/>
      <c r="B216" s="1125"/>
      <c r="C216" s="1125"/>
      <c r="D216" s="602" t="s">
        <v>463</v>
      </c>
      <c r="E216" s="43">
        <v>3780354</v>
      </c>
      <c r="F216" s="43">
        <v>2468665.79</v>
      </c>
      <c r="G216" s="245">
        <f t="shared" si="1"/>
        <v>0.65302503151821234</v>
      </c>
      <c r="H216" s="8"/>
      <c r="I216" s="8"/>
      <c r="J216" s="245"/>
      <c r="K216" s="219">
        <f t="shared" si="15"/>
        <v>3780354</v>
      </c>
      <c r="L216" s="219">
        <f t="shared" si="16"/>
        <v>2468665.79</v>
      </c>
      <c r="M216" s="609">
        <f t="shared" si="17"/>
        <v>0.65302503151821234</v>
      </c>
    </row>
    <row r="217" spans="1:13" ht="31.5" x14ac:dyDescent="0.25">
      <c r="A217" s="1124"/>
      <c r="B217" s="1125"/>
      <c r="C217" s="1125"/>
      <c r="D217" s="602" t="s">
        <v>464</v>
      </c>
      <c r="E217" s="43">
        <v>114836</v>
      </c>
      <c r="F217" s="43">
        <v>34799.19</v>
      </c>
      <c r="G217" s="245">
        <f t="shared" si="1"/>
        <v>0.30303380473022401</v>
      </c>
      <c r="H217" s="8"/>
      <c r="I217" s="8"/>
      <c r="J217" s="245"/>
      <c r="K217" s="219">
        <f t="shared" si="15"/>
        <v>114836</v>
      </c>
      <c r="L217" s="219">
        <f t="shared" si="16"/>
        <v>34799.19</v>
      </c>
      <c r="M217" s="609">
        <f t="shared" si="17"/>
        <v>0.30303380473022401</v>
      </c>
    </row>
    <row r="218" spans="1:13" ht="57" customHeight="1" x14ac:dyDescent="0.25">
      <c r="A218" s="1124" t="s">
        <v>122</v>
      </c>
      <c r="B218" s="1125" t="s">
        <v>123</v>
      </c>
      <c r="C218" s="1125" t="s">
        <v>114</v>
      </c>
      <c r="D218" s="28" t="s">
        <v>124</v>
      </c>
      <c r="E218" s="43">
        <f>E219</f>
        <v>438000</v>
      </c>
      <c r="F218" s="43">
        <f>F219</f>
        <v>328500</v>
      </c>
      <c r="G218" s="245">
        <f t="shared" si="1"/>
        <v>0.75</v>
      </c>
      <c r="H218" s="8">
        <v>0</v>
      </c>
      <c r="I218" s="8">
        <v>0</v>
      </c>
      <c r="J218" s="245"/>
      <c r="K218" s="219">
        <f t="shared" si="15"/>
        <v>438000</v>
      </c>
      <c r="L218" s="219">
        <f t="shared" si="16"/>
        <v>328500</v>
      </c>
      <c r="M218" s="609">
        <f t="shared" si="17"/>
        <v>0.75</v>
      </c>
    </row>
    <row r="219" spans="1:13" x14ac:dyDescent="0.25">
      <c r="A219" s="1124"/>
      <c r="B219" s="1125"/>
      <c r="C219" s="1125"/>
      <c r="D219" s="601" t="s">
        <v>462</v>
      </c>
      <c r="E219" s="43">
        <v>438000</v>
      </c>
      <c r="F219" s="43">
        <v>328500</v>
      </c>
      <c r="G219" s="245">
        <f t="shared" si="1"/>
        <v>0.75</v>
      </c>
      <c r="H219" s="8"/>
      <c r="I219" s="8"/>
      <c r="J219" s="245"/>
      <c r="K219" s="219">
        <f t="shared" si="15"/>
        <v>438000</v>
      </c>
      <c r="L219" s="219">
        <f t="shared" si="16"/>
        <v>328500</v>
      </c>
      <c r="M219" s="609">
        <f t="shared" si="17"/>
        <v>0.75</v>
      </c>
    </row>
    <row r="220" spans="1:13" ht="47.25" x14ac:dyDescent="0.25">
      <c r="A220" s="36">
        <v>1018110</v>
      </c>
      <c r="B220" s="12">
        <v>8110</v>
      </c>
      <c r="C220" s="233" t="s">
        <v>231</v>
      </c>
      <c r="D220" s="234" t="s">
        <v>232</v>
      </c>
      <c r="E220" s="235">
        <f>E221</f>
        <v>102300</v>
      </c>
      <c r="F220" s="235">
        <f>F221</f>
        <v>1500</v>
      </c>
      <c r="G220" s="253">
        <f t="shared" si="1"/>
        <v>1.466275659824047E-2</v>
      </c>
      <c r="H220" s="236">
        <v>0</v>
      </c>
      <c r="I220" s="236">
        <v>0</v>
      </c>
      <c r="J220" s="253"/>
      <c r="K220" s="219">
        <f t="shared" si="15"/>
        <v>102300</v>
      </c>
      <c r="L220" s="219">
        <f t="shared" si="16"/>
        <v>1500</v>
      </c>
      <c r="M220" s="609">
        <f t="shared" si="17"/>
        <v>1.466275659824047E-2</v>
      </c>
    </row>
    <row r="221" spans="1:13" x14ac:dyDescent="0.25">
      <c r="A221" s="1124"/>
      <c r="B221" s="1125"/>
      <c r="C221" s="56"/>
      <c r="D221" s="601" t="s">
        <v>462</v>
      </c>
      <c r="E221" s="43">
        <v>102300</v>
      </c>
      <c r="F221" s="43">
        <v>1500</v>
      </c>
      <c r="G221" s="245">
        <f t="shared" si="1"/>
        <v>1.466275659824047E-2</v>
      </c>
      <c r="H221" s="8"/>
      <c r="I221" s="8"/>
      <c r="J221" s="245"/>
      <c r="K221" s="8">
        <f t="shared" si="15"/>
        <v>102300</v>
      </c>
      <c r="L221" s="8">
        <f t="shared" si="16"/>
        <v>1500</v>
      </c>
      <c r="M221" s="608">
        <f t="shared" si="17"/>
        <v>1.466275659824047E-2</v>
      </c>
    </row>
    <row r="222" spans="1:13" ht="32.25" thickBot="1" x14ac:dyDescent="0.3">
      <c r="A222" s="36"/>
      <c r="B222" s="12"/>
      <c r="C222" s="233"/>
      <c r="D222" s="624" t="s">
        <v>464</v>
      </c>
      <c r="E222" s="235">
        <v>100800</v>
      </c>
      <c r="F222" s="235">
        <v>0</v>
      </c>
      <c r="G222" s="245">
        <f t="shared" si="1"/>
        <v>0</v>
      </c>
      <c r="H222" s="236"/>
      <c r="I222" s="236"/>
      <c r="J222" s="253"/>
      <c r="K222" s="8">
        <f t="shared" si="15"/>
        <v>100800</v>
      </c>
      <c r="L222" s="8">
        <f t="shared" si="16"/>
        <v>0</v>
      </c>
      <c r="M222" s="608">
        <f t="shared" si="17"/>
        <v>0</v>
      </c>
    </row>
    <row r="223" spans="1:13" s="33" customFormat="1" ht="73.900000000000006" customHeight="1" thickBot="1" x14ac:dyDescent="0.3">
      <c r="A223" s="38" t="s">
        <v>125</v>
      </c>
      <c r="B223" s="39" t="s">
        <v>14</v>
      </c>
      <c r="C223" s="39" t="s">
        <v>14</v>
      </c>
      <c r="D223" s="40" t="s">
        <v>126</v>
      </c>
      <c r="E223" s="58">
        <f>E224</f>
        <v>71259716</v>
      </c>
      <c r="F223" s="58">
        <f>F224</f>
        <v>36544232.699999996</v>
      </c>
      <c r="G223" s="243">
        <f t="shared" si="1"/>
        <v>0.51283157934561507</v>
      </c>
      <c r="H223" s="13">
        <f>H224</f>
        <v>5342600</v>
      </c>
      <c r="I223" s="13">
        <f>I224</f>
        <v>197700</v>
      </c>
      <c r="J223" s="243">
        <f t="shared" si="18"/>
        <v>3.7004454759854755E-2</v>
      </c>
      <c r="K223" s="241">
        <f>K224</f>
        <v>76602316</v>
      </c>
      <c r="L223" s="241">
        <f>L224</f>
        <v>36741932.699999996</v>
      </c>
      <c r="M223" s="252">
        <f t="shared" si="17"/>
        <v>0.47964519375628273</v>
      </c>
    </row>
    <row r="224" spans="1:13" s="32" customFormat="1" ht="60.6" customHeight="1" x14ac:dyDescent="0.25">
      <c r="A224" s="51" t="s">
        <v>127</v>
      </c>
      <c r="B224" s="52" t="s">
        <v>14</v>
      </c>
      <c r="C224" s="52" t="s">
        <v>14</v>
      </c>
      <c r="D224" s="53" t="s">
        <v>126</v>
      </c>
      <c r="E224" s="45">
        <f>E225+E230+E232+E234+E236+E240+E242+E246+E244</f>
        <v>71259716</v>
      </c>
      <c r="F224" s="45">
        <f>F225+F230+F232+F234+F236+F240+F242+F246+F244</f>
        <v>36544232.699999996</v>
      </c>
      <c r="G224" s="244">
        <f t="shared" si="1"/>
        <v>0.51283157934561507</v>
      </c>
      <c r="H224" s="45">
        <f>H225+H230+H232+H234+H236+H240+H242+H246</f>
        <v>5342600</v>
      </c>
      <c r="I224" s="45">
        <f>I225+I230+I232+I234+I236+I240+I242+I246</f>
        <v>197700</v>
      </c>
      <c r="J224" s="244">
        <f t="shared" si="18"/>
        <v>3.7004454759854755E-2</v>
      </c>
      <c r="K224" s="242">
        <f>K225+K230+K232+K234+K236+K240+K242+K246+K244</f>
        <v>76602316</v>
      </c>
      <c r="L224" s="242">
        <f>L225+L230+L232+L234+L236+L240+L242+L246+L244</f>
        <v>36741932.699999996</v>
      </c>
      <c r="M224" s="610">
        <f t="shared" si="17"/>
        <v>0.47964519375628273</v>
      </c>
    </row>
    <row r="225" spans="1:13" ht="47.25" x14ac:dyDescent="0.25">
      <c r="A225" s="1124" t="s">
        <v>128</v>
      </c>
      <c r="B225" s="1125" t="s">
        <v>44</v>
      </c>
      <c r="C225" s="1125" t="s">
        <v>17</v>
      </c>
      <c r="D225" s="28" t="s">
        <v>175</v>
      </c>
      <c r="E225" s="43">
        <f>E226</f>
        <v>4082162</v>
      </c>
      <c r="F225" s="43">
        <f>F226</f>
        <v>2918668.62</v>
      </c>
      <c r="G225" s="245">
        <f t="shared" si="1"/>
        <v>0.71498108600295629</v>
      </c>
      <c r="H225" s="8">
        <f>H228</f>
        <v>23000</v>
      </c>
      <c r="I225" s="8">
        <f>I228</f>
        <v>23000</v>
      </c>
      <c r="J225" s="245">
        <f t="shared" si="18"/>
        <v>1</v>
      </c>
      <c r="K225" s="219">
        <f>E225+H225</f>
        <v>4105162</v>
      </c>
      <c r="L225" s="219">
        <f>F225+I225</f>
        <v>2941668.62</v>
      </c>
      <c r="M225" s="609">
        <f t="shared" si="17"/>
        <v>0.7165779620877325</v>
      </c>
    </row>
    <row r="226" spans="1:13" x14ac:dyDescent="0.25">
      <c r="A226" s="1124"/>
      <c r="B226" s="1125"/>
      <c r="C226" s="1125"/>
      <c r="D226" s="601" t="s">
        <v>462</v>
      </c>
      <c r="E226" s="43">
        <v>4082162</v>
      </c>
      <c r="F226" s="43">
        <v>2918668.62</v>
      </c>
      <c r="G226" s="245">
        <f t="shared" si="1"/>
        <v>0.71498108600295629</v>
      </c>
      <c r="H226" s="8"/>
      <c r="I226" s="8"/>
      <c r="J226" s="245"/>
      <c r="K226" s="219">
        <f t="shared" ref="K226:K248" si="19">E226+H226</f>
        <v>4082162</v>
      </c>
      <c r="L226" s="219">
        <f t="shared" ref="L226:L248" si="20">F226+I226</f>
        <v>2918668.62</v>
      </c>
      <c r="M226" s="609">
        <f t="shared" si="17"/>
        <v>0.71498108600295629</v>
      </c>
    </row>
    <row r="227" spans="1:13" x14ac:dyDescent="0.25">
      <c r="A227" s="1124"/>
      <c r="B227" s="1125"/>
      <c r="C227" s="1125"/>
      <c r="D227" s="602" t="s">
        <v>463</v>
      </c>
      <c r="E227" s="43">
        <v>3989655</v>
      </c>
      <c r="F227" s="43">
        <v>2842010.6</v>
      </c>
      <c r="G227" s="245">
        <f t="shared" si="1"/>
        <v>0.71234495213245252</v>
      </c>
      <c r="H227" s="8"/>
      <c r="I227" s="8"/>
      <c r="J227" s="245"/>
      <c r="K227" s="219">
        <f t="shared" si="19"/>
        <v>3989655</v>
      </c>
      <c r="L227" s="219">
        <f t="shared" si="20"/>
        <v>2842010.6</v>
      </c>
      <c r="M227" s="609">
        <f t="shared" si="17"/>
        <v>0.71234495213245252</v>
      </c>
    </row>
    <row r="228" spans="1:13" x14ac:dyDescent="0.25">
      <c r="A228" s="1124"/>
      <c r="B228" s="1125"/>
      <c r="C228" s="1125"/>
      <c r="D228" s="601" t="s">
        <v>465</v>
      </c>
      <c r="E228" s="43"/>
      <c r="F228" s="43"/>
      <c r="G228" s="245"/>
      <c r="H228" s="8">
        <f>H229</f>
        <v>23000</v>
      </c>
      <c r="I228" s="8">
        <f>I229</f>
        <v>23000</v>
      </c>
      <c r="J228" s="245">
        <f t="shared" si="18"/>
        <v>1</v>
      </c>
      <c r="K228" s="219">
        <f t="shared" si="19"/>
        <v>23000</v>
      </c>
      <c r="L228" s="219">
        <f t="shared" si="20"/>
        <v>23000</v>
      </c>
      <c r="M228" s="609">
        <f t="shared" si="17"/>
        <v>1</v>
      </c>
    </row>
    <row r="229" spans="1:13" x14ac:dyDescent="0.25">
      <c r="A229" s="1124"/>
      <c r="B229" s="1125"/>
      <c r="C229" s="1125"/>
      <c r="D229" s="602" t="s">
        <v>466</v>
      </c>
      <c r="E229" s="43"/>
      <c r="F229" s="43"/>
      <c r="G229" s="245"/>
      <c r="H229" s="8">
        <v>23000</v>
      </c>
      <c r="I229" s="8">
        <v>23000</v>
      </c>
      <c r="J229" s="245">
        <f t="shared" si="18"/>
        <v>1</v>
      </c>
      <c r="K229" s="219">
        <f t="shared" si="19"/>
        <v>23000</v>
      </c>
      <c r="L229" s="219">
        <f t="shared" si="20"/>
        <v>23000</v>
      </c>
      <c r="M229" s="609">
        <f t="shared" si="17"/>
        <v>1</v>
      </c>
    </row>
    <row r="230" spans="1:13" ht="31.5" x14ac:dyDescent="0.25">
      <c r="A230" s="1124" t="s">
        <v>129</v>
      </c>
      <c r="B230" s="1125" t="s">
        <v>130</v>
      </c>
      <c r="C230" s="1125" t="s">
        <v>131</v>
      </c>
      <c r="D230" s="28" t="s">
        <v>132</v>
      </c>
      <c r="E230" s="43">
        <f>E231</f>
        <v>8474</v>
      </c>
      <c r="F230" s="43">
        <f>F231</f>
        <v>8311.74</v>
      </c>
      <c r="G230" s="245">
        <f t="shared" si="1"/>
        <v>0.98085201793721966</v>
      </c>
      <c r="H230" s="8">
        <v>0</v>
      </c>
      <c r="I230" s="8">
        <v>0</v>
      </c>
      <c r="J230" s="245"/>
      <c r="K230" s="219">
        <f t="shared" si="19"/>
        <v>8474</v>
      </c>
      <c r="L230" s="219">
        <f t="shared" si="20"/>
        <v>8311.74</v>
      </c>
      <c r="M230" s="609">
        <f t="shared" si="17"/>
        <v>0.98085201793721966</v>
      </c>
    </row>
    <row r="231" spans="1:13" x14ac:dyDescent="0.25">
      <c r="A231" s="1124"/>
      <c r="B231" s="1125"/>
      <c r="C231" s="1125"/>
      <c r="D231" s="601" t="s">
        <v>462</v>
      </c>
      <c r="E231" s="43">
        <v>8474</v>
      </c>
      <c r="F231" s="43">
        <v>8311.74</v>
      </c>
      <c r="G231" s="245">
        <f t="shared" si="1"/>
        <v>0.98085201793721966</v>
      </c>
      <c r="H231" s="8"/>
      <c r="I231" s="8"/>
      <c r="J231" s="245"/>
      <c r="K231" s="219">
        <f t="shared" si="19"/>
        <v>8474</v>
      </c>
      <c r="L231" s="219">
        <f t="shared" si="20"/>
        <v>8311.74</v>
      </c>
      <c r="M231" s="609">
        <f t="shared" si="17"/>
        <v>0.98085201793721966</v>
      </c>
    </row>
    <row r="232" spans="1:13" ht="47.25" x14ac:dyDescent="0.25">
      <c r="A232" s="1124">
        <v>1216012</v>
      </c>
      <c r="B232" s="1125">
        <v>6012</v>
      </c>
      <c r="C232" s="56" t="s">
        <v>27</v>
      </c>
      <c r="D232" s="28" t="s">
        <v>236</v>
      </c>
      <c r="E232" s="43">
        <f>E233</f>
        <v>5671150</v>
      </c>
      <c r="F232" s="43">
        <f>F233</f>
        <v>0</v>
      </c>
      <c r="G232" s="245">
        <f t="shared" si="1"/>
        <v>0</v>
      </c>
      <c r="H232" s="8">
        <v>0</v>
      </c>
      <c r="I232" s="8">
        <v>0</v>
      </c>
      <c r="J232" s="245"/>
      <c r="K232" s="219">
        <f t="shared" si="19"/>
        <v>5671150</v>
      </c>
      <c r="L232" s="219">
        <f t="shared" si="20"/>
        <v>0</v>
      </c>
      <c r="M232" s="609">
        <f t="shared" si="17"/>
        <v>0</v>
      </c>
    </row>
    <row r="233" spans="1:13" x14ac:dyDescent="0.25">
      <c r="A233" s="1124"/>
      <c r="B233" s="1125"/>
      <c r="C233" s="56"/>
      <c r="D233" s="601" t="s">
        <v>462</v>
      </c>
      <c r="E233" s="43">
        <v>5671150</v>
      </c>
      <c r="F233" s="43">
        <v>0</v>
      </c>
      <c r="G233" s="245">
        <f t="shared" si="1"/>
        <v>0</v>
      </c>
      <c r="H233" s="8"/>
      <c r="I233" s="8"/>
      <c r="J233" s="245"/>
      <c r="K233" s="219">
        <f t="shared" si="19"/>
        <v>5671150</v>
      </c>
      <c r="L233" s="219">
        <f t="shared" si="20"/>
        <v>0</v>
      </c>
      <c r="M233" s="609">
        <f t="shared" si="17"/>
        <v>0</v>
      </c>
    </row>
    <row r="234" spans="1:13" ht="31.5" x14ac:dyDescent="0.25">
      <c r="A234" s="1124" t="s">
        <v>133</v>
      </c>
      <c r="B234" s="1125" t="s">
        <v>134</v>
      </c>
      <c r="C234" s="1125" t="s">
        <v>27</v>
      </c>
      <c r="D234" s="28" t="s">
        <v>135</v>
      </c>
      <c r="E234" s="43">
        <f>E235</f>
        <v>1231641</v>
      </c>
      <c r="F234" s="43">
        <f>F235</f>
        <v>966551.95</v>
      </c>
      <c r="G234" s="245">
        <f t="shared" si="1"/>
        <v>0.78476759867526324</v>
      </c>
      <c r="H234" s="8">
        <v>0</v>
      </c>
      <c r="I234" s="8">
        <v>0</v>
      </c>
      <c r="J234" s="245"/>
      <c r="K234" s="219">
        <f t="shared" si="19"/>
        <v>1231641</v>
      </c>
      <c r="L234" s="219">
        <f t="shared" si="20"/>
        <v>966551.95</v>
      </c>
      <c r="M234" s="609">
        <f t="shared" si="17"/>
        <v>0.78476759867526324</v>
      </c>
    </row>
    <row r="235" spans="1:13" x14ac:dyDescent="0.25">
      <c r="A235" s="1124"/>
      <c r="B235" s="1125"/>
      <c r="C235" s="1125"/>
      <c r="D235" s="601" t="s">
        <v>462</v>
      </c>
      <c r="E235" s="43">
        <v>1231641</v>
      </c>
      <c r="F235" s="43">
        <v>966551.95</v>
      </c>
      <c r="G235" s="245">
        <f t="shared" si="1"/>
        <v>0.78476759867526324</v>
      </c>
      <c r="H235" s="8"/>
      <c r="I235" s="8"/>
      <c r="J235" s="245"/>
      <c r="K235" s="219">
        <f t="shared" si="19"/>
        <v>1231641</v>
      </c>
      <c r="L235" s="219">
        <f t="shared" si="20"/>
        <v>966551.95</v>
      </c>
      <c r="M235" s="609">
        <f t="shared" si="17"/>
        <v>0.78476759867526324</v>
      </c>
    </row>
    <row r="236" spans="1:13" x14ac:dyDescent="0.25">
      <c r="A236" s="1124" t="s">
        <v>136</v>
      </c>
      <c r="B236" s="1125" t="s">
        <v>26</v>
      </c>
      <c r="C236" s="1125" t="s">
        <v>27</v>
      </c>
      <c r="D236" s="28" t="s">
        <v>28</v>
      </c>
      <c r="E236" s="43">
        <f>E237</f>
        <v>47613157</v>
      </c>
      <c r="F236" s="43">
        <f>F237</f>
        <v>26460701.199999999</v>
      </c>
      <c r="G236" s="245">
        <f t="shared" ref="G236:G329" si="21">F236/E236</f>
        <v>0.55574347233475818</v>
      </c>
      <c r="H236" s="8">
        <f>H237+H238</f>
        <v>4960000</v>
      </c>
      <c r="I236" s="8">
        <f>I237+I238</f>
        <v>0</v>
      </c>
      <c r="J236" s="245">
        <f>I236/H236</f>
        <v>0</v>
      </c>
      <c r="K236" s="219">
        <f t="shared" si="19"/>
        <v>52573157</v>
      </c>
      <c r="L236" s="219">
        <f t="shared" si="20"/>
        <v>26460701.199999999</v>
      </c>
      <c r="M236" s="609">
        <f t="shared" si="17"/>
        <v>0.50331200768483431</v>
      </c>
    </row>
    <row r="237" spans="1:13" x14ac:dyDescent="0.25">
      <c r="A237" s="1124"/>
      <c r="B237" s="1125"/>
      <c r="C237" s="1125"/>
      <c r="D237" s="601" t="s">
        <v>462</v>
      </c>
      <c r="E237" s="43">
        <v>47613157</v>
      </c>
      <c r="F237" s="43">
        <v>26460701.199999999</v>
      </c>
      <c r="G237" s="245">
        <f t="shared" si="21"/>
        <v>0.55574347233475818</v>
      </c>
      <c r="H237" s="8"/>
      <c r="I237" s="8"/>
      <c r="J237" s="245"/>
      <c r="K237" s="219">
        <f t="shared" si="19"/>
        <v>47613157</v>
      </c>
      <c r="L237" s="219">
        <f t="shared" si="20"/>
        <v>26460701.199999999</v>
      </c>
      <c r="M237" s="609">
        <f t="shared" si="17"/>
        <v>0.55574347233475818</v>
      </c>
    </row>
    <row r="238" spans="1:13" x14ac:dyDescent="0.25">
      <c r="A238" s="1124"/>
      <c r="B238" s="1125"/>
      <c r="C238" s="1125"/>
      <c r="D238" s="601" t="s">
        <v>465</v>
      </c>
      <c r="E238" s="43"/>
      <c r="F238" s="43"/>
      <c r="G238" s="245"/>
      <c r="H238" s="224">
        <f>H239</f>
        <v>4960000</v>
      </c>
      <c r="I238" s="8">
        <f>I239</f>
        <v>0</v>
      </c>
      <c r="J238" s="245">
        <f t="shared" ref="J238:J239" si="22">I238/H238</f>
        <v>0</v>
      </c>
      <c r="K238" s="219">
        <f t="shared" si="19"/>
        <v>4960000</v>
      </c>
      <c r="L238" s="219">
        <f t="shared" si="20"/>
        <v>0</v>
      </c>
      <c r="M238" s="609">
        <f t="shared" si="17"/>
        <v>0</v>
      </c>
    </row>
    <row r="239" spans="1:13" x14ac:dyDescent="0.25">
      <c r="A239" s="1124"/>
      <c r="B239" s="1125"/>
      <c r="C239" s="1125"/>
      <c r="D239" s="602" t="s">
        <v>466</v>
      </c>
      <c r="E239" s="43"/>
      <c r="F239" s="43"/>
      <c r="G239" s="245"/>
      <c r="H239" s="8">
        <v>4960000</v>
      </c>
      <c r="I239" s="8">
        <v>0</v>
      </c>
      <c r="J239" s="245">
        <f t="shared" si="22"/>
        <v>0</v>
      </c>
      <c r="K239" s="219">
        <f t="shared" si="19"/>
        <v>4960000</v>
      </c>
      <c r="L239" s="219">
        <f t="shared" si="20"/>
        <v>0</v>
      </c>
      <c r="M239" s="609">
        <f t="shared" si="17"/>
        <v>0</v>
      </c>
    </row>
    <row r="240" spans="1:13" ht="141.75" x14ac:dyDescent="0.25">
      <c r="A240" s="1124">
        <v>1216071</v>
      </c>
      <c r="B240" s="1125">
        <v>6071</v>
      </c>
      <c r="C240" s="56" t="s">
        <v>268</v>
      </c>
      <c r="D240" s="28" t="s">
        <v>266</v>
      </c>
      <c r="E240" s="43">
        <f>E241</f>
        <v>8285369</v>
      </c>
      <c r="F240" s="43">
        <f>F241</f>
        <v>2949145.84</v>
      </c>
      <c r="G240" s="245">
        <f t="shared" si="21"/>
        <v>0.35594622762124412</v>
      </c>
      <c r="H240" s="8">
        <v>0</v>
      </c>
      <c r="I240" s="8">
        <v>0</v>
      </c>
      <c r="J240" s="245"/>
      <c r="K240" s="219">
        <f t="shared" si="19"/>
        <v>8285369</v>
      </c>
      <c r="L240" s="219">
        <f t="shared" si="20"/>
        <v>2949145.84</v>
      </c>
      <c r="M240" s="609">
        <f t="shared" si="17"/>
        <v>0.35594622762124412</v>
      </c>
    </row>
    <row r="241" spans="1:13" x14ac:dyDescent="0.25">
      <c r="A241" s="1124"/>
      <c r="B241" s="1125"/>
      <c r="C241" s="56"/>
      <c r="D241" s="601" t="s">
        <v>462</v>
      </c>
      <c r="E241" s="43">
        <v>8285369</v>
      </c>
      <c r="F241" s="43">
        <v>2949145.84</v>
      </c>
      <c r="G241" s="245">
        <f t="shared" si="21"/>
        <v>0.35594622762124412</v>
      </c>
      <c r="H241" s="8"/>
      <c r="I241" s="8"/>
      <c r="J241" s="245"/>
      <c r="K241" s="219">
        <f t="shared" si="19"/>
        <v>8285369</v>
      </c>
      <c r="L241" s="219">
        <f t="shared" si="20"/>
        <v>2949145.84</v>
      </c>
      <c r="M241" s="609">
        <f t="shared" si="17"/>
        <v>0.35594622762124412</v>
      </c>
    </row>
    <row r="242" spans="1:13" ht="45.75" customHeight="1" x14ac:dyDescent="0.25">
      <c r="A242" s="1124" t="s">
        <v>137</v>
      </c>
      <c r="B242" s="1125" t="s">
        <v>138</v>
      </c>
      <c r="C242" s="1125" t="s">
        <v>139</v>
      </c>
      <c r="D242" s="28" t="s">
        <v>140</v>
      </c>
      <c r="E242" s="43">
        <f>E243</f>
        <v>3013221</v>
      </c>
      <c r="F242" s="43">
        <f>F243</f>
        <v>1989700.63</v>
      </c>
      <c r="G242" s="245">
        <f t="shared" si="21"/>
        <v>0.66032349767906162</v>
      </c>
      <c r="H242" s="8">
        <v>0</v>
      </c>
      <c r="I242" s="8">
        <v>0</v>
      </c>
      <c r="J242" s="245"/>
      <c r="K242" s="219">
        <f t="shared" si="19"/>
        <v>3013221</v>
      </c>
      <c r="L242" s="219">
        <f t="shared" si="20"/>
        <v>1989700.63</v>
      </c>
      <c r="M242" s="609">
        <f t="shared" si="17"/>
        <v>0.66032349767906162</v>
      </c>
    </row>
    <row r="243" spans="1:13" x14ac:dyDescent="0.25">
      <c r="A243" s="41"/>
      <c r="B243" s="42"/>
      <c r="C243" s="42"/>
      <c r="D243" s="601" t="s">
        <v>462</v>
      </c>
      <c r="E243" s="44">
        <v>3013221</v>
      </c>
      <c r="F243" s="44">
        <v>1989700.63</v>
      </c>
      <c r="G243" s="245">
        <f t="shared" si="21"/>
        <v>0.66032349767906162</v>
      </c>
      <c r="H243" s="15"/>
      <c r="I243" s="8"/>
      <c r="J243" s="245"/>
      <c r="K243" s="219">
        <f t="shared" si="19"/>
        <v>3013221</v>
      </c>
      <c r="L243" s="219">
        <f t="shared" si="20"/>
        <v>1989700.63</v>
      </c>
      <c r="M243" s="609">
        <f t="shared" si="17"/>
        <v>0.66032349767906162</v>
      </c>
    </row>
    <row r="244" spans="1:13" ht="31.5" x14ac:dyDescent="0.25">
      <c r="A244" s="41">
        <v>1217693</v>
      </c>
      <c r="B244" s="42">
        <v>7693</v>
      </c>
      <c r="C244" s="56" t="s">
        <v>171</v>
      </c>
      <c r="D244" s="28" t="s">
        <v>520</v>
      </c>
      <c r="E244" s="44">
        <f>E245</f>
        <v>1354542</v>
      </c>
      <c r="F244" s="44">
        <f>F245</f>
        <v>1251152.72</v>
      </c>
      <c r="G244" s="245">
        <f t="shared" si="21"/>
        <v>0.92367214896252758</v>
      </c>
      <c r="H244" s="15"/>
      <c r="I244" s="15"/>
      <c r="J244" s="246"/>
      <c r="K244" s="219">
        <f t="shared" si="19"/>
        <v>1354542</v>
      </c>
      <c r="L244" s="219">
        <f t="shared" si="20"/>
        <v>1251152.72</v>
      </c>
      <c r="M244" s="609">
        <f t="shared" si="17"/>
        <v>0.92367214896252758</v>
      </c>
    </row>
    <row r="245" spans="1:13" x14ac:dyDescent="0.25">
      <c r="A245" s="41"/>
      <c r="B245" s="42"/>
      <c r="C245" s="42"/>
      <c r="D245" s="601" t="s">
        <v>462</v>
      </c>
      <c r="E245" s="44">
        <v>1354542</v>
      </c>
      <c r="F245" s="44">
        <v>1251152.72</v>
      </c>
      <c r="G245" s="245">
        <f t="shared" si="21"/>
        <v>0.92367214896252758</v>
      </c>
      <c r="H245" s="15"/>
      <c r="I245" s="15"/>
      <c r="J245" s="246"/>
      <c r="K245" s="219">
        <f t="shared" si="19"/>
        <v>1354542</v>
      </c>
      <c r="L245" s="219">
        <f t="shared" si="20"/>
        <v>1251152.72</v>
      </c>
      <c r="M245" s="609">
        <f t="shared" si="17"/>
        <v>0.92367214896252758</v>
      </c>
    </row>
    <row r="246" spans="1:13" ht="40.9" customHeight="1" x14ac:dyDescent="0.25">
      <c r="A246" s="41" t="s">
        <v>141</v>
      </c>
      <c r="B246" s="42" t="s">
        <v>142</v>
      </c>
      <c r="C246" s="42" t="s">
        <v>143</v>
      </c>
      <c r="D246" s="37" t="s">
        <v>144</v>
      </c>
      <c r="E246" s="44">
        <v>0</v>
      </c>
      <c r="F246" s="44">
        <v>0</v>
      </c>
      <c r="G246" s="246"/>
      <c r="H246" s="15">
        <f>H247+H248</f>
        <v>359600</v>
      </c>
      <c r="I246" s="15">
        <f>I247+I248</f>
        <v>174700</v>
      </c>
      <c r="J246" s="246">
        <f t="shared" si="18"/>
        <v>0.48581757508342605</v>
      </c>
      <c r="K246" s="219">
        <f t="shared" si="19"/>
        <v>359600</v>
      </c>
      <c r="L246" s="219">
        <f t="shared" si="20"/>
        <v>174700</v>
      </c>
      <c r="M246" s="609">
        <f t="shared" si="17"/>
        <v>0.48581757508342605</v>
      </c>
    </row>
    <row r="247" spans="1:13" x14ac:dyDescent="0.25">
      <c r="A247" s="1124"/>
      <c r="B247" s="1125"/>
      <c r="C247" s="1125"/>
      <c r="D247" s="601" t="s">
        <v>462</v>
      </c>
      <c r="E247" s="43"/>
      <c r="F247" s="43"/>
      <c r="G247" s="245"/>
      <c r="H247" s="8">
        <v>264650</v>
      </c>
      <c r="I247" s="8">
        <v>174700</v>
      </c>
      <c r="J247" s="246">
        <f t="shared" si="18"/>
        <v>0.66011713583978837</v>
      </c>
      <c r="K247" s="219">
        <f t="shared" si="19"/>
        <v>264650</v>
      </c>
      <c r="L247" s="219">
        <f t="shared" si="20"/>
        <v>174700</v>
      </c>
      <c r="M247" s="609">
        <f t="shared" si="17"/>
        <v>0.66011713583978837</v>
      </c>
    </row>
    <row r="248" spans="1:13" ht="16.5" thickBot="1" x14ac:dyDescent="0.3">
      <c r="A248" s="1124"/>
      <c r="B248" s="1125"/>
      <c r="C248" s="1125"/>
      <c r="D248" s="601" t="s">
        <v>465</v>
      </c>
      <c r="E248" s="43"/>
      <c r="F248" s="43"/>
      <c r="G248" s="245"/>
      <c r="H248" s="8">
        <v>94950</v>
      </c>
      <c r="I248" s="8">
        <v>0</v>
      </c>
      <c r="J248" s="246">
        <f t="shared" si="18"/>
        <v>0</v>
      </c>
      <c r="K248" s="219">
        <f t="shared" si="19"/>
        <v>94950</v>
      </c>
      <c r="L248" s="219">
        <f t="shared" si="20"/>
        <v>0</v>
      </c>
      <c r="M248" s="609">
        <f t="shared" si="17"/>
        <v>0</v>
      </c>
    </row>
    <row r="249" spans="1:13" s="33" customFormat="1" ht="48" thickBot="1" x14ac:dyDescent="0.3">
      <c r="A249" s="38" t="s">
        <v>145</v>
      </c>
      <c r="B249" s="39" t="s">
        <v>14</v>
      </c>
      <c r="C249" s="39" t="s">
        <v>14</v>
      </c>
      <c r="D249" s="40" t="s">
        <v>146</v>
      </c>
      <c r="E249" s="58">
        <f>E250</f>
        <v>3139784</v>
      </c>
      <c r="F249" s="58">
        <f>F250</f>
        <v>2042560.24</v>
      </c>
      <c r="G249" s="243">
        <f t="shared" si="21"/>
        <v>0.65054164235501555</v>
      </c>
      <c r="H249" s="58">
        <f>H250</f>
        <v>79911654</v>
      </c>
      <c r="I249" s="58">
        <f>I250</f>
        <v>7643067.6500000004</v>
      </c>
      <c r="J249" s="243">
        <f t="shared" si="18"/>
        <v>9.5643967649574627E-2</v>
      </c>
      <c r="K249" s="241">
        <f>K250</f>
        <v>83051438</v>
      </c>
      <c r="L249" s="241">
        <f>L250</f>
        <v>9685627.8899999987</v>
      </c>
      <c r="M249" s="252">
        <f t="shared" si="17"/>
        <v>0.11662203717652665</v>
      </c>
    </row>
    <row r="250" spans="1:13" s="32" customFormat="1" ht="47.25" x14ac:dyDescent="0.25">
      <c r="A250" s="51" t="s">
        <v>147</v>
      </c>
      <c r="B250" s="52" t="s">
        <v>14</v>
      </c>
      <c r="C250" s="52" t="s">
        <v>14</v>
      </c>
      <c r="D250" s="53" t="s">
        <v>146</v>
      </c>
      <c r="E250" s="45">
        <f>E251+E263+E272+E275</f>
        <v>3139784</v>
      </c>
      <c r="F250" s="45">
        <f>F251+F263+F272+F275</f>
        <v>2042560.24</v>
      </c>
      <c r="G250" s="244">
        <f t="shared" si="21"/>
        <v>0.65054164235501555</v>
      </c>
      <c r="H250" s="45">
        <f>H251+H263+H272+H275+H257+H260+H266+H278+H281+H284+H269+H287</f>
        <v>79911654</v>
      </c>
      <c r="I250" s="45">
        <f>I251+I263+I272+I275+I257+I260+I266+I278+I281+I284+I269+I287</f>
        <v>7643067.6500000004</v>
      </c>
      <c r="J250" s="244">
        <f t="shared" si="18"/>
        <v>9.5643967649574627E-2</v>
      </c>
      <c r="K250" s="242">
        <f>K251+K263+K272+K275+K257+K260+K266+K278+K281+K284+K269+K287</f>
        <v>83051438</v>
      </c>
      <c r="L250" s="242">
        <f>L251+L263+L272+L275+L257+L260+L266+L278+L281+L284+L269+L287</f>
        <v>9685627.8899999987</v>
      </c>
      <c r="M250" s="610">
        <f t="shared" si="17"/>
        <v>0.11662203717652665</v>
      </c>
    </row>
    <row r="251" spans="1:13" ht="47.25" x14ac:dyDescent="0.25">
      <c r="A251" s="1124" t="s">
        <v>198</v>
      </c>
      <c r="B251" s="1125" t="s">
        <v>44</v>
      </c>
      <c r="C251" s="1125" t="s">
        <v>17</v>
      </c>
      <c r="D251" s="28" t="s">
        <v>175</v>
      </c>
      <c r="E251" s="43">
        <f>E252</f>
        <v>3139784</v>
      </c>
      <c r="F251" s="43">
        <f>F252</f>
        <v>2042560.24</v>
      </c>
      <c r="G251" s="245">
        <f t="shared" si="21"/>
        <v>0.65054164235501555</v>
      </c>
      <c r="H251" s="8">
        <f>H252+H255</f>
        <v>198750</v>
      </c>
      <c r="I251" s="8">
        <f>I252+I255</f>
        <v>0</v>
      </c>
      <c r="J251" s="244">
        <f t="shared" si="18"/>
        <v>0</v>
      </c>
      <c r="K251" s="219">
        <f>E251+H251</f>
        <v>3338534</v>
      </c>
      <c r="L251" s="219">
        <f>F251+I251</f>
        <v>2042560.24</v>
      </c>
      <c r="M251" s="609">
        <f t="shared" si="17"/>
        <v>0.61181352054524529</v>
      </c>
    </row>
    <row r="252" spans="1:13" x14ac:dyDescent="0.25">
      <c r="A252" s="1124"/>
      <c r="B252" s="1125"/>
      <c r="C252" s="1125"/>
      <c r="D252" s="601" t="s">
        <v>462</v>
      </c>
      <c r="E252" s="43">
        <v>3139784</v>
      </c>
      <c r="F252" s="43">
        <v>2042560.24</v>
      </c>
      <c r="G252" s="245">
        <f t="shared" si="21"/>
        <v>0.65054164235501555</v>
      </c>
      <c r="H252" s="8"/>
      <c r="I252" s="8"/>
      <c r="J252" s="245"/>
      <c r="K252" s="219">
        <f t="shared" ref="K252:K289" si="23">E252+H252</f>
        <v>3139784</v>
      </c>
      <c r="L252" s="219">
        <f t="shared" ref="L252:L289" si="24">F252+I252</f>
        <v>2042560.24</v>
      </c>
      <c r="M252" s="609">
        <f t="shared" si="17"/>
        <v>0.65054164235501555</v>
      </c>
    </row>
    <row r="253" spans="1:13" x14ac:dyDescent="0.25">
      <c r="A253" s="1124"/>
      <c r="B253" s="1125"/>
      <c r="C253" s="1125"/>
      <c r="D253" s="602" t="s">
        <v>463</v>
      </c>
      <c r="E253" s="43">
        <v>2934416</v>
      </c>
      <c r="F253" s="43">
        <v>1924334.87</v>
      </c>
      <c r="G253" s="245">
        <f t="shared" si="21"/>
        <v>0.6557812082540444</v>
      </c>
      <c r="H253" s="8"/>
      <c r="I253" s="8"/>
      <c r="J253" s="245"/>
      <c r="K253" s="219">
        <f t="shared" si="23"/>
        <v>2934416</v>
      </c>
      <c r="L253" s="219">
        <f t="shared" si="24"/>
        <v>1924334.87</v>
      </c>
      <c r="M253" s="609">
        <f t="shared" si="17"/>
        <v>0.6557812082540444</v>
      </c>
    </row>
    <row r="254" spans="1:13" ht="31.5" x14ac:dyDescent="0.25">
      <c r="A254" s="1124"/>
      <c r="B254" s="1125"/>
      <c r="C254" s="1125"/>
      <c r="D254" s="602" t="s">
        <v>464</v>
      </c>
      <c r="E254" s="43">
        <v>91053</v>
      </c>
      <c r="F254" s="43">
        <v>45652.800000000003</v>
      </c>
      <c r="G254" s="245">
        <f t="shared" si="21"/>
        <v>0.50138710421402921</v>
      </c>
      <c r="H254" s="8"/>
      <c r="I254" s="8"/>
      <c r="J254" s="245"/>
      <c r="K254" s="219">
        <f t="shared" si="23"/>
        <v>91053</v>
      </c>
      <c r="L254" s="219">
        <f t="shared" si="24"/>
        <v>45652.800000000003</v>
      </c>
      <c r="M254" s="609">
        <f t="shared" si="17"/>
        <v>0.50138710421402921</v>
      </c>
    </row>
    <row r="255" spans="1:13" x14ac:dyDescent="0.25">
      <c r="A255" s="1124"/>
      <c r="B255" s="1125"/>
      <c r="C255" s="1125"/>
      <c r="D255" s="601" t="s">
        <v>465</v>
      </c>
      <c r="E255" s="43"/>
      <c r="F255" s="43"/>
      <c r="G255" s="245"/>
      <c r="H255" s="8">
        <f>H256</f>
        <v>198750</v>
      </c>
      <c r="I255" s="8">
        <f>I256</f>
        <v>0</v>
      </c>
      <c r="J255" s="245">
        <f>I255/H255</f>
        <v>0</v>
      </c>
      <c r="K255" s="219">
        <f t="shared" si="23"/>
        <v>198750</v>
      </c>
      <c r="L255" s="219">
        <f t="shared" si="24"/>
        <v>0</v>
      </c>
      <c r="M255" s="609">
        <f t="shared" si="17"/>
        <v>0</v>
      </c>
    </row>
    <row r="256" spans="1:13" x14ac:dyDescent="0.25">
      <c r="A256" s="1124"/>
      <c r="B256" s="1125"/>
      <c r="C256" s="1125"/>
      <c r="D256" s="602" t="s">
        <v>466</v>
      </c>
      <c r="E256" s="43"/>
      <c r="F256" s="43"/>
      <c r="G256" s="245"/>
      <c r="H256" s="8">
        <v>198750</v>
      </c>
      <c r="I256" s="8">
        <v>0</v>
      </c>
      <c r="J256" s="245">
        <f>I256/H256</f>
        <v>0</v>
      </c>
      <c r="K256" s="219">
        <f t="shared" si="23"/>
        <v>198750</v>
      </c>
      <c r="L256" s="219">
        <f t="shared" si="24"/>
        <v>0</v>
      </c>
      <c r="M256" s="609">
        <f t="shared" si="17"/>
        <v>0</v>
      </c>
    </row>
    <row r="257" spans="1:13" ht="47.25" x14ac:dyDescent="0.25">
      <c r="A257" s="1124">
        <v>1511021</v>
      </c>
      <c r="B257" s="1125">
        <v>1021</v>
      </c>
      <c r="C257" s="56" t="s">
        <v>51</v>
      </c>
      <c r="D257" s="28" t="s">
        <v>524</v>
      </c>
      <c r="E257" s="43"/>
      <c r="F257" s="43"/>
      <c r="G257" s="245"/>
      <c r="H257" s="8">
        <f>H258</f>
        <v>33413313</v>
      </c>
      <c r="I257" s="8">
        <f>I258</f>
        <v>1384730.76</v>
      </c>
      <c r="J257" s="245">
        <f t="shared" si="18"/>
        <v>4.1442486113244741E-2</v>
      </c>
      <c r="K257" s="219">
        <f t="shared" si="23"/>
        <v>33413313</v>
      </c>
      <c r="L257" s="219">
        <f t="shared" si="24"/>
        <v>1384730.76</v>
      </c>
      <c r="M257" s="609">
        <f t="shared" si="17"/>
        <v>4.1442486113244741E-2</v>
      </c>
    </row>
    <row r="258" spans="1:13" x14ac:dyDescent="0.25">
      <c r="A258" s="1124"/>
      <c r="B258" s="1125"/>
      <c r="C258" s="1125"/>
      <c r="D258" s="601" t="s">
        <v>465</v>
      </c>
      <c r="E258" s="43"/>
      <c r="F258" s="43"/>
      <c r="G258" s="245"/>
      <c r="H258" s="8">
        <f>H259</f>
        <v>33413313</v>
      </c>
      <c r="I258" s="8">
        <f>I259</f>
        <v>1384730.76</v>
      </c>
      <c r="J258" s="245">
        <f t="shared" si="18"/>
        <v>4.1442486113244741E-2</v>
      </c>
      <c r="K258" s="219">
        <f t="shared" si="23"/>
        <v>33413313</v>
      </c>
      <c r="L258" s="219">
        <f t="shared" si="24"/>
        <v>1384730.76</v>
      </c>
      <c r="M258" s="609">
        <f t="shared" si="17"/>
        <v>4.1442486113244741E-2</v>
      </c>
    </row>
    <row r="259" spans="1:13" x14ac:dyDescent="0.25">
      <c r="A259" s="1124"/>
      <c r="B259" s="1125"/>
      <c r="C259" s="1125"/>
      <c r="D259" s="602" t="s">
        <v>466</v>
      </c>
      <c r="E259" s="43"/>
      <c r="F259" s="43"/>
      <c r="G259" s="245"/>
      <c r="H259" s="8">
        <v>33413313</v>
      </c>
      <c r="I259" s="8">
        <v>1384730.76</v>
      </c>
      <c r="J259" s="245">
        <f t="shared" si="18"/>
        <v>4.1442486113244741E-2</v>
      </c>
      <c r="K259" s="219">
        <f t="shared" si="23"/>
        <v>33413313</v>
      </c>
      <c r="L259" s="219">
        <f t="shared" si="24"/>
        <v>1384730.76</v>
      </c>
      <c r="M259" s="609">
        <f t="shared" si="17"/>
        <v>4.1442486113244741E-2</v>
      </c>
    </row>
    <row r="260" spans="1:13" ht="31.5" x14ac:dyDescent="0.25">
      <c r="A260" s="1124">
        <v>1512010</v>
      </c>
      <c r="B260" s="1125">
        <v>2010</v>
      </c>
      <c r="C260" s="56" t="s">
        <v>20</v>
      </c>
      <c r="D260" s="28" t="s">
        <v>21</v>
      </c>
      <c r="E260" s="43"/>
      <c r="F260" s="43"/>
      <c r="G260" s="245"/>
      <c r="H260" s="8">
        <f>H261</f>
        <v>103135</v>
      </c>
      <c r="I260" s="8">
        <f>I261</f>
        <v>0</v>
      </c>
      <c r="J260" s="245">
        <f t="shared" si="18"/>
        <v>0</v>
      </c>
      <c r="K260" s="219">
        <f t="shared" si="23"/>
        <v>103135</v>
      </c>
      <c r="L260" s="219">
        <f t="shared" si="24"/>
        <v>0</v>
      </c>
      <c r="M260" s="609">
        <f t="shared" si="17"/>
        <v>0</v>
      </c>
    </row>
    <row r="261" spans="1:13" x14ac:dyDescent="0.25">
      <c r="A261" s="1124"/>
      <c r="B261" s="1125"/>
      <c r="C261" s="1125"/>
      <c r="D261" s="601" t="s">
        <v>465</v>
      </c>
      <c r="E261" s="43"/>
      <c r="F261" s="43"/>
      <c r="G261" s="245"/>
      <c r="H261" s="8">
        <f>H262</f>
        <v>103135</v>
      </c>
      <c r="I261" s="8">
        <f>I262</f>
        <v>0</v>
      </c>
      <c r="J261" s="245">
        <f t="shared" si="18"/>
        <v>0</v>
      </c>
      <c r="K261" s="219">
        <f t="shared" si="23"/>
        <v>103135</v>
      </c>
      <c r="L261" s="219">
        <f t="shared" si="24"/>
        <v>0</v>
      </c>
      <c r="M261" s="609">
        <f t="shared" si="17"/>
        <v>0</v>
      </c>
    </row>
    <row r="262" spans="1:13" x14ac:dyDescent="0.25">
      <c r="A262" s="1124"/>
      <c r="B262" s="1125"/>
      <c r="C262" s="1125"/>
      <c r="D262" s="602" t="s">
        <v>466</v>
      </c>
      <c r="E262" s="43"/>
      <c r="F262" s="43"/>
      <c r="G262" s="245"/>
      <c r="H262" s="8">
        <v>103135</v>
      </c>
      <c r="I262" s="8">
        <v>0</v>
      </c>
      <c r="J262" s="245">
        <f t="shared" si="18"/>
        <v>0</v>
      </c>
      <c r="K262" s="219">
        <f t="shared" si="23"/>
        <v>103135</v>
      </c>
      <c r="L262" s="219">
        <f t="shared" si="24"/>
        <v>0</v>
      </c>
      <c r="M262" s="609">
        <f t="shared" si="17"/>
        <v>0</v>
      </c>
    </row>
    <row r="263" spans="1:13" ht="47.25" x14ac:dyDescent="0.25">
      <c r="A263" s="64">
        <v>1514060</v>
      </c>
      <c r="B263" s="65">
        <v>4060</v>
      </c>
      <c r="C263" s="66" t="s">
        <v>106</v>
      </c>
      <c r="D263" s="34" t="s">
        <v>107</v>
      </c>
      <c r="E263" s="43">
        <v>0</v>
      </c>
      <c r="F263" s="43">
        <v>0</v>
      </c>
      <c r="G263" s="245"/>
      <c r="H263" s="8">
        <f>H264</f>
        <v>2478809</v>
      </c>
      <c r="I263" s="8">
        <f>I264</f>
        <v>2460071.23</v>
      </c>
      <c r="J263" s="245">
        <f t="shared" si="18"/>
        <v>0.99244081734413581</v>
      </c>
      <c r="K263" s="219">
        <f t="shared" si="23"/>
        <v>2478809</v>
      </c>
      <c r="L263" s="219">
        <f t="shared" si="24"/>
        <v>2460071.23</v>
      </c>
      <c r="M263" s="609">
        <f t="shared" si="17"/>
        <v>0.99244081734413581</v>
      </c>
    </row>
    <row r="264" spans="1:13" x14ac:dyDescent="0.25">
      <c r="A264" s="254"/>
      <c r="B264" s="67"/>
      <c r="C264" s="68"/>
      <c r="D264" s="601" t="s">
        <v>465</v>
      </c>
      <c r="E264" s="8"/>
      <c r="F264" s="8"/>
      <c r="G264" s="245"/>
      <c r="H264" s="8">
        <f>H265</f>
        <v>2478809</v>
      </c>
      <c r="I264" s="8">
        <f>I265</f>
        <v>2460071.23</v>
      </c>
      <c r="J264" s="245">
        <f t="shared" si="18"/>
        <v>0.99244081734413581</v>
      </c>
      <c r="K264" s="219">
        <f t="shared" si="23"/>
        <v>2478809</v>
      </c>
      <c r="L264" s="219">
        <f t="shared" si="24"/>
        <v>2460071.23</v>
      </c>
      <c r="M264" s="609">
        <f t="shared" ref="M264:M328" si="25">L264/K264</f>
        <v>0.99244081734413581</v>
      </c>
    </row>
    <row r="265" spans="1:13" x14ac:dyDescent="0.25">
      <c r="A265" s="254"/>
      <c r="B265" s="67"/>
      <c r="C265" s="68"/>
      <c r="D265" s="602" t="s">
        <v>466</v>
      </c>
      <c r="E265" s="8"/>
      <c r="F265" s="8"/>
      <c r="G265" s="245"/>
      <c r="H265" s="15">
        <v>2478809</v>
      </c>
      <c r="I265" s="15">
        <v>2460071.23</v>
      </c>
      <c r="J265" s="245">
        <f t="shared" si="18"/>
        <v>0.99244081734413581</v>
      </c>
      <c r="K265" s="219">
        <f t="shared" si="23"/>
        <v>2478809</v>
      </c>
      <c r="L265" s="219">
        <f t="shared" si="24"/>
        <v>2460071.23</v>
      </c>
      <c r="M265" s="609">
        <f t="shared" si="25"/>
        <v>0.99244081734413581</v>
      </c>
    </row>
    <row r="266" spans="1:13" ht="47.25" x14ac:dyDescent="0.25">
      <c r="A266" s="254">
        <v>1516012</v>
      </c>
      <c r="B266" s="67">
        <v>6012</v>
      </c>
      <c r="C266" s="42" t="s">
        <v>27</v>
      </c>
      <c r="D266" s="34" t="s">
        <v>236</v>
      </c>
      <c r="E266" s="8"/>
      <c r="F266" s="8"/>
      <c r="G266" s="245"/>
      <c r="H266" s="15">
        <f>H267</f>
        <v>21380905</v>
      </c>
      <c r="I266" s="15">
        <f>I267</f>
        <v>1439077.06</v>
      </c>
      <c r="J266" s="245">
        <f t="shared" si="18"/>
        <v>6.7306648619410644E-2</v>
      </c>
      <c r="K266" s="219">
        <f t="shared" si="23"/>
        <v>21380905</v>
      </c>
      <c r="L266" s="219">
        <f t="shared" si="24"/>
        <v>1439077.06</v>
      </c>
      <c r="M266" s="609">
        <f t="shared" si="25"/>
        <v>6.7306648619410644E-2</v>
      </c>
    </row>
    <row r="267" spans="1:13" x14ac:dyDescent="0.25">
      <c r="A267" s="254"/>
      <c r="B267" s="67"/>
      <c r="C267" s="68"/>
      <c r="D267" s="601" t="s">
        <v>465</v>
      </c>
      <c r="E267" s="8"/>
      <c r="F267" s="8"/>
      <c r="G267" s="245"/>
      <c r="H267" s="15">
        <f>H268</f>
        <v>21380905</v>
      </c>
      <c r="I267" s="15">
        <f>I268</f>
        <v>1439077.06</v>
      </c>
      <c r="J267" s="245">
        <f t="shared" si="18"/>
        <v>6.7306648619410644E-2</v>
      </c>
      <c r="K267" s="219">
        <f t="shared" si="23"/>
        <v>21380905</v>
      </c>
      <c r="L267" s="219">
        <f t="shared" si="24"/>
        <v>1439077.06</v>
      </c>
      <c r="M267" s="609">
        <f t="shared" si="25"/>
        <v>6.7306648619410644E-2</v>
      </c>
    </row>
    <row r="268" spans="1:13" x14ac:dyDescent="0.25">
      <c r="A268" s="254"/>
      <c r="B268" s="67"/>
      <c r="C268" s="68"/>
      <c r="D268" s="602" t="s">
        <v>466</v>
      </c>
      <c r="E268" s="8"/>
      <c r="F268" s="8"/>
      <c r="G268" s="245"/>
      <c r="H268" s="15">
        <v>21380905</v>
      </c>
      <c r="I268" s="15">
        <v>1439077.06</v>
      </c>
      <c r="J268" s="245">
        <f t="shared" si="18"/>
        <v>6.7306648619410644E-2</v>
      </c>
      <c r="K268" s="219">
        <f t="shared" si="23"/>
        <v>21380905</v>
      </c>
      <c r="L268" s="219">
        <f t="shared" si="24"/>
        <v>1439077.06</v>
      </c>
      <c r="M268" s="609">
        <f t="shared" si="25"/>
        <v>6.7306648619410644E-2</v>
      </c>
    </row>
    <row r="269" spans="1:13" ht="31.5" x14ac:dyDescent="0.25">
      <c r="A269" s="254">
        <v>1516013</v>
      </c>
      <c r="B269" s="67">
        <v>6013</v>
      </c>
      <c r="C269" s="42" t="s">
        <v>27</v>
      </c>
      <c r="D269" s="34" t="s">
        <v>135</v>
      </c>
      <c r="E269" s="8"/>
      <c r="F269" s="8"/>
      <c r="G269" s="245"/>
      <c r="H269" s="15">
        <f>H270</f>
        <v>60000</v>
      </c>
      <c r="I269" s="15">
        <f>I270</f>
        <v>0</v>
      </c>
      <c r="J269" s="245">
        <f t="shared" si="18"/>
        <v>0</v>
      </c>
      <c r="K269" s="219">
        <f t="shared" si="23"/>
        <v>60000</v>
      </c>
      <c r="L269" s="219">
        <f t="shared" si="24"/>
        <v>0</v>
      </c>
      <c r="M269" s="609">
        <f t="shared" si="25"/>
        <v>0</v>
      </c>
    </row>
    <row r="270" spans="1:13" x14ac:dyDescent="0.25">
      <c r="A270" s="254"/>
      <c r="B270" s="67"/>
      <c r="C270" s="68"/>
      <c r="D270" s="601" t="s">
        <v>465</v>
      </c>
      <c r="E270" s="8"/>
      <c r="F270" s="8"/>
      <c r="G270" s="245"/>
      <c r="H270" s="15">
        <f>H271</f>
        <v>60000</v>
      </c>
      <c r="I270" s="15">
        <f>I271</f>
        <v>0</v>
      </c>
      <c r="J270" s="245">
        <f t="shared" si="18"/>
        <v>0</v>
      </c>
      <c r="K270" s="219">
        <f t="shared" si="23"/>
        <v>60000</v>
      </c>
      <c r="L270" s="219">
        <f t="shared" si="24"/>
        <v>0</v>
      </c>
      <c r="M270" s="609">
        <f t="shared" si="25"/>
        <v>0</v>
      </c>
    </row>
    <row r="271" spans="1:13" x14ac:dyDescent="0.25">
      <c r="A271" s="254"/>
      <c r="B271" s="67"/>
      <c r="C271" s="68"/>
      <c r="D271" s="602" t="s">
        <v>466</v>
      </c>
      <c r="E271" s="8"/>
      <c r="F271" s="8"/>
      <c r="G271" s="245"/>
      <c r="H271" s="15">
        <v>60000</v>
      </c>
      <c r="I271" s="15">
        <v>0</v>
      </c>
      <c r="J271" s="245">
        <f t="shared" si="18"/>
        <v>0</v>
      </c>
      <c r="K271" s="219">
        <f t="shared" si="23"/>
        <v>60000</v>
      </c>
      <c r="L271" s="219">
        <f t="shared" si="24"/>
        <v>0</v>
      </c>
      <c r="M271" s="609">
        <f t="shared" si="25"/>
        <v>0</v>
      </c>
    </row>
    <row r="272" spans="1:13" x14ac:dyDescent="0.25">
      <c r="A272" s="41">
        <v>1516030</v>
      </c>
      <c r="B272" s="42" t="s">
        <v>26</v>
      </c>
      <c r="C272" s="42" t="s">
        <v>27</v>
      </c>
      <c r="D272" s="37" t="s">
        <v>28</v>
      </c>
      <c r="E272" s="8">
        <v>0</v>
      </c>
      <c r="F272" s="8">
        <v>0</v>
      </c>
      <c r="G272" s="245"/>
      <c r="H272" s="15">
        <f>H273</f>
        <v>6981837</v>
      </c>
      <c r="I272" s="15">
        <f>I273</f>
        <v>1181056.3799999999</v>
      </c>
      <c r="J272" s="245">
        <f t="shared" si="18"/>
        <v>0.1691612651512775</v>
      </c>
      <c r="K272" s="219">
        <f t="shared" si="23"/>
        <v>6981837</v>
      </c>
      <c r="L272" s="219">
        <f t="shared" si="24"/>
        <v>1181056.3799999999</v>
      </c>
      <c r="M272" s="609">
        <f t="shared" si="25"/>
        <v>0.1691612651512775</v>
      </c>
    </row>
    <row r="273" spans="1:13" x14ac:dyDescent="0.25">
      <c r="A273" s="127"/>
      <c r="B273" s="42"/>
      <c r="C273" s="128"/>
      <c r="D273" s="601" t="s">
        <v>465</v>
      </c>
      <c r="E273" s="15"/>
      <c r="F273" s="15"/>
      <c r="G273" s="245"/>
      <c r="H273" s="15">
        <f>H274</f>
        <v>6981837</v>
      </c>
      <c r="I273" s="15">
        <f>I274</f>
        <v>1181056.3799999999</v>
      </c>
      <c r="J273" s="245">
        <f t="shared" si="18"/>
        <v>0.1691612651512775</v>
      </c>
      <c r="K273" s="219">
        <f t="shared" si="23"/>
        <v>6981837</v>
      </c>
      <c r="L273" s="219">
        <f t="shared" si="24"/>
        <v>1181056.3799999999</v>
      </c>
      <c r="M273" s="609">
        <f t="shared" si="25"/>
        <v>0.1691612651512775</v>
      </c>
    </row>
    <row r="274" spans="1:13" x14ac:dyDescent="0.25">
      <c r="A274" s="127"/>
      <c r="B274" s="42"/>
      <c r="C274" s="128"/>
      <c r="D274" s="602" t="s">
        <v>466</v>
      </c>
      <c r="E274" s="15"/>
      <c r="F274" s="15"/>
      <c r="G274" s="245"/>
      <c r="H274" s="15">
        <v>6981837</v>
      </c>
      <c r="I274" s="15">
        <v>1181056.3799999999</v>
      </c>
      <c r="J274" s="245">
        <f t="shared" si="18"/>
        <v>0.1691612651512775</v>
      </c>
      <c r="K274" s="219">
        <f t="shared" si="23"/>
        <v>6981837</v>
      </c>
      <c r="L274" s="219">
        <f t="shared" si="24"/>
        <v>1181056.3799999999</v>
      </c>
      <c r="M274" s="609">
        <f t="shared" si="25"/>
        <v>0.1691612651512775</v>
      </c>
    </row>
    <row r="275" spans="1:13" x14ac:dyDescent="0.25">
      <c r="A275" s="127" t="s">
        <v>300</v>
      </c>
      <c r="B275" s="42" t="s">
        <v>301</v>
      </c>
      <c r="C275" s="128" t="s">
        <v>302</v>
      </c>
      <c r="D275" s="37" t="s">
        <v>304</v>
      </c>
      <c r="E275" s="15">
        <v>0</v>
      </c>
      <c r="F275" s="15">
        <v>0</v>
      </c>
      <c r="G275" s="246"/>
      <c r="H275" s="15">
        <f>H276</f>
        <v>3338727</v>
      </c>
      <c r="I275" s="15">
        <f>I276</f>
        <v>1178132.22</v>
      </c>
      <c r="J275" s="246">
        <f t="shared" si="18"/>
        <v>0.35286868917404746</v>
      </c>
      <c r="K275" s="219">
        <f t="shared" si="23"/>
        <v>3338727</v>
      </c>
      <c r="L275" s="219">
        <f t="shared" si="24"/>
        <v>1178132.22</v>
      </c>
      <c r="M275" s="609">
        <f t="shared" si="25"/>
        <v>0.35286868917404746</v>
      </c>
    </row>
    <row r="276" spans="1:13" x14ac:dyDescent="0.25">
      <c r="A276" s="1124"/>
      <c r="B276" s="1125"/>
      <c r="C276" s="1125"/>
      <c r="D276" s="601" t="s">
        <v>465</v>
      </c>
      <c r="E276" s="8"/>
      <c r="F276" s="8"/>
      <c r="G276" s="245"/>
      <c r="H276" s="8">
        <f>H277</f>
        <v>3338727</v>
      </c>
      <c r="I276" s="8">
        <f>I277</f>
        <v>1178132.22</v>
      </c>
      <c r="J276" s="246">
        <f t="shared" si="18"/>
        <v>0.35286868917404746</v>
      </c>
      <c r="K276" s="219">
        <f t="shared" si="23"/>
        <v>3338727</v>
      </c>
      <c r="L276" s="219">
        <f t="shared" si="24"/>
        <v>1178132.22</v>
      </c>
      <c r="M276" s="609">
        <f t="shared" si="25"/>
        <v>0.35286868917404746</v>
      </c>
    </row>
    <row r="277" spans="1:13" x14ac:dyDescent="0.25">
      <c r="A277" s="1124"/>
      <c r="B277" s="1125"/>
      <c r="C277" s="1125"/>
      <c r="D277" s="602" t="s">
        <v>466</v>
      </c>
      <c r="E277" s="8"/>
      <c r="F277" s="8"/>
      <c r="G277" s="245"/>
      <c r="H277" s="8">
        <v>3338727</v>
      </c>
      <c r="I277" s="8">
        <v>1178132.22</v>
      </c>
      <c r="J277" s="245">
        <f t="shared" si="18"/>
        <v>0.35286868917404746</v>
      </c>
      <c r="K277" s="8">
        <f t="shared" si="23"/>
        <v>3338727</v>
      </c>
      <c r="L277" s="8">
        <f t="shared" si="24"/>
        <v>1178132.22</v>
      </c>
      <c r="M277" s="608">
        <f t="shared" si="25"/>
        <v>0.35286868917404746</v>
      </c>
    </row>
    <row r="278" spans="1:13" x14ac:dyDescent="0.25">
      <c r="A278" s="1124">
        <v>1517324</v>
      </c>
      <c r="B278" s="1125">
        <v>7324</v>
      </c>
      <c r="C278" s="128" t="s">
        <v>302</v>
      </c>
      <c r="D278" s="37" t="s">
        <v>525</v>
      </c>
      <c r="E278" s="8"/>
      <c r="F278" s="8"/>
      <c r="G278" s="245"/>
      <c r="H278" s="8">
        <f>H279</f>
        <v>1501526</v>
      </c>
      <c r="I278" s="8">
        <f>I279</f>
        <v>0</v>
      </c>
      <c r="J278" s="245">
        <f t="shared" si="18"/>
        <v>0</v>
      </c>
      <c r="K278" s="8">
        <f t="shared" si="23"/>
        <v>1501526</v>
      </c>
      <c r="L278" s="8">
        <f t="shared" si="24"/>
        <v>0</v>
      </c>
      <c r="M278" s="608">
        <f t="shared" si="25"/>
        <v>0</v>
      </c>
    </row>
    <row r="279" spans="1:13" x14ac:dyDescent="0.25">
      <c r="A279" s="1124"/>
      <c r="B279" s="1125"/>
      <c r="C279" s="1125"/>
      <c r="D279" s="601" t="s">
        <v>465</v>
      </c>
      <c r="E279" s="8"/>
      <c r="F279" s="8"/>
      <c r="G279" s="245"/>
      <c r="H279" s="8">
        <f>H280</f>
        <v>1501526</v>
      </c>
      <c r="I279" s="8">
        <f>I280</f>
        <v>0</v>
      </c>
      <c r="J279" s="245">
        <f t="shared" ref="J279:J289" si="26">I279/H279</f>
        <v>0</v>
      </c>
      <c r="K279" s="8">
        <f t="shared" si="23"/>
        <v>1501526</v>
      </c>
      <c r="L279" s="8">
        <f t="shared" si="24"/>
        <v>0</v>
      </c>
      <c r="M279" s="608">
        <f t="shared" si="25"/>
        <v>0</v>
      </c>
    </row>
    <row r="280" spans="1:13" x14ac:dyDescent="0.25">
      <c r="A280" s="36"/>
      <c r="B280" s="12"/>
      <c r="C280" s="12"/>
      <c r="D280" s="623" t="s">
        <v>466</v>
      </c>
      <c r="E280" s="236"/>
      <c r="F280" s="236"/>
      <c r="G280" s="253"/>
      <c r="H280" s="236">
        <v>1501526</v>
      </c>
      <c r="I280" s="236">
        <v>0</v>
      </c>
      <c r="J280" s="246">
        <f t="shared" si="26"/>
        <v>0</v>
      </c>
      <c r="K280" s="15">
        <f t="shared" si="23"/>
        <v>1501526</v>
      </c>
      <c r="L280" s="15">
        <f t="shared" si="24"/>
        <v>0</v>
      </c>
      <c r="M280" s="609">
        <f t="shared" si="25"/>
        <v>0</v>
      </c>
    </row>
    <row r="281" spans="1:13" ht="31.5" x14ac:dyDescent="0.25">
      <c r="A281" s="1124">
        <v>1517330</v>
      </c>
      <c r="B281" s="1125">
        <v>7330</v>
      </c>
      <c r="C281" s="128" t="s">
        <v>302</v>
      </c>
      <c r="D281" s="37" t="s">
        <v>526</v>
      </c>
      <c r="E281" s="8"/>
      <c r="F281" s="8"/>
      <c r="G281" s="245"/>
      <c r="H281" s="8">
        <f>H282</f>
        <v>1264018</v>
      </c>
      <c r="I281" s="8">
        <f>I282</f>
        <v>0</v>
      </c>
      <c r="J281" s="246">
        <f t="shared" si="26"/>
        <v>0</v>
      </c>
      <c r="K281" s="15">
        <f t="shared" si="23"/>
        <v>1264018</v>
      </c>
      <c r="L281" s="15">
        <f t="shared" si="24"/>
        <v>0</v>
      </c>
      <c r="M281" s="609">
        <f t="shared" si="25"/>
        <v>0</v>
      </c>
    </row>
    <row r="282" spans="1:13" x14ac:dyDescent="0.25">
      <c r="A282" s="1124"/>
      <c r="B282" s="1125"/>
      <c r="C282" s="1125"/>
      <c r="D282" s="601" t="s">
        <v>465</v>
      </c>
      <c r="E282" s="8"/>
      <c r="F282" s="8"/>
      <c r="G282" s="245"/>
      <c r="H282" s="8">
        <f>H283</f>
        <v>1264018</v>
      </c>
      <c r="I282" s="8">
        <f>I283</f>
        <v>0</v>
      </c>
      <c r="J282" s="246">
        <f t="shared" si="26"/>
        <v>0</v>
      </c>
      <c r="K282" s="15">
        <f t="shared" si="23"/>
        <v>1264018</v>
      </c>
      <c r="L282" s="15">
        <f t="shared" si="24"/>
        <v>0</v>
      </c>
      <c r="M282" s="609">
        <f t="shared" si="25"/>
        <v>0</v>
      </c>
    </row>
    <row r="283" spans="1:13" x14ac:dyDescent="0.25">
      <c r="A283" s="36"/>
      <c r="B283" s="12"/>
      <c r="C283" s="12"/>
      <c r="D283" s="623" t="s">
        <v>466</v>
      </c>
      <c r="E283" s="236"/>
      <c r="F283" s="236"/>
      <c r="G283" s="253"/>
      <c r="H283" s="236">
        <v>1264018</v>
      </c>
      <c r="I283" s="236">
        <v>0</v>
      </c>
      <c r="J283" s="246">
        <f t="shared" si="26"/>
        <v>0</v>
      </c>
      <c r="K283" s="15">
        <f t="shared" si="23"/>
        <v>1264018</v>
      </c>
      <c r="L283" s="15">
        <f t="shared" si="24"/>
        <v>0</v>
      </c>
      <c r="M283" s="609">
        <f t="shared" si="25"/>
        <v>0</v>
      </c>
    </row>
    <row r="284" spans="1:13" ht="47.25" x14ac:dyDescent="0.25">
      <c r="A284" s="1124">
        <v>1517461</v>
      </c>
      <c r="B284" s="1125">
        <v>7461</v>
      </c>
      <c r="C284" s="56" t="s">
        <v>139</v>
      </c>
      <c r="D284" s="37" t="s">
        <v>140</v>
      </c>
      <c r="E284" s="8"/>
      <c r="F284" s="8"/>
      <c r="G284" s="245"/>
      <c r="H284" s="8">
        <f>H285</f>
        <v>7148634</v>
      </c>
      <c r="I284" s="8">
        <f>I285</f>
        <v>0</v>
      </c>
      <c r="J284" s="246">
        <f t="shared" si="26"/>
        <v>0</v>
      </c>
      <c r="K284" s="15">
        <f t="shared" si="23"/>
        <v>7148634</v>
      </c>
      <c r="L284" s="15">
        <f t="shared" si="24"/>
        <v>0</v>
      </c>
      <c r="M284" s="609">
        <f t="shared" si="25"/>
        <v>0</v>
      </c>
    </row>
    <row r="285" spans="1:13" x14ac:dyDescent="0.25">
      <c r="A285" s="1124"/>
      <c r="B285" s="1125"/>
      <c r="C285" s="1125"/>
      <c r="D285" s="601" t="s">
        <v>465</v>
      </c>
      <c r="E285" s="8"/>
      <c r="F285" s="8"/>
      <c r="G285" s="245"/>
      <c r="H285" s="8">
        <f>H286</f>
        <v>7148634</v>
      </c>
      <c r="I285" s="8">
        <f>I286</f>
        <v>0</v>
      </c>
      <c r="J285" s="246">
        <f t="shared" si="26"/>
        <v>0</v>
      </c>
      <c r="K285" s="15">
        <f t="shared" si="23"/>
        <v>7148634</v>
      </c>
      <c r="L285" s="15">
        <f t="shared" si="24"/>
        <v>0</v>
      </c>
      <c r="M285" s="609">
        <f t="shared" si="25"/>
        <v>0</v>
      </c>
    </row>
    <row r="286" spans="1:13" x14ac:dyDescent="0.25">
      <c r="A286" s="1124"/>
      <c r="B286" s="1125"/>
      <c r="C286" s="1125"/>
      <c r="D286" s="602" t="s">
        <v>466</v>
      </c>
      <c r="E286" s="8"/>
      <c r="F286" s="8"/>
      <c r="G286" s="245"/>
      <c r="H286" s="8">
        <v>7148634</v>
      </c>
      <c r="I286" s="8">
        <v>0</v>
      </c>
      <c r="J286" s="245">
        <f t="shared" si="26"/>
        <v>0</v>
      </c>
      <c r="K286" s="8">
        <f t="shared" si="23"/>
        <v>7148634</v>
      </c>
      <c r="L286" s="8">
        <f t="shared" si="24"/>
        <v>0</v>
      </c>
      <c r="M286" s="608">
        <f t="shared" si="25"/>
        <v>0</v>
      </c>
    </row>
    <row r="287" spans="1:13" ht="47.25" x14ac:dyDescent="0.25">
      <c r="A287" s="1124">
        <v>1518110</v>
      </c>
      <c r="B287" s="1125">
        <v>8110</v>
      </c>
      <c r="C287" s="56" t="s">
        <v>231</v>
      </c>
      <c r="D287" s="37" t="s">
        <v>232</v>
      </c>
      <c r="E287" s="8"/>
      <c r="F287" s="8"/>
      <c r="G287" s="245"/>
      <c r="H287" s="8">
        <f>H288</f>
        <v>2042000</v>
      </c>
      <c r="I287" s="8">
        <f>I288</f>
        <v>0</v>
      </c>
      <c r="J287" s="245">
        <f t="shared" si="26"/>
        <v>0</v>
      </c>
      <c r="K287" s="8">
        <f t="shared" si="23"/>
        <v>2042000</v>
      </c>
      <c r="L287" s="8">
        <f t="shared" si="24"/>
        <v>0</v>
      </c>
      <c r="M287" s="608">
        <f t="shared" si="25"/>
        <v>0</v>
      </c>
    </row>
    <row r="288" spans="1:13" x14ac:dyDescent="0.25">
      <c r="A288" s="1124"/>
      <c r="B288" s="1125"/>
      <c r="C288" s="1125"/>
      <c r="D288" s="601" t="s">
        <v>465</v>
      </c>
      <c r="E288" s="8"/>
      <c r="F288" s="8"/>
      <c r="G288" s="245"/>
      <c r="H288" s="8">
        <f>H289</f>
        <v>2042000</v>
      </c>
      <c r="I288" s="8">
        <f>I289</f>
        <v>0</v>
      </c>
      <c r="J288" s="245">
        <f t="shared" si="26"/>
        <v>0</v>
      </c>
      <c r="K288" s="8">
        <f t="shared" si="23"/>
        <v>2042000</v>
      </c>
      <c r="L288" s="8">
        <f t="shared" si="24"/>
        <v>0</v>
      </c>
      <c r="M288" s="608">
        <f t="shared" si="25"/>
        <v>0</v>
      </c>
    </row>
    <row r="289" spans="1:13" ht="16.5" thickBot="1" x14ac:dyDescent="0.3">
      <c r="A289" s="36"/>
      <c r="B289" s="12"/>
      <c r="C289" s="12"/>
      <c r="D289" s="602" t="s">
        <v>466</v>
      </c>
      <c r="E289" s="236"/>
      <c r="F289" s="236"/>
      <c r="G289" s="253"/>
      <c r="H289" s="236">
        <v>2042000</v>
      </c>
      <c r="I289" s="236">
        <v>0</v>
      </c>
      <c r="J289" s="245">
        <f t="shared" si="26"/>
        <v>0</v>
      </c>
      <c r="K289" s="8">
        <f t="shared" si="23"/>
        <v>2042000</v>
      </c>
      <c r="L289" s="8">
        <f t="shared" si="24"/>
        <v>0</v>
      </c>
      <c r="M289" s="608">
        <f t="shared" si="25"/>
        <v>0</v>
      </c>
    </row>
    <row r="290" spans="1:13" s="33" customFormat="1" ht="62.25" customHeight="1" thickBot="1" x14ac:dyDescent="0.3">
      <c r="A290" s="38" t="s">
        <v>199</v>
      </c>
      <c r="B290" s="39" t="s">
        <v>14</v>
      </c>
      <c r="C290" s="39" t="s">
        <v>14</v>
      </c>
      <c r="D290" s="40" t="s">
        <v>200</v>
      </c>
      <c r="E290" s="58">
        <f t="shared" ref="E290:F292" si="27">E291</f>
        <v>3958945</v>
      </c>
      <c r="F290" s="58">
        <f t="shared" si="27"/>
        <v>2566787.34</v>
      </c>
      <c r="G290" s="243">
        <f t="shared" si="21"/>
        <v>0.64835135118068066</v>
      </c>
      <c r="H290" s="13">
        <v>0</v>
      </c>
      <c r="I290" s="13">
        <v>0</v>
      </c>
      <c r="J290" s="243"/>
      <c r="K290" s="241">
        <f>K291</f>
        <v>3958945</v>
      </c>
      <c r="L290" s="241">
        <f>L291</f>
        <v>2566787.34</v>
      </c>
      <c r="M290" s="252">
        <f t="shared" si="25"/>
        <v>0.64835135118068066</v>
      </c>
    </row>
    <row r="291" spans="1:13" s="32" customFormat="1" ht="47.25" x14ac:dyDescent="0.25">
      <c r="A291" s="51" t="s">
        <v>201</v>
      </c>
      <c r="B291" s="52" t="s">
        <v>14</v>
      </c>
      <c r="C291" s="52" t="s">
        <v>14</v>
      </c>
      <c r="D291" s="53" t="s">
        <v>200</v>
      </c>
      <c r="E291" s="45">
        <f>E292+E295</f>
        <v>3958945</v>
      </c>
      <c r="F291" s="45">
        <f>F292+F295</f>
        <v>2566787.34</v>
      </c>
      <c r="G291" s="244">
        <f t="shared" si="21"/>
        <v>0.64835135118068066</v>
      </c>
      <c r="H291" s="16">
        <v>0</v>
      </c>
      <c r="I291" s="16"/>
      <c r="J291" s="244"/>
      <c r="K291" s="242">
        <f>K292+K295</f>
        <v>3958945</v>
      </c>
      <c r="L291" s="242">
        <f>L292+L295</f>
        <v>2566787.34</v>
      </c>
      <c r="M291" s="610">
        <f t="shared" si="25"/>
        <v>0.64835135118068066</v>
      </c>
    </row>
    <row r="292" spans="1:13" ht="54.6" customHeight="1" x14ac:dyDescent="0.25">
      <c r="A292" s="41" t="s">
        <v>202</v>
      </c>
      <c r="B292" s="42" t="s">
        <v>44</v>
      </c>
      <c r="C292" s="42" t="s">
        <v>17</v>
      </c>
      <c r="D292" s="37" t="s">
        <v>175</v>
      </c>
      <c r="E292" s="44">
        <f t="shared" si="27"/>
        <v>3813945</v>
      </c>
      <c r="F292" s="44">
        <f t="shared" si="27"/>
        <v>2566787.34</v>
      </c>
      <c r="G292" s="246">
        <f t="shared" si="21"/>
        <v>0.67300061747088635</v>
      </c>
      <c r="H292" s="15">
        <v>0</v>
      </c>
      <c r="I292" s="15"/>
      <c r="J292" s="246"/>
      <c r="K292" s="222">
        <f>E292+H292</f>
        <v>3813945</v>
      </c>
      <c r="L292" s="222">
        <f>F292+I292</f>
        <v>2566787.34</v>
      </c>
      <c r="M292" s="609">
        <f t="shared" si="25"/>
        <v>0.67300061747088635</v>
      </c>
    </row>
    <row r="293" spans="1:13" x14ac:dyDescent="0.25">
      <c r="A293" s="1124"/>
      <c r="B293" s="1125"/>
      <c r="C293" s="1125"/>
      <c r="D293" s="601" t="s">
        <v>462</v>
      </c>
      <c r="E293" s="43">
        <v>3813945</v>
      </c>
      <c r="F293" s="43">
        <v>2566787.34</v>
      </c>
      <c r="G293" s="246">
        <f t="shared" si="21"/>
        <v>0.67300061747088635</v>
      </c>
      <c r="H293" s="8"/>
      <c r="I293" s="8"/>
      <c r="J293" s="245"/>
      <c r="K293" s="222">
        <f t="shared" ref="K293:K296" si="28">E293+H293</f>
        <v>3813945</v>
      </c>
      <c r="L293" s="222">
        <f t="shared" ref="L293:L296" si="29">F293+I293</f>
        <v>2566787.34</v>
      </c>
      <c r="M293" s="609">
        <f t="shared" si="25"/>
        <v>0.67300061747088635</v>
      </c>
    </row>
    <row r="294" spans="1:13" x14ac:dyDescent="0.25">
      <c r="A294" s="41"/>
      <c r="B294" s="42"/>
      <c r="C294" s="42"/>
      <c r="D294" s="604" t="s">
        <v>463</v>
      </c>
      <c r="E294" s="44">
        <v>3641143</v>
      </c>
      <c r="F294" s="44">
        <v>2424462.9900000002</v>
      </c>
      <c r="G294" s="246">
        <f t="shared" si="21"/>
        <v>0.66585217608866232</v>
      </c>
      <c r="H294" s="15"/>
      <c r="I294" s="15"/>
      <c r="J294" s="246"/>
      <c r="K294" s="222">
        <f t="shared" si="28"/>
        <v>3641143</v>
      </c>
      <c r="L294" s="222">
        <f t="shared" si="29"/>
        <v>2424462.9900000002</v>
      </c>
      <c r="M294" s="609">
        <f t="shared" si="25"/>
        <v>0.66585217608866232</v>
      </c>
    </row>
    <row r="295" spans="1:13" ht="31.5" x14ac:dyDescent="0.25">
      <c r="A295" s="1124">
        <v>1616014</v>
      </c>
      <c r="B295" s="1125">
        <v>6014</v>
      </c>
      <c r="C295" s="56" t="s">
        <v>27</v>
      </c>
      <c r="D295" s="37" t="s">
        <v>521</v>
      </c>
      <c r="E295" s="43">
        <f>E296</f>
        <v>145000</v>
      </c>
      <c r="F295" s="43">
        <f>F296</f>
        <v>0</v>
      </c>
      <c r="G295" s="246">
        <f t="shared" si="21"/>
        <v>0</v>
      </c>
      <c r="H295" s="8"/>
      <c r="I295" s="8"/>
      <c r="J295" s="245"/>
      <c r="K295" s="222">
        <f t="shared" si="28"/>
        <v>145000</v>
      </c>
      <c r="L295" s="222">
        <f t="shared" si="29"/>
        <v>0</v>
      </c>
      <c r="M295" s="609">
        <f t="shared" si="25"/>
        <v>0</v>
      </c>
    </row>
    <row r="296" spans="1:13" ht="16.5" thickBot="1" x14ac:dyDescent="0.3">
      <c r="A296" s="36"/>
      <c r="B296" s="12"/>
      <c r="C296" s="12"/>
      <c r="D296" s="601" t="s">
        <v>462</v>
      </c>
      <c r="E296" s="235">
        <v>145000</v>
      </c>
      <c r="F296" s="235">
        <v>0</v>
      </c>
      <c r="G296" s="246">
        <f t="shared" si="21"/>
        <v>0</v>
      </c>
      <c r="H296" s="236"/>
      <c r="I296" s="236"/>
      <c r="J296" s="253"/>
      <c r="K296" s="222">
        <f t="shared" si="28"/>
        <v>145000</v>
      </c>
      <c r="L296" s="222">
        <f t="shared" si="29"/>
        <v>0</v>
      </c>
      <c r="M296" s="609">
        <f t="shared" si="25"/>
        <v>0</v>
      </c>
    </row>
    <row r="297" spans="1:13" s="33" customFormat="1" ht="48" thickBot="1" x14ac:dyDescent="0.3">
      <c r="A297" s="38" t="s">
        <v>203</v>
      </c>
      <c r="B297" s="39" t="s">
        <v>14</v>
      </c>
      <c r="C297" s="39" t="s">
        <v>14</v>
      </c>
      <c r="D297" s="40" t="s">
        <v>204</v>
      </c>
      <c r="E297" s="58">
        <f>E298</f>
        <v>8453139</v>
      </c>
      <c r="F297" s="58">
        <f>F298</f>
        <v>5610884.0299999993</v>
      </c>
      <c r="G297" s="243">
        <f t="shared" si="21"/>
        <v>0.66376337003330943</v>
      </c>
      <c r="H297" s="13">
        <v>0</v>
      </c>
      <c r="I297" s="13"/>
      <c r="J297" s="243"/>
      <c r="K297" s="241">
        <f>K298</f>
        <v>8453139</v>
      </c>
      <c r="L297" s="241">
        <f>L298</f>
        <v>5610884.0299999993</v>
      </c>
      <c r="M297" s="252">
        <f t="shared" si="25"/>
        <v>0.66376337003330943</v>
      </c>
    </row>
    <row r="298" spans="1:13" s="32" customFormat="1" ht="44.25" customHeight="1" x14ac:dyDescent="0.25">
      <c r="A298" s="51" t="s">
        <v>205</v>
      </c>
      <c r="B298" s="52" t="s">
        <v>14</v>
      </c>
      <c r="C298" s="52" t="s">
        <v>14</v>
      </c>
      <c r="D298" s="53" t="s">
        <v>204</v>
      </c>
      <c r="E298" s="45">
        <f>E299+E302+E304</f>
        <v>8453139</v>
      </c>
      <c r="F298" s="45">
        <f>F299+F302+F304</f>
        <v>5610884.0299999993</v>
      </c>
      <c r="G298" s="244">
        <f t="shared" si="21"/>
        <v>0.66376337003330943</v>
      </c>
      <c r="H298" s="16">
        <v>0</v>
      </c>
      <c r="I298" s="16"/>
      <c r="J298" s="244"/>
      <c r="K298" s="242">
        <f>K299+K302+K304</f>
        <v>8453139</v>
      </c>
      <c r="L298" s="242">
        <f>L299+L302+L304</f>
        <v>5610884.0299999993</v>
      </c>
      <c r="M298" s="610">
        <f t="shared" si="25"/>
        <v>0.66376337003330943</v>
      </c>
    </row>
    <row r="299" spans="1:13" ht="47.25" x14ac:dyDescent="0.25">
      <c r="A299" s="41" t="s">
        <v>206</v>
      </c>
      <c r="B299" s="42" t="s">
        <v>44</v>
      </c>
      <c r="C299" s="42" t="s">
        <v>17</v>
      </c>
      <c r="D299" s="37" t="s">
        <v>175</v>
      </c>
      <c r="E299" s="44">
        <f>E300</f>
        <v>3832479</v>
      </c>
      <c r="F299" s="44">
        <f>F300</f>
        <v>2762414.03</v>
      </c>
      <c r="G299" s="245">
        <f t="shared" si="21"/>
        <v>0.72079038919717497</v>
      </c>
      <c r="H299" s="15">
        <v>0</v>
      </c>
      <c r="I299" s="15"/>
      <c r="J299" s="245"/>
      <c r="K299" s="222">
        <f>E299+H299</f>
        <v>3832479</v>
      </c>
      <c r="L299" s="222">
        <f>F299+I299</f>
        <v>2762414.03</v>
      </c>
      <c r="M299" s="609">
        <f t="shared" si="25"/>
        <v>0.72079038919717497</v>
      </c>
    </row>
    <row r="300" spans="1:13" x14ac:dyDescent="0.25">
      <c r="A300" s="41"/>
      <c r="B300" s="42"/>
      <c r="C300" s="42"/>
      <c r="D300" s="601" t="s">
        <v>462</v>
      </c>
      <c r="E300" s="44">
        <v>3832479</v>
      </c>
      <c r="F300" s="44">
        <v>2762414.03</v>
      </c>
      <c r="G300" s="245">
        <f t="shared" si="21"/>
        <v>0.72079038919717497</v>
      </c>
      <c r="H300" s="15"/>
      <c r="I300" s="15"/>
      <c r="J300" s="245"/>
      <c r="K300" s="222">
        <f t="shared" ref="K300:K305" si="30">E300+H300</f>
        <v>3832479</v>
      </c>
      <c r="L300" s="222">
        <f t="shared" ref="L300:L305" si="31">F300+I300</f>
        <v>2762414.03</v>
      </c>
      <c r="M300" s="609">
        <f t="shared" si="25"/>
        <v>0.72079038919717497</v>
      </c>
    </row>
    <row r="301" spans="1:13" x14ac:dyDescent="0.25">
      <c r="A301" s="41"/>
      <c r="B301" s="42"/>
      <c r="C301" s="42"/>
      <c r="D301" s="602" t="s">
        <v>463</v>
      </c>
      <c r="E301" s="44">
        <v>3736189</v>
      </c>
      <c r="F301" s="44">
        <v>2682222.9500000002</v>
      </c>
      <c r="G301" s="245">
        <f t="shared" si="21"/>
        <v>0.71790344385682847</v>
      </c>
      <c r="H301" s="15"/>
      <c r="I301" s="15"/>
      <c r="J301" s="245"/>
      <c r="K301" s="222">
        <f t="shared" si="30"/>
        <v>3736189</v>
      </c>
      <c r="L301" s="222">
        <f t="shared" si="31"/>
        <v>2682222.9500000002</v>
      </c>
      <c r="M301" s="609">
        <f t="shared" si="25"/>
        <v>0.71790344385682847</v>
      </c>
    </row>
    <row r="302" spans="1:13" ht="31.9" customHeight="1" x14ac:dyDescent="0.25">
      <c r="A302" s="41">
        <v>2717413</v>
      </c>
      <c r="B302" s="42">
        <v>7413</v>
      </c>
      <c r="C302" s="129" t="s">
        <v>239</v>
      </c>
      <c r="D302" s="37" t="s">
        <v>238</v>
      </c>
      <c r="E302" s="44">
        <f>E303</f>
        <v>4440660</v>
      </c>
      <c r="F302" s="44">
        <f>F303</f>
        <v>2668470</v>
      </c>
      <c r="G302" s="246">
        <f t="shared" si="21"/>
        <v>0.6009174311926605</v>
      </c>
      <c r="H302" s="15"/>
      <c r="I302" s="15"/>
      <c r="J302" s="246"/>
      <c r="K302" s="222">
        <f t="shared" si="30"/>
        <v>4440660</v>
      </c>
      <c r="L302" s="222">
        <f t="shared" si="31"/>
        <v>2668470</v>
      </c>
      <c r="M302" s="609">
        <f t="shared" si="25"/>
        <v>0.6009174311926605</v>
      </c>
    </row>
    <row r="303" spans="1:13" x14ac:dyDescent="0.25">
      <c r="A303" s="41"/>
      <c r="B303" s="42"/>
      <c r="C303" s="129"/>
      <c r="D303" s="603" t="s">
        <v>462</v>
      </c>
      <c r="E303" s="44">
        <v>4440660</v>
      </c>
      <c r="F303" s="44">
        <v>2668470</v>
      </c>
      <c r="G303" s="246">
        <f t="shared" si="21"/>
        <v>0.6009174311926605</v>
      </c>
      <c r="H303" s="15"/>
      <c r="I303" s="15"/>
      <c r="J303" s="246"/>
      <c r="K303" s="222">
        <f t="shared" si="30"/>
        <v>4440660</v>
      </c>
      <c r="L303" s="222">
        <f t="shared" si="31"/>
        <v>2668470</v>
      </c>
      <c r="M303" s="609">
        <f t="shared" si="25"/>
        <v>0.6009174311926605</v>
      </c>
    </row>
    <row r="304" spans="1:13" ht="24.6" customHeight="1" x14ac:dyDescent="0.25">
      <c r="A304" s="1124">
        <v>2719770</v>
      </c>
      <c r="B304" s="1125">
        <v>9770</v>
      </c>
      <c r="C304" s="56" t="s">
        <v>219</v>
      </c>
      <c r="D304" s="37" t="s">
        <v>628</v>
      </c>
      <c r="E304" s="43">
        <f>E305</f>
        <v>180000</v>
      </c>
      <c r="F304" s="43">
        <f>F305</f>
        <v>180000</v>
      </c>
      <c r="G304" s="246">
        <f t="shared" si="21"/>
        <v>1</v>
      </c>
      <c r="H304" s="8"/>
      <c r="I304" s="8"/>
      <c r="J304" s="245"/>
      <c r="K304" s="222">
        <f t="shared" si="30"/>
        <v>180000</v>
      </c>
      <c r="L304" s="222">
        <f t="shared" si="31"/>
        <v>180000</v>
      </c>
      <c r="M304" s="609">
        <f t="shared" si="25"/>
        <v>1</v>
      </c>
    </row>
    <row r="305" spans="1:13" ht="16.5" thickBot="1" x14ac:dyDescent="0.3">
      <c r="A305" s="41"/>
      <c r="B305" s="42"/>
      <c r="C305" s="129"/>
      <c r="D305" s="603" t="s">
        <v>462</v>
      </c>
      <c r="E305" s="44">
        <v>180000</v>
      </c>
      <c r="F305" s="44">
        <v>180000</v>
      </c>
      <c r="G305" s="246">
        <f t="shared" si="21"/>
        <v>1</v>
      </c>
      <c r="H305" s="15"/>
      <c r="I305" s="15"/>
      <c r="J305" s="246"/>
      <c r="K305" s="222">
        <f t="shared" si="30"/>
        <v>180000</v>
      </c>
      <c r="L305" s="222">
        <f t="shared" si="31"/>
        <v>180000</v>
      </c>
      <c r="M305" s="609">
        <f t="shared" si="25"/>
        <v>1</v>
      </c>
    </row>
    <row r="306" spans="1:13" s="33" customFormat="1" ht="48" thickBot="1" x14ac:dyDescent="0.3">
      <c r="A306" s="38" t="s">
        <v>207</v>
      </c>
      <c r="B306" s="39" t="s">
        <v>14</v>
      </c>
      <c r="C306" s="39" t="s">
        <v>14</v>
      </c>
      <c r="D306" s="40" t="s">
        <v>208</v>
      </c>
      <c r="E306" s="58">
        <f t="shared" ref="E306:F308" si="32">E307</f>
        <v>3132227</v>
      </c>
      <c r="F306" s="58">
        <f t="shared" si="32"/>
        <v>2043848.9300000002</v>
      </c>
      <c r="G306" s="243">
        <f t="shared" si="21"/>
        <v>0.65252260771649062</v>
      </c>
      <c r="H306" s="13">
        <f>H307</f>
        <v>323000</v>
      </c>
      <c r="I306" s="13">
        <f>I307</f>
        <v>3119554.58</v>
      </c>
      <c r="J306" s="793" t="s">
        <v>570</v>
      </c>
      <c r="K306" s="241">
        <f>K307</f>
        <v>3455227</v>
      </c>
      <c r="L306" s="241">
        <f>L307</f>
        <v>5163403.5099999988</v>
      </c>
      <c r="M306" s="252">
        <f t="shared" si="25"/>
        <v>1.4943746127244313</v>
      </c>
    </row>
    <row r="307" spans="1:13" s="32" customFormat="1" ht="48" thickBot="1" x14ac:dyDescent="0.3">
      <c r="A307" s="51" t="s">
        <v>209</v>
      </c>
      <c r="B307" s="52" t="s">
        <v>14</v>
      </c>
      <c r="C307" s="52" t="s">
        <v>14</v>
      </c>
      <c r="D307" s="53" t="s">
        <v>208</v>
      </c>
      <c r="E307" s="45">
        <f>E308+E315+E317</f>
        <v>3132227</v>
      </c>
      <c r="F307" s="45">
        <f>F308+F315+F317</f>
        <v>2043848.9300000002</v>
      </c>
      <c r="G307" s="244">
        <f t="shared" si="21"/>
        <v>0.65252260771649062</v>
      </c>
      <c r="H307" s="16">
        <f>H308+H313+H315+H317+H319</f>
        <v>323000</v>
      </c>
      <c r="I307" s="16">
        <f>I308+I313+I315+I317+I319</f>
        <v>3119554.58</v>
      </c>
      <c r="J307" s="793" t="s">
        <v>570</v>
      </c>
      <c r="K307" s="242">
        <f>K308+K313+K315+K317+K319</f>
        <v>3455227</v>
      </c>
      <c r="L307" s="242">
        <f>L308+L313+L315+L317+L319</f>
        <v>5163403.5099999988</v>
      </c>
      <c r="M307" s="610">
        <f t="shared" si="25"/>
        <v>1.4943746127244313</v>
      </c>
    </row>
    <row r="308" spans="1:13" ht="47.25" x14ac:dyDescent="0.25">
      <c r="A308" s="41" t="s">
        <v>210</v>
      </c>
      <c r="B308" s="42" t="s">
        <v>44</v>
      </c>
      <c r="C308" s="42" t="s">
        <v>17</v>
      </c>
      <c r="D308" s="37" t="s">
        <v>175</v>
      </c>
      <c r="E308" s="44">
        <f t="shared" si="32"/>
        <v>2898845</v>
      </c>
      <c r="F308" s="44">
        <f t="shared" si="32"/>
        <v>1905607.1</v>
      </c>
      <c r="G308" s="246">
        <f t="shared" si="21"/>
        <v>0.65736771024321761</v>
      </c>
      <c r="H308" s="15">
        <f>H311</f>
        <v>23000</v>
      </c>
      <c r="I308" s="15">
        <f>I311</f>
        <v>23000</v>
      </c>
      <c r="J308" s="245">
        <f t="shared" ref="J308:J312" si="33">I308/H308</f>
        <v>1</v>
      </c>
      <c r="K308" s="222">
        <f>K309+K311</f>
        <v>2921845</v>
      </c>
      <c r="L308" s="222">
        <f>L309+L311</f>
        <v>1928607.1</v>
      </c>
      <c r="M308" s="609">
        <f t="shared" si="25"/>
        <v>0.66006482205592698</v>
      </c>
    </row>
    <row r="309" spans="1:13" x14ac:dyDescent="0.25">
      <c r="A309" s="1124"/>
      <c r="B309" s="1125"/>
      <c r="C309" s="1125"/>
      <c r="D309" s="601" t="s">
        <v>462</v>
      </c>
      <c r="E309" s="43">
        <v>2898845</v>
      </c>
      <c r="F309" s="43">
        <v>1905607.1</v>
      </c>
      <c r="G309" s="246">
        <f t="shared" si="21"/>
        <v>0.65736771024321761</v>
      </c>
      <c r="H309" s="8"/>
      <c r="I309" s="8"/>
      <c r="J309" s="245"/>
      <c r="K309" s="8">
        <f>E309+H309</f>
        <v>2898845</v>
      </c>
      <c r="L309" s="8">
        <f>F309+I309</f>
        <v>1905607.1</v>
      </c>
      <c r="M309" s="609">
        <f t="shared" si="25"/>
        <v>0.65736771024321761</v>
      </c>
    </row>
    <row r="310" spans="1:13" x14ac:dyDescent="0.25">
      <c r="A310" s="1124"/>
      <c r="B310" s="1125"/>
      <c r="C310" s="1125"/>
      <c r="D310" s="602" t="s">
        <v>463</v>
      </c>
      <c r="E310" s="43">
        <v>2833890</v>
      </c>
      <c r="F310" s="43">
        <v>1847218.6</v>
      </c>
      <c r="G310" s="246">
        <f t="shared" si="21"/>
        <v>0.65183144017587136</v>
      </c>
      <c r="H310" s="8"/>
      <c r="I310" s="8"/>
      <c r="J310" s="245"/>
      <c r="K310" s="8">
        <f t="shared" ref="K310:K321" si="34">E310+H310</f>
        <v>2833890</v>
      </c>
      <c r="L310" s="8">
        <f t="shared" ref="L310:L321" si="35">F310+I310</f>
        <v>1847218.6</v>
      </c>
      <c r="M310" s="609">
        <f t="shared" si="25"/>
        <v>0.65183144017587136</v>
      </c>
    </row>
    <row r="311" spans="1:13" x14ac:dyDescent="0.25">
      <c r="A311" s="1124"/>
      <c r="B311" s="1125"/>
      <c r="C311" s="1125"/>
      <c r="D311" s="601" t="s">
        <v>465</v>
      </c>
      <c r="E311" s="43"/>
      <c r="F311" s="43"/>
      <c r="G311" s="246"/>
      <c r="H311" s="8">
        <f>H312</f>
        <v>23000</v>
      </c>
      <c r="I311" s="8">
        <f>I312</f>
        <v>23000</v>
      </c>
      <c r="J311" s="245">
        <f t="shared" si="33"/>
        <v>1</v>
      </c>
      <c r="K311" s="8">
        <f t="shared" si="34"/>
        <v>23000</v>
      </c>
      <c r="L311" s="8">
        <f t="shared" si="35"/>
        <v>23000</v>
      </c>
      <c r="M311" s="609">
        <f t="shared" si="25"/>
        <v>1</v>
      </c>
    </row>
    <row r="312" spans="1:13" x14ac:dyDescent="0.25">
      <c r="A312" s="41"/>
      <c r="B312" s="42"/>
      <c r="C312" s="42"/>
      <c r="D312" s="604" t="s">
        <v>466</v>
      </c>
      <c r="E312" s="44"/>
      <c r="F312" s="44"/>
      <c r="G312" s="246"/>
      <c r="H312" s="15">
        <v>23000</v>
      </c>
      <c r="I312" s="15">
        <v>23000</v>
      </c>
      <c r="J312" s="245">
        <f t="shared" si="33"/>
        <v>1</v>
      </c>
      <c r="K312" s="15">
        <f t="shared" si="34"/>
        <v>23000</v>
      </c>
      <c r="L312" s="15">
        <f t="shared" si="35"/>
        <v>23000</v>
      </c>
      <c r="M312" s="609">
        <f t="shared" si="25"/>
        <v>1</v>
      </c>
    </row>
    <row r="313" spans="1:13" ht="31.5" x14ac:dyDescent="0.25">
      <c r="A313" s="41">
        <v>3110180</v>
      </c>
      <c r="B313" s="129" t="s">
        <v>219</v>
      </c>
      <c r="C313" s="129" t="s">
        <v>217</v>
      </c>
      <c r="D313" s="37" t="s">
        <v>527</v>
      </c>
      <c r="E313" s="44"/>
      <c r="F313" s="44"/>
      <c r="G313" s="246"/>
      <c r="H313" s="15">
        <f>H314</f>
        <v>0</v>
      </c>
      <c r="I313" s="15">
        <f>I314</f>
        <v>3096554.58</v>
      </c>
      <c r="J313" s="245"/>
      <c r="K313" s="15">
        <f t="shared" si="34"/>
        <v>0</v>
      </c>
      <c r="L313" s="15">
        <f t="shared" si="35"/>
        <v>3096554.58</v>
      </c>
      <c r="M313" s="609"/>
    </row>
    <row r="314" spans="1:13" x14ac:dyDescent="0.25">
      <c r="A314" s="41"/>
      <c r="B314" s="42"/>
      <c r="C314" s="42"/>
      <c r="D314" s="601" t="s">
        <v>462</v>
      </c>
      <c r="E314" s="44"/>
      <c r="F314" s="44"/>
      <c r="G314" s="246"/>
      <c r="H314" s="15">
        <v>0</v>
      </c>
      <c r="I314" s="15">
        <v>3096554.58</v>
      </c>
      <c r="J314" s="245"/>
      <c r="K314" s="15">
        <f t="shared" si="34"/>
        <v>0</v>
      </c>
      <c r="L314" s="15">
        <f t="shared" si="35"/>
        <v>3096554.58</v>
      </c>
      <c r="M314" s="609"/>
    </row>
    <row r="315" spans="1:13" ht="31.5" x14ac:dyDescent="0.25">
      <c r="A315" s="1124">
        <v>3117693</v>
      </c>
      <c r="B315" s="1125">
        <v>7693</v>
      </c>
      <c r="C315" s="56" t="s">
        <v>171</v>
      </c>
      <c r="D315" s="37" t="s">
        <v>520</v>
      </c>
      <c r="E315" s="43">
        <f>E316</f>
        <v>160062</v>
      </c>
      <c r="F315" s="43">
        <f>F316</f>
        <v>89361.81</v>
      </c>
      <c r="G315" s="246">
        <f t="shared" si="21"/>
        <v>0.55829497319788579</v>
      </c>
      <c r="H315" s="8"/>
      <c r="I315" s="8"/>
      <c r="J315" s="245"/>
      <c r="K315" s="15">
        <f t="shared" si="34"/>
        <v>160062</v>
      </c>
      <c r="L315" s="15">
        <f t="shared" si="35"/>
        <v>89361.81</v>
      </c>
      <c r="M315" s="608">
        <f>L315/K315</f>
        <v>0.55829497319788579</v>
      </c>
    </row>
    <row r="316" spans="1:13" x14ac:dyDescent="0.25">
      <c r="A316" s="1124"/>
      <c r="B316" s="1125"/>
      <c r="C316" s="1125"/>
      <c r="D316" s="601" t="s">
        <v>462</v>
      </c>
      <c r="E316" s="43">
        <v>160062</v>
      </c>
      <c r="F316" s="43">
        <v>89361.81</v>
      </c>
      <c r="G316" s="246">
        <f t="shared" si="21"/>
        <v>0.55829497319788579</v>
      </c>
      <c r="H316" s="8"/>
      <c r="I316" s="8"/>
      <c r="J316" s="245"/>
      <c r="K316" s="15">
        <f t="shared" si="34"/>
        <v>160062</v>
      </c>
      <c r="L316" s="15">
        <f t="shared" si="35"/>
        <v>89361.81</v>
      </c>
      <c r="M316" s="608">
        <f t="shared" ref="M316:M321" si="36">L316/K316</f>
        <v>0.55829497319788579</v>
      </c>
    </row>
    <row r="317" spans="1:13" ht="47.25" x14ac:dyDescent="0.25">
      <c r="A317" s="1124">
        <v>3118110</v>
      </c>
      <c r="B317" s="1125">
        <v>8110</v>
      </c>
      <c r="C317" s="56" t="s">
        <v>231</v>
      </c>
      <c r="D317" s="37" t="s">
        <v>232</v>
      </c>
      <c r="E317" s="43">
        <f>E318</f>
        <v>73320</v>
      </c>
      <c r="F317" s="43">
        <f>F318</f>
        <v>48880.02</v>
      </c>
      <c r="G317" s="246">
        <f t="shared" si="21"/>
        <v>0.66666693944353517</v>
      </c>
      <c r="H317" s="8"/>
      <c r="I317" s="8"/>
      <c r="J317" s="245"/>
      <c r="K317" s="15">
        <f t="shared" si="34"/>
        <v>73320</v>
      </c>
      <c r="L317" s="15">
        <f t="shared" si="35"/>
        <v>48880.02</v>
      </c>
      <c r="M317" s="608">
        <f t="shared" si="36"/>
        <v>0.66666693944353517</v>
      </c>
    </row>
    <row r="318" spans="1:13" x14ac:dyDescent="0.25">
      <c r="A318" s="1124"/>
      <c r="B318" s="1125"/>
      <c r="C318" s="1125"/>
      <c r="D318" s="601" t="s">
        <v>462</v>
      </c>
      <c r="E318" s="43">
        <v>73320</v>
      </c>
      <c r="F318" s="43">
        <v>48880.02</v>
      </c>
      <c r="G318" s="245">
        <f t="shared" si="21"/>
        <v>0.66666693944353517</v>
      </c>
      <c r="H318" s="8"/>
      <c r="I318" s="8"/>
      <c r="J318" s="245"/>
      <c r="K318" s="8">
        <f t="shared" si="34"/>
        <v>73320</v>
      </c>
      <c r="L318" s="8">
        <f t="shared" si="35"/>
        <v>48880.02</v>
      </c>
      <c r="M318" s="608">
        <f t="shared" si="36"/>
        <v>0.66666693944353517</v>
      </c>
    </row>
    <row r="319" spans="1:13" ht="31.5" x14ac:dyDescent="0.25">
      <c r="A319" s="1124">
        <v>3118311</v>
      </c>
      <c r="B319" s="1125">
        <v>8311</v>
      </c>
      <c r="C319" s="56" t="s">
        <v>663</v>
      </c>
      <c r="D319" s="37" t="s">
        <v>662</v>
      </c>
      <c r="E319" s="43"/>
      <c r="F319" s="43"/>
      <c r="G319" s="245"/>
      <c r="H319" s="8">
        <f>H320</f>
        <v>300000</v>
      </c>
      <c r="I319" s="8">
        <f>I320</f>
        <v>0</v>
      </c>
      <c r="J319" s="245">
        <f>I319/H319</f>
        <v>0</v>
      </c>
      <c r="K319" s="8">
        <f t="shared" si="34"/>
        <v>300000</v>
      </c>
      <c r="L319" s="8">
        <f t="shared" si="35"/>
        <v>0</v>
      </c>
      <c r="M319" s="608">
        <f t="shared" si="36"/>
        <v>0</v>
      </c>
    </row>
    <row r="320" spans="1:13" x14ac:dyDescent="0.25">
      <c r="A320" s="1124"/>
      <c r="B320" s="1125"/>
      <c r="C320" s="1125"/>
      <c r="D320" s="601" t="s">
        <v>465</v>
      </c>
      <c r="E320" s="43"/>
      <c r="F320" s="43"/>
      <c r="G320" s="245"/>
      <c r="H320" s="999">
        <f>H321</f>
        <v>300000</v>
      </c>
      <c r="I320" s="993">
        <f>I321</f>
        <v>0</v>
      </c>
      <c r="J320" s="245">
        <f>I320/H320</f>
        <v>0</v>
      </c>
      <c r="K320" s="8">
        <f t="shared" si="34"/>
        <v>300000</v>
      </c>
      <c r="L320" s="8">
        <f t="shared" si="35"/>
        <v>0</v>
      </c>
      <c r="M320" s="608">
        <f t="shared" si="36"/>
        <v>0</v>
      </c>
    </row>
    <row r="321" spans="1:13" ht="16.5" thickBot="1" x14ac:dyDescent="0.3">
      <c r="A321" s="36"/>
      <c r="B321" s="12"/>
      <c r="C321" s="12"/>
      <c r="D321" s="604" t="s">
        <v>466</v>
      </c>
      <c r="E321" s="235"/>
      <c r="F321" s="235"/>
      <c r="G321" s="253"/>
      <c r="H321" s="1000">
        <v>300000</v>
      </c>
      <c r="I321" s="236">
        <v>0</v>
      </c>
      <c r="J321" s="245">
        <f>I321/H321</f>
        <v>0</v>
      </c>
      <c r="K321" s="8">
        <f t="shared" si="34"/>
        <v>300000</v>
      </c>
      <c r="L321" s="8">
        <f t="shared" si="35"/>
        <v>0</v>
      </c>
      <c r="M321" s="608">
        <f t="shared" si="36"/>
        <v>0</v>
      </c>
    </row>
    <row r="322" spans="1:13" s="33" customFormat="1" ht="55.15" customHeight="1" thickBot="1" x14ac:dyDescent="0.3">
      <c r="A322" s="38" t="s">
        <v>211</v>
      </c>
      <c r="B322" s="39" t="s">
        <v>14</v>
      </c>
      <c r="C322" s="39" t="s">
        <v>14</v>
      </c>
      <c r="D322" s="40" t="s">
        <v>212</v>
      </c>
      <c r="E322" s="58">
        <f>E323</f>
        <v>9806311</v>
      </c>
      <c r="F322" s="58">
        <f>F323</f>
        <v>3722239</v>
      </c>
      <c r="G322" s="243">
        <f t="shared" si="21"/>
        <v>0.37957586701054047</v>
      </c>
      <c r="H322" s="13">
        <v>0</v>
      </c>
      <c r="I322" s="13"/>
      <c r="J322" s="243"/>
      <c r="K322" s="241">
        <f>K323</f>
        <v>9806311</v>
      </c>
      <c r="L322" s="241">
        <f>L323</f>
        <v>3722239</v>
      </c>
      <c r="M322" s="252">
        <f t="shared" si="25"/>
        <v>0.37957586701054047</v>
      </c>
    </row>
    <row r="323" spans="1:13" s="32" customFormat="1" ht="31.5" x14ac:dyDescent="0.25">
      <c r="A323" s="51" t="s">
        <v>213</v>
      </c>
      <c r="B323" s="52" t="s">
        <v>14</v>
      </c>
      <c r="C323" s="52" t="s">
        <v>14</v>
      </c>
      <c r="D323" s="53" t="s">
        <v>212</v>
      </c>
      <c r="E323" s="45">
        <f>E324+E327</f>
        <v>9806311</v>
      </c>
      <c r="F323" s="45">
        <f>F324+F327</f>
        <v>3722239</v>
      </c>
      <c r="G323" s="244">
        <f t="shared" si="21"/>
        <v>0.37957586701054047</v>
      </c>
      <c r="H323" s="45">
        <v>0</v>
      </c>
      <c r="I323" s="45"/>
      <c r="J323" s="253"/>
      <c r="K323" s="242">
        <f>K324+K327</f>
        <v>9806311</v>
      </c>
      <c r="L323" s="242">
        <f>L324+L327</f>
        <v>3722239</v>
      </c>
      <c r="M323" s="610">
        <f t="shared" si="25"/>
        <v>0.37957586701054047</v>
      </c>
    </row>
    <row r="324" spans="1:13" ht="47.25" x14ac:dyDescent="0.25">
      <c r="A324" s="1124" t="s">
        <v>214</v>
      </c>
      <c r="B324" s="1125" t="s">
        <v>44</v>
      </c>
      <c r="C324" s="1125" t="s">
        <v>17</v>
      </c>
      <c r="D324" s="28" t="s">
        <v>175</v>
      </c>
      <c r="E324" s="43">
        <f>E325</f>
        <v>5606311</v>
      </c>
      <c r="F324" s="43">
        <f>F325</f>
        <v>3722239</v>
      </c>
      <c r="G324" s="245">
        <f t="shared" si="21"/>
        <v>0.66393730208688029</v>
      </c>
      <c r="H324" s="15">
        <v>0</v>
      </c>
      <c r="I324" s="8"/>
      <c r="J324" s="246"/>
      <c r="K324" s="219">
        <f>E324+H324</f>
        <v>5606311</v>
      </c>
      <c r="L324" s="219">
        <f>F324+I324</f>
        <v>3722239</v>
      </c>
      <c r="M324" s="609">
        <f t="shared" si="25"/>
        <v>0.66393730208688029</v>
      </c>
    </row>
    <row r="325" spans="1:13" x14ac:dyDescent="0.25">
      <c r="A325" s="41"/>
      <c r="B325" s="42"/>
      <c r="C325" s="42"/>
      <c r="D325" s="601" t="s">
        <v>462</v>
      </c>
      <c r="E325" s="44">
        <v>5606311</v>
      </c>
      <c r="F325" s="44">
        <v>3722239</v>
      </c>
      <c r="G325" s="245">
        <f t="shared" si="21"/>
        <v>0.66393730208688029</v>
      </c>
      <c r="H325" s="15"/>
      <c r="I325" s="15"/>
      <c r="J325" s="246"/>
      <c r="K325" s="219">
        <f t="shared" ref="K325:K328" si="37">E325+H325</f>
        <v>5606311</v>
      </c>
      <c r="L325" s="219">
        <f t="shared" ref="L325:L328" si="38">F325+I325</f>
        <v>3722239</v>
      </c>
      <c r="M325" s="609">
        <f t="shared" si="25"/>
        <v>0.66393730208688029</v>
      </c>
    </row>
    <row r="326" spans="1:13" x14ac:dyDescent="0.25">
      <c r="A326" s="41"/>
      <c r="B326" s="42"/>
      <c r="C326" s="42"/>
      <c r="D326" s="602" t="s">
        <v>463</v>
      </c>
      <c r="E326" s="44">
        <v>5441736</v>
      </c>
      <c r="F326" s="44">
        <v>3646835.29</v>
      </c>
      <c r="G326" s="245">
        <f t="shared" si="21"/>
        <v>0.67016027422131463</v>
      </c>
      <c r="H326" s="15"/>
      <c r="I326" s="15"/>
      <c r="J326" s="246"/>
      <c r="K326" s="219">
        <f t="shared" si="37"/>
        <v>5441736</v>
      </c>
      <c r="L326" s="219">
        <f t="shared" si="38"/>
        <v>3646835.29</v>
      </c>
      <c r="M326" s="609">
        <f t="shared" si="25"/>
        <v>0.67016027422131463</v>
      </c>
    </row>
    <row r="327" spans="1:13" x14ac:dyDescent="0.25">
      <c r="A327" s="41" t="s">
        <v>215</v>
      </c>
      <c r="B327" s="42" t="s">
        <v>216</v>
      </c>
      <c r="C327" s="42" t="s">
        <v>217</v>
      </c>
      <c r="D327" s="37" t="s">
        <v>218</v>
      </c>
      <c r="E327" s="44">
        <f>E328</f>
        <v>4200000</v>
      </c>
      <c r="F327" s="44">
        <f>F328</f>
        <v>0</v>
      </c>
      <c r="G327" s="246">
        <f t="shared" si="21"/>
        <v>0</v>
      </c>
      <c r="H327" s="15">
        <v>0</v>
      </c>
      <c r="I327" s="15"/>
      <c r="J327" s="246"/>
      <c r="K327" s="219">
        <f t="shared" si="37"/>
        <v>4200000</v>
      </c>
      <c r="L327" s="219">
        <f t="shared" si="38"/>
        <v>0</v>
      </c>
      <c r="M327" s="609">
        <f t="shared" si="25"/>
        <v>0</v>
      </c>
    </row>
    <row r="328" spans="1:13" ht="16.5" thickBot="1" x14ac:dyDescent="0.3">
      <c r="A328" s="41"/>
      <c r="B328" s="42"/>
      <c r="C328" s="42"/>
      <c r="D328" s="603" t="s">
        <v>462</v>
      </c>
      <c r="E328" s="44">
        <v>4200000</v>
      </c>
      <c r="F328" s="44">
        <v>0</v>
      </c>
      <c r="G328" s="246">
        <f t="shared" si="21"/>
        <v>0</v>
      </c>
      <c r="H328" s="15"/>
      <c r="I328" s="15"/>
      <c r="J328" s="246"/>
      <c r="K328" s="222">
        <f t="shared" si="37"/>
        <v>4200000</v>
      </c>
      <c r="L328" s="222">
        <f t="shared" si="38"/>
        <v>0</v>
      </c>
      <c r="M328" s="609">
        <f t="shared" si="25"/>
        <v>0</v>
      </c>
    </row>
    <row r="329" spans="1:13" ht="16.5" thickBot="1" x14ac:dyDescent="0.3">
      <c r="A329" s="38" t="s">
        <v>6</v>
      </c>
      <c r="B329" s="39" t="s">
        <v>6</v>
      </c>
      <c r="C329" s="39" t="s">
        <v>6</v>
      </c>
      <c r="D329" s="59" t="s">
        <v>148</v>
      </c>
      <c r="E329" s="58">
        <f>E21+E67+E123+E158+E165+E223+E249+E290+E297+E306+E322</f>
        <v>586642538</v>
      </c>
      <c r="F329" s="583">
        <f>F21+F67+F123+F158+F165+F223+F249+F290+F297+F306+F322</f>
        <v>386136896.17999995</v>
      </c>
      <c r="G329" s="584">
        <f t="shared" si="21"/>
        <v>0.65821496255015854</v>
      </c>
      <c r="H329" s="58">
        <f>H21+H67+H123+H158+H165+H223+H249+H290+H297+H306+H322</f>
        <v>140377779</v>
      </c>
      <c r="I329" s="58">
        <f>I21+I67+I123+I158+I165+I223+I249+I290+I297+I306+I322</f>
        <v>50423783.039999992</v>
      </c>
      <c r="J329" s="590">
        <f t="shared" ref="J329" si="39">I329/H329</f>
        <v>0.35920060424948019</v>
      </c>
      <c r="K329" s="58">
        <f>K21+K67+K123+K158+K165+K223+K249+K290+K297+K306+K322</f>
        <v>727020317</v>
      </c>
      <c r="L329" s="58">
        <f>L21+L67+L123+L158+L165+L223+L249+L290+L297+L306+L322</f>
        <v>436560679.21999991</v>
      </c>
      <c r="M329" s="585">
        <f>L329/K329</f>
        <v>0.60047933876378856</v>
      </c>
    </row>
    <row r="330" spans="1:13" x14ac:dyDescent="0.25">
      <c r="A330" s="17"/>
      <c r="B330" s="17"/>
      <c r="C330" s="17"/>
      <c r="D330" s="18"/>
      <c r="E330" s="60"/>
      <c r="F330" s="60"/>
      <c r="G330" s="60"/>
      <c r="H330" s="60"/>
      <c r="I330" s="60"/>
      <c r="J330" s="60"/>
      <c r="K330" s="60"/>
      <c r="L330" s="60"/>
      <c r="M330" s="60"/>
    </row>
    <row r="331" spans="1:13" ht="16.899999999999999" customHeight="1" x14ac:dyDescent="0.25"/>
    <row r="332" spans="1:13" s="27" customFormat="1" ht="28.9" customHeight="1" x14ac:dyDescent="0.2">
      <c r="A332" s="1204" t="s">
        <v>405</v>
      </c>
      <c r="B332" s="1204"/>
      <c r="C332" s="1204"/>
      <c r="D332" s="1204"/>
      <c r="E332" s="61"/>
      <c r="F332" s="61"/>
      <c r="G332" s="61"/>
      <c r="H332" s="61" t="s">
        <v>472</v>
      </c>
      <c r="I332" s="61"/>
      <c r="J332" s="62"/>
      <c r="K332" s="63"/>
      <c r="L332" s="63"/>
      <c r="M332" s="63"/>
    </row>
    <row r="333" spans="1:13" ht="16.899999999999999" customHeight="1" x14ac:dyDescent="0.25">
      <c r="A333" s="255"/>
      <c r="B333" s="255"/>
      <c r="C333" s="255"/>
      <c r="D333" s="256"/>
      <c r="E333" s="258">
        <v>586642538</v>
      </c>
      <c r="F333" s="258">
        <v>386136896.18000001</v>
      </c>
      <c r="G333" s="258"/>
      <c r="H333" s="258">
        <v>140377779</v>
      </c>
      <c r="I333" s="259">
        <v>50423783.039999999</v>
      </c>
      <c r="J333" s="259"/>
      <c r="K333" s="258">
        <f>E333+H333</f>
        <v>727020317</v>
      </c>
      <c r="L333" s="258">
        <f>F333+I333</f>
        <v>436560679.22000003</v>
      </c>
      <c r="M333" s="258"/>
    </row>
    <row r="334" spans="1:13" ht="16.5" x14ac:dyDescent="0.25">
      <c r="A334" s="255"/>
      <c r="B334" s="255"/>
      <c r="C334" s="255"/>
      <c r="D334" s="256"/>
      <c r="E334" s="258">
        <f>E329-E333</f>
        <v>0</v>
      </c>
      <c r="F334" s="258">
        <f t="shared" ref="F334:L334" si="40">F329-F333</f>
        <v>0</v>
      </c>
      <c r="G334" s="258"/>
      <c r="H334" s="258">
        <f>H329-H333</f>
        <v>0</v>
      </c>
      <c r="I334" s="258">
        <f>I329-I333</f>
        <v>0</v>
      </c>
      <c r="J334" s="258"/>
      <c r="K334" s="258">
        <f>K329-K333</f>
        <v>0</v>
      </c>
      <c r="L334" s="258">
        <f t="shared" si="40"/>
        <v>0</v>
      </c>
      <c r="M334" s="258"/>
    </row>
    <row r="335" spans="1:13" ht="16.5" x14ac:dyDescent="0.25">
      <c r="A335" s="255"/>
      <c r="B335" s="255"/>
      <c r="C335" s="255"/>
      <c r="D335" s="256"/>
      <c r="E335" s="258"/>
      <c r="F335" s="258"/>
      <c r="G335" s="258"/>
      <c r="H335" s="259"/>
      <c r="I335" s="259"/>
      <c r="J335" s="259"/>
      <c r="K335" s="258"/>
      <c r="L335" s="258"/>
      <c r="M335" s="258"/>
    </row>
    <row r="336" spans="1:13" ht="16.5" x14ac:dyDescent="0.25">
      <c r="A336" s="255"/>
      <c r="B336" s="255"/>
      <c r="C336" s="255"/>
      <c r="D336" s="256" t="s">
        <v>467</v>
      </c>
      <c r="E336" s="258">
        <v>299117546</v>
      </c>
      <c r="F336" s="258">
        <v>208308739.03999999</v>
      </c>
      <c r="G336" s="258"/>
      <c r="H336" s="259">
        <v>2034353</v>
      </c>
      <c r="I336" s="259">
        <v>1337269.6499999999</v>
      </c>
      <c r="J336" s="259"/>
      <c r="K336" s="258">
        <f>K53+K108+K149+K269+K287+K304+K319+K23+K29+K31+K35+K39+K41+K45+K48+K51+K55+K57+K61+K63+K69+K73+K77+K82+K85+K91+K95+K97+K101+K104+K111+K114+K116+K119+K125+K131+K133+K135+K141+K143+K145+K147+K152+K156+K160+K163+K167+K170+K176+K178+K184+K190+K194+K199+K201+K203+K207+K211+K214+K218+K220+K225+K230+K232+K234+K236+K240+K242+K244+K246+K251+K257+K260+K263+K266+K272+K275+K278+K281+K284+K292+K295+K299+K302+K308+K313+K315+K317+K324+K327</f>
        <v>727020317</v>
      </c>
      <c r="L336" s="258">
        <f>L53+L108+L149+L269+L287+L304+L319+L23+L29+L31+L35+L39+L41+L45+L48+L51+L55+L57+L61+L63+L69+L73+L77+L82+L85+L91+L95+L97+L101+L104+L111+L114+L116+L119+L125+L131+L133+L135+L141+L143+L145+L147+L152+L156+L160+L163+L167+L170+L176+L178+L184+L190+L194+L199+L201+L203+L207+L211+L214+L218+L220+L225+L230+L232+L234+L236+L240+L242+L244+L246+L251+L257+L260+L263+L266+L272+L275+L278+L281+L284+L292+L295+L299+L302+L308+L313+L315+L317+L324+L327</f>
        <v>436560679.22000003</v>
      </c>
      <c r="M336" s="258"/>
    </row>
    <row r="337" spans="1:13" ht="16.5" x14ac:dyDescent="0.25">
      <c r="A337" s="255"/>
      <c r="B337" s="255"/>
      <c r="C337" s="255"/>
      <c r="D337" s="256"/>
      <c r="E337" s="258">
        <f>E25+E71+E75+E79+E84+E87+E93+E99+E103+E106+E127+E137+E154+E162+E169+E172+E180+E186+E192+E196+E205+E216+E227+E253+E294+E301+E310+E326+E113+E121+E213+E110</f>
        <v>299117546</v>
      </c>
      <c r="F337" s="258">
        <f>F25+F71+F75+F79+F84+F87+F93+F99+F103+F106+F127+F137+F154+F162+F169+F172+F180+F186+F192+F196+F205+F216+F227+F253+F294+F301+F310+F326+F113+F121+F213+F110</f>
        <v>208308739.03999999</v>
      </c>
      <c r="G337" s="258"/>
      <c r="H337" s="259">
        <f>H79+H172</f>
        <v>2034353</v>
      </c>
      <c r="I337" s="259">
        <f>I79+I172</f>
        <v>1337269.6499999999</v>
      </c>
      <c r="J337" s="259"/>
      <c r="K337" s="258">
        <f>K333-K336</f>
        <v>0</v>
      </c>
      <c r="L337" s="258">
        <f>L333-L336</f>
        <v>0</v>
      </c>
      <c r="M337" s="258"/>
    </row>
    <row r="338" spans="1:13" ht="16.5" x14ac:dyDescent="0.25">
      <c r="A338" s="255"/>
      <c r="B338" s="255"/>
      <c r="C338" s="255"/>
      <c r="D338" s="256"/>
      <c r="E338" s="258">
        <f>E336-E337</f>
        <v>0</v>
      </c>
      <c r="F338" s="258">
        <f>F336-F337</f>
        <v>0</v>
      </c>
      <c r="G338" s="258"/>
      <c r="H338" s="259">
        <f>H336-H337</f>
        <v>0</v>
      </c>
      <c r="I338" s="259">
        <f>I336-I337</f>
        <v>0</v>
      </c>
      <c r="J338" s="259"/>
      <c r="K338" s="258"/>
      <c r="L338" s="258"/>
      <c r="M338" s="258"/>
    </row>
    <row r="339" spans="1:13" ht="16.5" x14ac:dyDescent="0.25">
      <c r="A339" s="255"/>
      <c r="B339" s="255"/>
      <c r="C339" s="255"/>
      <c r="D339" s="256" t="s">
        <v>468</v>
      </c>
      <c r="E339" s="258">
        <v>33993397.039999999</v>
      </c>
      <c r="F339" s="258">
        <v>18912517.539999999</v>
      </c>
      <c r="G339" s="258"/>
      <c r="H339" s="259">
        <v>55353</v>
      </c>
      <c r="I339" s="259">
        <v>30346.13</v>
      </c>
      <c r="J339" s="259"/>
      <c r="K339" s="258"/>
      <c r="L339" s="258"/>
      <c r="M339" s="258"/>
    </row>
    <row r="340" spans="1:13" ht="16.5" x14ac:dyDescent="0.25">
      <c r="A340" s="255"/>
      <c r="B340" s="255"/>
      <c r="C340" s="255"/>
      <c r="D340" s="256"/>
      <c r="E340" s="258">
        <f>E26+E72+E76+E80+E88+E94+E100+E107+E128+E138+E155+E173+E181+E187+E193+E206+E217+E254+E122+E222</f>
        <v>33993397.039999999</v>
      </c>
      <c r="F340" s="258">
        <f>F26+F72+F76+F80+F88+F94+F100+F107+F128+F138+F155+F173+F181+F187+F193+F206+F217+F254+F122</f>
        <v>18912517.539999999</v>
      </c>
      <c r="G340" s="258"/>
      <c r="H340" s="259">
        <f>H80</f>
        <v>55353</v>
      </c>
      <c r="I340" s="259">
        <f>I80</f>
        <v>30346.13</v>
      </c>
      <c r="J340" s="259"/>
      <c r="K340" s="258"/>
      <c r="L340" s="258"/>
      <c r="M340" s="258"/>
    </row>
    <row r="341" spans="1:13" ht="16.5" x14ac:dyDescent="0.25">
      <c r="A341" s="255"/>
      <c r="B341" s="255"/>
      <c r="C341" s="255"/>
      <c r="D341" s="256"/>
      <c r="E341" s="258">
        <f>E339-E340</f>
        <v>0</v>
      </c>
      <c r="F341" s="258">
        <f>F339-F340</f>
        <v>0</v>
      </c>
      <c r="G341" s="258"/>
      <c r="H341" s="259">
        <f>H339-H340</f>
        <v>0</v>
      </c>
      <c r="I341" s="259">
        <f>I339-I340</f>
        <v>0</v>
      </c>
      <c r="J341" s="259"/>
      <c r="K341" s="258"/>
      <c r="L341" s="258"/>
      <c r="M341" s="258"/>
    </row>
    <row r="342" spans="1:13" ht="16.5" x14ac:dyDescent="0.25">
      <c r="A342" s="255"/>
      <c r="B342" s="255"/>
      <c r="C342" s="255"/>
      <c r="D342" s="256"/>
      <c r="E342" s="258"/>
      <c r="F342" s="258"/>
      <c r="G342" s="258"/>
      <c r="H342" s="259"/>
      <c r="I342" s="259"/>
      <c r="J342" s="259"/>
      <c r="K342" s="258"/>
      <c r="L342" s="258"/>
      <c r="M342" s="258"/>
    </row>
    <row r="343" spans="1:13" ht="16.5" x14ac:dyDescent="0.25">
      <c r="A343" s="255"/>
      <c r="B343" s="255"/>
      <c r="C343" s="255"/>
      <c r="D343" s="256"/>
      <c r="E343" s="258"/>
      <c r="F343" s="258"/>
      <c r="G343" s="258"/>
      <c r="H343" s="259"/>
      <c r="I343" s="259"/>
      <c r="J343" s="259"/>
      <c r="K343" s="258"/>
      <c r="L343" s="258"/>
      <c r="M343" s="258"/>
    </row>
    <row r="344" spans="1:13" ht="16.5" x14ac:dyDescent="0.25">
      <c r="A344" s="255"/>
      <c r="B344" s="255"/>
      <c r="C344" s="255"/>
      <c r="E344" s="258"/>
      <c r="F344" s="256" t="s">
        <v>469</v>
      </c>
      <c r="G344" s="258"/>
      <c r="H344" s="259">
        <v>129359899</v>
      </c>
      <c r="I344" s="259">
        <v>39938091.649999999</v>
      </c>
      <c r="J344" s="259"/>
      <c r="K344" s="258"/>
      <c r="L344" s="258"/>
      <c r="M344" s="258"/>
    </row>
    <row r="345" spans="1:13" ht="16.5" x14ac:dyDescent="0.25">
      <c r="A345" s="255"/>
      <c r="B345" s="255"/>
      <c r="C345" s="255"/>
      <c r="D345" s="256"/>
      <c r="E345" s="258"/>
      <c r="F345" s="258"/>
      <c r="G345" s="258"/>
      <c r="H345" s="259">
        <f>H28+H38+H44+H66+H130+H140+H175+H183+H189+H198+H229+H259+H262+H265+H268+H274+H277+H280+H283+H286+H312+H47+H50+H34+H60+H151+H210+H239+H256+H271+H289+H321</f>
        <v>129359899</v>
      </c>
      <c r="I345" s="259">
        <f>I28+I38+I44+I66+I130+I140+I175+I183+I189+I198+I229+I259+I262+I265+I268+I274+I277+I280+I283+I286+I312+I47+I50+I34+I60+I151+I210+I239+I256+I271+I289+I321</f>
        <v>39938091.650000006</v>
      </c>
      <c r="J345" s="259"/>
      <c r="K345" s="258"/>
      <c r="L345" s="258"/>
      <c r="M345" s="258"/>
    </row>
    <row r="346" spans="1:13" ht="16.5" x14ac:dyDescent="0.25">
      <c r="A346" s="255"/>
      <c r="B346" s="255"/>
      <c r="C346" s="255"/>
      <c r="D346" s="256"/>
      <c r="E346" s="258"/>
      <c r="F346" s="258"/>
      <c r="G346" s="258"/>
      <c r="H346" s="259">
        <f>H344-H345</f>
        <v>0</v>
      </c>
      <c r="I346" s="259">
        <f>I344-I345</f>
        <v>0</v>
      </c>
      <c r="J346" s="259"/>
      <c r="K346" s="258"/>
      <c r="L346" s="258"/>
      <c r="M346" s="258"/>
    </row>
    <row r="347" spans="1:13" ht="16.5" x14ac:dyDescent="0.25">
      <c r="A347" s="255"/>
      <c r="B347" s="255"/>
      <c r="C347" s="255"/>
      <c r="D347" s="256"/>
      <c r="E347" s="258"/>
      <c r="F347" s="258"/>
      <c r="G347" s="258"/>
      <c r="H347" s="259"/>
      <c r="I347" s="259"/>
      <c r="J347" s="259"/>
      <c r="K347" s="258"/>
      <c r="L347" s="258"/>
      <c r="M347" s="258"/>
    </row>
    <row r="348" spans="1:13" ht="16.5" x14ac:dyDescent="0.25">
      <c r="A348" s="255"/>
      <c r="B348" s="255"/>
      <c r="C348" s="255"/>
      <c r="D348" s="256"/>
      <c r="E348" s="256"/>
      <c r="F348" s="256"/>
      <c r="G348" s="256"/>
      <c r="H348" s="257"/>
      <c r="I348" s="257"/>
      <c r="J348" s="257"/>
      <c r="K348" s="256"/>
      <c r="L348" s="256"/>
      <c r="M348" s="256"/>
    </row>
    <row r="349" spans="1:13" ht="16.5" x14ac:dyDescent="0.25">
      <c r="A349" s="255"/>
      <c r="B349" s="255"/>
      <c r="C349" s="255"/>
      <c r="D349" s="256"/>
      <c r="E349" s="256"/>
      <c r="F349" s="256"/>
      <c r="G349" s="256"/>
      <c r="H349" s="257"/>
      <c r="I349" s="257"/>
      <c r="J349" s="257"/>
      <c r="K349" s="256"/>
      <c r="L349" s="256"/>
      <c r="M349" s="256"/>
    </row>
    <row r="350" spans="1:13" ht="16.5" x14ac:dyDescent="0.25">
      <c r="A350" s="255"/>
      <c r="B350" s="255"/>
      <c r="C350" s="255"/>
      <c r="D350" s="256"/>
      <c r="E350" s="256"/>
      <c r="F350" s="256"/>
      <c r="G350" s="256"/>
      <c r="H350" s="257"/>
      <c r="I350" s="257"/>
      <c r="J350" s="257"/>
      <c r="K350" s="256"/>
      <c r="L350" s="256"/>
      <c r="M350" s="256"/>
    </row>
    <row r="351" spans="1:13" ht="16.5" x14ac:dyDescent="0.25">
      <c r="A351" s="255"/>
      <c r="B351" s="255"/>
      <c r="C351" s="255"/>
      <c r="D351" s="256"/>
      <c r="E351" s="256"/>
      <c r="F351" s="256"/>
      <c r="G351" s="256"/>
      <c r="H351" s="257"/>
      <c r="I351" s="257"/>
      <c r="J351" s="257"/>
      <c r="K351" s="256"/>
      <c r="L351" s="256"/>
      <c r="M351" s="256"/>
    </row>
    <row r="352" spans="1:13" ht="16.5" x14ac:dyDescent="0.25">
      <c r="A352" s="255"/>
      <c r="B352" s="255"/>
      <c r="C352" s="255"/>
      <c r="D352" s="256"/>
      <c r="E352" s="256"/>
      <c r="F352" s="256"/>
      <c r="G352" s="256"/>
      <c r="H352" s="257"/>
      <c r="I352" s="257"/>
      <c r="J352" s="257"/>
      <c r="K352" s="256"/>
      <c r="L352" s="256"/>
      <c r="M352" s="256"/>
    </row>
  </sheetData>
  <mergeCells count="19">
    <mergeCell ref="L17:L19"/>
    <mergeCell ref="M17:M19"/>
    <mergeCell ref="I17:I19"/>
    <mergeCell ref="H17:H19"/>
    <mergeCell ref="J17:J19"/>
    <mergeCell ref="K17:K19"/>
    <mergeCell ref="A332:D332"/>
    <mergeCell ref="A12:K12"/>
    <mergeCell ref="A13:K13"/>
    <mergeCell ref="A16:A19"/>
    <mergeCell ref="B16:B19"/>
    <mergeCell ref="C16:C19"/>
    <mergeCell ref="D16:D19"/>
    <mergeCell ref="E16:G16"/>
    <mergeCell ref="E17:E19"/>
    <mergeCell ref="F17:F19"/>
    <mergeCell ref="G17:G19"/>
    <mergeCell ref="H16:J16"/>
    <mergeCell ref="K16:M16"/>
  </mergeCells>
  <pageMargins left="1.1811023622047245" right="0.39370078740157483" top="0.78740157480314965" bottom="0.59055118110236227" header="0.31496062992125984" footer="0.31496062992125984"/>
  <pageSetup paperSize="9" scale="65" fitToHeight="0" orientation="landscape" r:id="rId1"/>
  <rowBreaks count="3" manualBreakCount="3">
    <brk id="285" max="12" man="1"/>
    <brk id="305" max="12" man="1"/>
    <brk id="32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5"/>
  <sheetViews>
    <sheetView view="pageBreakPreview" zoomScale="80" zoomScaleNormal="40" zoomScaleSheetLayoutView="80" workbookViewId="0">
      <selection activeCell="I11" sqref="I11"/>
    </sheetView>
  </sheetViews>
  <sheetFormatPr defaultRowHeight="12.75" x14ac:dyDescent="0.2"/>
  <cols>
    <col min="1" max="1" width="18.28515625" style="376" customWidth="1"/>
    <col min="2" max="2" width="11.7109375" style="376" customWidth="1"/>
    <col min="3" max="3" width="13.140625" style="376" customWidth="1"/>
    <col min="4" max="4" width="69.7109375" style="376" customWidth="1"/>
    <col min="5" max="5" width="13" style="376" customWidth="1"/>
    <col min="6" max="7" width="8.85546875" style="376"/>
    <col min="8" max="8" width="13.7109375" style="376" customWidth="1"/>
    <col min="9" max="9" width="14.140625" style="376" customWidth="1"/>
    <col min="10" max="11" width="8.85546875" style="376"/>
    <col min="12" max="12" width="13.28515625" style="376" customWidth="1"/>
    <col min="13" max="256" width="8.85546875" style="376"/>
    <col min="257" max="257" width="18.28515625" style="376" customWidth="1"/>
    <col min="258" max="258" width="11.7109375" style="376" customWidth="1"/>
    <col min="259" max="259" width="13.140625" style="376" customWidth="1"/>
    <col min="260" max="260" width="69.7109375" style="376" customWidth="1"/>
    <col min="261" max="261" width="13" style="376" customWidth="1"/>
    <col min="262" max="263" width="8.85546875" style="376"/>
    <col min="264" max="264" width="13.7109375" style="376" customWidth="1"/>
    <col min="265" max="265" width="14.140625" style="376" customWidth="1"/>
    <col min="266" max="267" width="8.85546875" style="376"/>
    <col min="268" max="268" width="13.28515625" style="376" customWidth="1"/>
    <col min="269" max="512" width="8.85546875" style="376"/>
    <col min="513" max="513" width="18.28515625" style="376" customWidth="1"/>
    <col min="514" max="514" width="11.7109375" style="376" customWidth="1"/>
    <col min="515" max="515" width="13.140625" style="376" customWidth="1"/>
    <col min="516" max="516" width="69.7109375" style="376" customWidth="1"/>
    <col min="517" max="517" width="13" style="376" customWidth="1"/>
    <col min="518" max="519" width="8.85546875" style="376"/>
    <col min="520" max="520" width="13.7109375" style="376" customWidth="1"/>
    <col min="521" max="521" width="14.140625" style="376" customWidth="1"/>
    <col min="522" max="523" width="8.85546875" style="376"/>
    <col min="524" max="524" width="13.28515625" style="376" customWidth="1"/>
    <col min="525" max="768" width="8.85546875" style="376"/>
    <col min="769" max="769" width="18.28515625" style="376" customWidth="1"/>
    <col min="770" max="770" width="11.7109375" style="376" customWidth="1"/>
    <col min="771" max="771" width="13.140625" style="376" customWidth="1"/>
    <col min="772" max="772" width="69.7109375" style="376" customWidth="1"/>
    <col min="773" max="773" width="13" style="376" customWidth="1"/>
    <col min="774" max="775" width="8.85546875" style="376"/>
    <col min="776" max="776" width="13.7109375" style="376" customWidth="1"/>
    <col min="777" max="777" width="14.140625" style="376" customWidth="1"/>
    <col min="778" max="779" width="8.85546875" style="376"/>
    <col min="780" max="780" width="13.28515625" style="376" customWidth="1"/>
    <col min="781" max="1024" width="8.85546875" style="376"/>
    <col min="1025" max="1025" width="18.28515625" style="376" customWidth="1"/>
    <col min="1026" max="1026" width="11.7109375" style="376" customWidth="1"/>
    <col min="1027" max="1027" width="13.140625" style="376" customWidth="1"/>
    <col min="1028" max="1028" width="69.7109375" style="376" customWidth="1"/>
    <col min="1029" max="1029" width="13" style="376" customWidth="1"/>
    <col min="1030" max="1031" width="8.85546875" style="376"/>
    <col min="1032" max="1032" width="13.7109375" style="376" customWidth="1"/>
    <col min="1033" max="1033" width="14.140625" style="376" customWidth="1"/>
    <col min="1034" max="1035" width="8.85546875" style="376"/>
    <col min="1036" max="1036" width="13.28515625" style="376" customWidth="1"/>
    <col min="1037" max="1280" width="8.85546875" style="376"/>
    <col min="1281" max="1281" width="18.28515625" style="376" customWidth="1"/>
    <col min="1282" max="1282" width="11.7109375" style="376" customWidth="1"/>
    <col min="1283" max="1283" width="13.140625" style="376" customWidth="1"/>
    <col min="1284" max="1284" width="69.7109375" style="376" customWidth="1"/>
    <col min="1285" max="1285" width="13" style="376" customWidth="1"/>
    <col min="1286" max="1287" width="8.85546875" style="376"/>
    <col min="1288" max="1288" width="13.7109375" style="376" customWidth="1"/>
    <col min="1289" max="1289" width="14.140625" style="376" customWidth="1"/>
    <col min="1290" max="1291" width="8.85546875" style="376"/>
    <col min="1292" max="1292" width="13.28515625" style="376" customWidth="1"/>
    <col min="1293" max="1536" width="8.85546875" style="376"/>
    <col min="1537" max="1537" width="18.28515625" style="376" customWidth="1"/>
    <col min="1538" max="1538" width="11.7109375" style="376" customWidth="1"/>
    <col min="1539" max="1539" width="13.140625" style="376" customWidth="1"/>
    <col min="1540" max="1540" width="69.7109375" style="376" customWidth="1"/>
    <col min="1541" max="1541" width="13" style="376" customWidth="1"/>
    <col min="1542" max="1543" width="8.85546875" style="376"/>
    <col min="1544" max="1544" width="13.7109375" style="376" customWidth="1"/>
    <col min="1545" max="1545" width="14.140625" style="376" customWidth="1"/>
    <col min="1546" max="1547" width="8.85546875" style="376"/>
    <col min="1548" max="1548" width="13.28515625" style="376" customWidth="1"/>
    <col min="1549" max="1792" width="8.85546875" style="376"/>
    <col min="1793" max="1793" width="18.28515625" style="376" customWidth="1"/>
    <col min="1794" max="1794" width="11.7109375" style="376" customWidth="1"/>
    <col min="1795" max="1795" width="13.140625" style="376" customWidth="1"/>
    <col min="1796" max="1796" width="69.7109375" style="376" customWidth="1"/>
    <col min="1797" max="1797" width="13" style="376" customWidth="1"/>
    <col min="1798" max="1799" width="8.85546875" style="376"/>
    <col min="1800" max="1800" width="13.7109375" style="376" customWidth="1"/>
    <col min="1801" max="1801" width="14.140625" style="376" customWidth="1"/>
    <col min="1802" max="1803" width="8.85546875" style="376"/>
    <col min="1804" max="1804" width="13.28515625" style="376" customWidth="1"/>
    <col min="1805" max="2048" width="8.85546875" style="376"/>
    <col min="2049" max="2049" width="18.28515625" style="376" customWidth="1"/>
    <col min="2050" max="2050" width="11.7109375" style="376" customWidth="1"/>
    <col min="2051" max="2051" width="13.140625" style="376" customWidth="1"/>
    <col min="2052" max="2052" width="69.7109375" style="376" customWidth="1"/>
    <col min="2053" max="2053" width="13" style="376" customWidth="1"/>
    <col min="2054" max="2055" width="8.85546875" style="376"/>
    <col min="2056" max="2056" width="13.7109375" style="376" customWidth="1"/>
    <col min="2057" max="2057" width="14.140625" style="376" customWidth="1"/>
    <col min="2058" max="2059" width="8.85546875" style="376"/>
    <col min="2060" max="2060" width="13.28515625" style="376" customWidth="1"/>
    <col min="2061" max="2304" width="8.85546875" style="376"/>
    <col min="2305" max="2305" width="18.28515625" style="376" customWidth="1"/>
    <col min="2306" max="2306" width="11.7109375" style="376" customWidth="1"/>
    <col min="2307" max="2307" width="13.140625" style="376" customWidth="1"/>
    <col min="2308" max="2308" width="69.7109375" style="376" customWidth="1"/>
    <col min="2309" max="2309" width="13" style="376" customWidth="1"/>
    <col min="2310" max="2311" width="8.85546875" style="376"/>
    <col min="2312" max="2312" width="13.7109375" style="376" customWidth="1"/>
    <col min="2313" max="2313" width="14.140625" style="376" customWidth="1"/>
    <col min="2314" max="2315" width="8.85546875" style="376"/>
    <col min="2316" max="2316" width="13.28515625" style="376" customWidth="1"/>
    <col min="2317" max="2560" width="8.85546875" style="376"/>
    <col min="2561" max="2561" width="18.28515625" style="376" customWidth="1"/>
    <col min="2562" max="2562" width="11.7109375" style="376" customWidth="1"/>
    <col min="2563" max="2563" width="13.140625" style="376" customWidth="1"/>
    <col min="2564" max="2564" width="69.7109375" style="376" customWidth="1"/>
    <col min="2565" max="2565" width="13" style="376" customWidth="1"/>
    <col min="2566" max="2567" width="8.85546875" style="376"/>
    <col min="2568" max="2568" width="13.7109375" style="376" customWidth="1"/>
    <col min="2569" max="2569" width="14.140625" style="376" customWidth="1"/>
    <col min="2570" max="2571" width="8.85546875" style="376"/>
    <col min="2572" max="2572" width="13.28515625" style="376" customWidth="1"/>
    <col min="2573" max="2816" width="8.85546875" style="376"/>
    <col min="2817" max="2817" width="18.28515625" style="376" customWidth="1"/>
    <col min="2818" max="2818" width="11.7109375" style="376" customWidth="1"/>
    <col min="2819" max="2819" width="13.140625" style="376" customWidth="1"/>
    <col min="2820" max="2820" width="69.7109375" style="376" customWidth="1"/>
    <col min="2821" max="2821" width="13" style="376" customWidth="1"/>
    <col min="2822" max="2823" width="8.85546875" style="376"/>
    <col min="2824" max="2824" width="13.7109375" style="376" customWidth="1"/>
    <col min="2825" max="2825" width="14.140625" style="376" customWidth="1"/>
    <col min="2826" max="2827" width="8.85546875" style="376"/>
    <col min="2828" max="2828" width="13.28515625" style="376" customWidth="1"/>
    <col min="2829" max="3072" width="8.85546875" style="376"/>
    <col min="3073" max="3073" width="18.28515625" style="376" customWidth="1"/>
    <col min="3074" max="3074" width="11.7109375" style="376" customWidth="1"/>
    <col min="3075" max="3075" width="13.140625" style="376" customWidth="1"/>
    <col min="3076" max="3076" width="69.7109375" style="376" customWidth="1"/>
    <col min="3077" max="3077" width="13" style="376" customWidth="1"/>
    <col min="3078" max="3079" width="8.85546875" style="376"/>
    <col min="3080" max="3080" width="13.7109375" style="376" customWidth="1"/>
    <col min="3081" max="3081" width="14.140625" style="376" customWidth="1"/>
    <col min="3082" max="3083" width="8.85546875" style="376"/>
    <col min="3084" max="3084" width="13.28515625" style="376" customWidth="1"/>
    <col min="3085" max="3328" width="8.85546875" style="376"/>
    <col min="3329" max="3329" width="18.28515625" style="376" customWidth="1"/>
    <col min="3330" max="3330" width="11.7109375" style="376" customWidth="1"/>
    <col min="3331" max="3331" width="13.140625" style="376" customWidth="1"/>
    <col min="3332" max="3332" width="69.7109375" style="376" customWidth="1"/>
    <col min="3333" max="3333" width="13" style="376" customWidth="1"/>
    <col min="3334" max="3335" width="8.85546875" style="376"/>
    <col min="3336" max="3336" width="13.7109375" style="376" customWidth="1"/>
    <col min="3337" max="3337" width="14.140625" style="376" customWidth="1"/>
    <col min="3338" max="3339" width="8.85546875" style="376"/>
    <col min="3340" max="3340" width="13.28515625" style="376" customWidth="1"/>
    <col min="3341" max="3584" width="8.85546875" style="376"/>
    <col min="3585" max="3585" width="18.28515625" style="376" customWidth="1"/>
    <col min="3586" max="3586" width="11.7109375" style="376" customWidth="1"/>
    <col min="3587" max="3587" width="13.140625" style="376" customWidth="1"/>
    <col min="3588" max="3588" width="69.7109375" style="376" customWidth="1"/>
    <col min="3589" max="3589" width="13" style="376" customWidth="1"/>
    <col min="3590" max="3591" width="8.85546875" style="376"/>
    <col min="3592" max="3592" width="13.7109375" style="376" customWidth="1"/>
    <col min="3593" max="3593" width="14.140625" style="376" customWidth="1"/>
    <col min="3594" max="3595" width="8.85546875" style="376"/>
    <col min="3596" max="3596" width="13.28515625" style="376" customWidth="1"/>
    <col min="3597" max="3840" width="8.85546875" style="376"/>
    <col min="3841" max="3841" width="18.28515625" style="376" customWidth="1"/>
    <col min="3842" max="3842" width="11.7109375" style="376" customWidth="1"/>
    <col min="3843" max="3843" width="13.140625" style="376" customWidth="1"/>
    <col min="3844" max="3844" width="69.7109375" style="376" customWidth="1"/>
    <col min="3845" max="3845" width="13" style="376" customWidth="1"/>
    <col min="3846" max="3847" width="8.85546875" style="376"/>
    <col min="3848" max="3848" width="13.7109375" style="376" customWidth="1"/>
    <col min="3849" max="3849" width="14.140625" style="376" customWidth="1"/>
    <col min="3850" max="3851" width="8.85546875" style="376"/>
    <col min="3852" max="3852" width="13.28515625" style="376" customWidth="1"/>
    <col min="3853" max="4096" width="8.85546875" style="376"/>
    <col min="4097" max="4097" width="18.28515625" style="376" customWidth="1"/>
    <col min="4098" max="4098" width="11.7109375" style="376" customWidth="1"/>
    <col min="4099" max="4099" width="13.140625" style="376" customWidth="1"/>
    <col min="4100" max="4100" width="69.7109375" style="376" customWidth="1"/>
    <col min="4101" max="4101" width="13" style="376" customWidth="1"/>
    <col min="4102" max="4103" width="8.85546875" style="376"/>
    <col min="4104" max="4104" width="13.7109375" style="376" customWidth="1"/>
    <col min="4105" max="4105" width="14.140625" style="376" customWidth="1"/>
    <col min="4106" max="4107" width="8.85546875" style="376"/>
    <col min="4108" max="4108" width="13.28515625" style="376" customWidth="1"/>
    <col min="4109" max="4352" width="8.85546875" style="376"/>
    <col min="4353" max="4353" width="18.28515625" style="376" customWidth="1"/>
    <col min="4354" max="4354" width="11.7109375" style="376" customWidth="1"/>
    <col min="4355" max="4355" width="13.140625" style="376" customWidth="1"/>
    <col min="4356" max="4356" width="69.7109375" style="376" customWidth="1"/>
    <col min="4357" max="4357" width="13" style="376" customWidth="1"/>
    <col min="4358" max="4359" width="8.85546875" style="376"/>
    <col min="4360" max="4360" width="13.7109375" style="376" customWidth="1"/>
    <col min="4361" max="4361" width="14.140625" style="376" customWidth="1"/>
    <col min="4362" max="4363" width="8.85546875" style="376"/>
    <col min="4364" max="4364" width="13.28515625" style="376" customWidth="1"/>
    <col min="4365" max="4608" width="8.85546875" style="376"/>
    <col min="4609" max="4609" width="18.28515625" style="376" customWidth="1"/>
    <col min="4610" max="4610" width="11.7109375" style="376" customWidth="1"/>
    <col min="4611" max="4611" width="13.140625" style="376" customWidth="1"/>
    <col min="4612" max="4612" width="69.7109375" style="376" customWidth="1"/>
    <col min="4613" max="4613" width="13" style="376" customWidth="1"/>
    <col min="4614" max="4615" width="8.85546875" style="376"/>
    <col min="4616" max="4616" width="13.7109375" style="376" customWidth="1"/>
    <col min="4617" max="4617" width="14.140625" style="376" customWidth="1"/>
    <col min="4618" max="4619" width="8.85546875" style="376"/>
    <col min="4620" max="4620" width="13.28515625" style="376" customWidth="1"/>
    <col min="4621" max="4864" width="8.85546875" style="376"/>
    <col min="4865" max="4865" width="18.28515625" style="376" customWidth="1"/>
    <col min="4866" max="4866" width="11.7109375" style="376" customWidth="1"/>
    <col min="4867" max="4867" width="13.140625" style="376" customWidth="1"/>
    <col min="4868" max="4868" width="69.7109375" style="376" customWidth="1"/>
    <col min="4869" max="4869" width="13" style="376" customWidth="1"/>
    <col min="4870" max="4871" width="8.85546875" style="376"/>
    <col min="4872" max="4872" width="13.7109375" style="376" customWidth="1"/>
    <col min="4873" max="4873" width="14.140625" style="376" customWidth="1"/>
    <col min="4874" max="4875" width="8.85546875" style="376"/>
    <col min="4876" max="4876" width="13.28515625" style="376" customWidth="1"/>
    <col min="4877" max="5120" width="8.85546875" style="376"/>
    <col min="5121" max="5121" width="18.28515625" style="376" customWidth="1"/>
    <col min="5122" max="5122" width="11.7109375" style="376" customWidth="1"/>
    <col min="5123" max="5123" width="13.140625" style="376" customWidth="1"/>
    <col min="5124" max="5124" width="69.7109375" style="376" customWidth="1"/>
    <col min="5125" max="5125" width="13" style="376" customWidth="1"/>
    <col min="5126" max="5127" width="8.85546875" style="376"/>
    <col min="5128" max="5128" width="13.7109375" style="376" customWidth="1"/>
    <col min="5129" max="5129" width="14.140625" style="376" customWidth="1"/>
    <col min="5130" max="5131" width="8.85546875" style="376"/>
    <col min="5132" max="5132" width="13.28515625" style="376" customWidth="1"/>
    <col min="5133" max="5376" width="8.85546875" style="376"/>
    <col min="5377" max="5377" width="18.28515625" style="376" customWidth="1"/>
    <col min="5378" max="5378" width="11.7109375" style="376" customWidth="1"/>
    <col min="5379" max="5379" width="13.140625" style="376" customWidth="1"/>
    <col min="5380" max="5380" width="69.7109375" style="376" customWidth="1"/>
    <col min="5381" max="5381" width="13" style="376" customWidth="1"/>
    <col min="5382" max="5383" width="8.85546875" style="376"/>
    <col min="5384" max="5384" width="13.7109375" style="376" customWidth="1"/>
    <col min="5385" max="5385" width="14.140625" style="376" customWidth="1"/>
    <col min="5386" max="5387" width="8.85546875" style="376"/>
    <col min="5388" max="5388" width="13.28515625" style="376" customWidth="1"/>
    <col min="5389" max="5632" width="8.85546875" style="376"/>
    <col min="5633" max="5633" width="18.28515625" style="376" customWidth="1"/>
    <col min="5634" max="5634" width="11.7109375" style="376" customWidth="1"/>
    <col min="5635" max="5635" width="13.140625" style="376" customWidth="1"/>
    <col min="5636" max="5636" width="69.7109375" style="376" customWidth="1"/>
    <col min="5637" max="5637" width="13" style="376" customWidth="1"/>
    <col min="5638" max="5639" width="8.85546875" style="376"/>
    <col min="5640" max="5640" width="13.7109375" style="376" customWidth="1"/>
    <col min="5641" max="5641" width="14.140625" style="376" customWidth="1"/>
    <col min="5642" max="5643" width="8.85546875" style="376"/>
    <col min="5644" max="5644" width="13.28515625" style="376" customWidth="1"/>
    <col min="5645" max="5888" width="8.85546875" style="376"/>
    <col min="5889" max="5889" width="18.28515625" style="376" customWidth="1"/>
    <col min="5890" max="5890" width="11.7109375" style="376" customWidth="1"/>
    <col min="5891" max="5891" width="13.140625" style="376" customWidth="1"/>
    <col min="5892" max="5892" width="69.7109375" style="376" customWidth="1"/>
    <col min="5893" max="5893" width="13" style="376" customWidth="1"/>
    <col min="5894" max="5895" width="8.85546875" style="376"/>
    <col min="5896" max="5896" width="13.7109375" style="376" customWidth="1"/>
    <col min="5897" max="5897" width="14.140625" style="376" customWidth="1"/>
    <col min="5898" max="5899" width="8.85546875" style="376"/>
    <col min="5900" max="5900" width="13.28515625" style="376" customWidth="1"/>
    <col min="5901" max="6144" width="8.85546875" style="376"/>
    <col min="6145" max="6145" width="18.28515625" style="376" customWidth="1"/>
    <col min="6146" max="6146" width="11.7109375" style="376" customWidth="1"/>
    <col min="6147" max="6147" width="13.140625" style="376" customWidth="1"/>
    <col min="6148" max="6148" width="69.7109375" style="376" customWidth="1"/>
    <col min="6149" max="6149" width="13" style="376" customWidth="1"/>
    <col min="6150" max="6151" width="8.85546875" style="376"/>
    <col min="6152" max="6152" width="13.7109375" style="376" customWidth="1"/>
    <col min="6153" max="6153" width="14.140625" style="376" customWidth="1"/>
    <col min="6154" max="6155" width="8.85546875" style="376"/>
    <col min="6156" max="6156" width="13.28515625" style="376" customWidth="1"/>
    <col min="6157" max="6400" width="8.85546875" style="376"/>
    <col min="6401" max="6401" width="18.28515625" style="376" customWidth="1"/>
    <col min="6402" max="6402" width="11.7109375" style="376" customWidth="1"/>
    <col min="6403" max="6403" width="13.140625" style="376" customWidth="1"/>
    <col min="6404" max="6404" width="69.7109375" style="376" customWidth="1"/>
    <col min="6405" max="6405" width="13" style="376" customWidth="1"/>
    <col min="6406" max="6407" width="8.85546875" style="376"/>
    <col min="6408" max="6408" width="13.7109375" style="376" customWidth="1"/>
    <col min="6409" max="6409" width="14.140625" style="376" customWidth="1"/>
    <col min="6410" max="6411" width="8.85546875" style="376"/>
    <col min="6412" max="6412" width="13.28515625" style="376" customWidth="1"/>
    <col min="6413" max="6656" width="8.85546875" style="376"/>
    <col min="6657" max="6657" width="18.28515625" style="376" customWidth="1"/>
    <col min="6658" max="6658" width="11.7109375" style="376" customWidth="1"/>
    <col min="6659" max="6659" width="13.140625" style="376" customWidth="1"/>
    <col min="6660" max="6660" width="69.7109375" style="376" customWidth="1"/>
    <col min="6661" max="6661" width="13" style="376" customWidth="1"/>
    <col min="6662" max="6663" width="8.85546875" style="376"/>
    <col min="6664" max="6664" width="13.7109375" style="376" customWidth="1"/>
    <col min="6665" max="6665" width="14.140625" style="376" customWidth="1"/>
    <col min="6666" max="6667" width="8.85546875" style="376"/>
    <col min="6668" max="6668" width="13.28515625" style="376" customWidth="1"/>
    <col min="6669" max="6912" width="8.85546875" style="376"/>
    <col min="6913" max="6913" width="18.28515625" style="376" customWidth="1"/>
    <col min="6914" max="6914" width="11.7109375" style="376" customWidth="1"/>
    <col min="6915" max="6915" width="13.140625" style="376" customWidth="1"/>
    <col min="6916" max="6916" width="69.7109375" style="376" customWidth="1"/>
    <col min="6917" max="6917" width="13" style="376" customWidth="1"/>
    <col min="6918" max="6919" width="8.85546875" style="376"/>
    <col min="6920" max="6920" width="13.7109375" style="376" customWidth="1"/>
    <col min="6921" max="6921" width="14.140625" style="376" customWidth="1"/>
    <col min="6922" max="6923" width="8.85546875" style="376"/>
    <col min="6924" max="6924" width="13.28515625" style="376" customWidth="1"/>
    <col min="6925" max="7168" width="8.85546875" style="376"/>
    <col min="7169" max="7169" width="18.28515625" style="376" customWidth="1"/>
    <col min="7170" max="7170" width="11.7109375" style="376" customWidth="1"/>
    <col min="7171" max="7171" width="13.140625" style="376" customWidth="1"/>
    <col min="7172" max="7172" width="69.7109375" style="376" customWidth="1"/>
    <col min="7173" max="7173" width="13" style="376" customWidth="1"/>
    <col min="7174" max="7175" width="8.85546875" style="376"/>
    <col min="7176" max="7176" width="13.7109375" style="376" customWidth="1"/>
    <col min="7177" max="7177" width="14.140625" style="376" customWidth="1"/>
    <col min="7178" max="7179" width="8.85546875" style="376"/>
    <col min="7180" max="7180" width="13.28515625" style="376" customWidth="1"/>
    <col min="7181" max="7424" width="8.85546875" style="376"/>
    <col min="7425" max="7425" width="18.28515625" style="376" customWidth="1"/>
    <col min="7426" max="7426" width="11.7109375" style="376" customWidth="1"/>
    <col min="7427" max="7427" width="13.140625" style="376" customWidth="1"/>
    <col min="7428" max="7428" width="69.7109375" style="376" customWidth="1"/>
    <col min="7429" max="7429" width="13" style="376" customWidth="1"/>
    <col min="7430" max="7431" width="8.85546875" style="376"/>
    <col min="7432" max="7432" width="13.7109375" style="376" customWidth="1"/>
    <col min="7433" max="7433" width="14.140625" style="376" customWidth="1"/>
    <col min="7434" max="7435" width="8.85546875" style="376"/>
    <col min="7436" max="7436" width="13.28515625" style="376" customWidth="1"/>
    <col min="7437" max="7680" width="8.85546875" style="376"/>
    <col min="7681" max="7681" width="18.28515625" style="376" customWidth="1"/>
    <col min="7682" max="7682" width="11.7109375" style="376" customWidth="1"/>
    <col min="7683" max="7683" width="13.140625" style="376" customWidth="1"/>
    <col min="7684" max="7684" width="69.7109375" style="376" customWidth="1"/>
    <col min="7685" max="7685" width="13" style="376" customWidth="1"/>
    <col min="7686" max="7687" width="8.85546875" style="376"/>
    <col min="7688" max="7688" width="13.7109375" style="376" customWidth="1"/>
    <col min="7689" max="7689" width="14.140625" style="376" customWidth="1"/>
    <col min="7690" max="7691" width="8.85546875" style="376"/>
    <col min="7692" max="7692" width="13.28515625" style="376" customWidth="1"/>
    <col min="7693" max="7936" width="8.85546875" style="376"/>
    <col min="7937" max="7937" width="18.28515625" style="376" customWidth="1"/>
    <col min="7938" max="7938" width="11.7109375" style="376" customWidth="1"/>
    <col min="7939" max="7939" width="13.140625" style="376" customWidth="1"/>
    <col min="7940" max="7940" width="69.7109375" style="376" customWidth="1"/>
    <col min="7941" max="7941" width="13" style="376" customWidth="1"/>
    <col min="7942" max="7943" width="8.85546875" style="376"/>
    <col min="7944" max="7944" width="13.7109375" style="376" customWidth="1"/>
    <col min="7945" max="7945" width="14.140625" style="376" customWidth="1"/>
    <col min="7946" max="7947" width="8.85546875" style="376"/>
    <col min="7948" max="7948" width="13.28515625" style="376" customWidth="1"/>
    <col min="7949" max="8192" width="8.85546875" style="376"/>
    <col min="8193" max="8193" width="18.28515625" style="376" customWidth="1"/>
    <col min="8194" max="8194" width="11.7109375" style="376" customWidth="1"/>
    <col min="8195" max="8195" width="13.140625" style="376" customWidth="1"/>
    <col min="8196" max="8196" width="69.7109375" style="376" customWidth="1"/>
    <col min="8197" max="8197" width="13" style="376" customWidth="1"/>
    <col min="8198" max="8199" width="8.85546875" style="376"/>
    <col min="8200" max="8200" width="13.7109375" style="376" customWidth="1"/>
    <col min="8201" max="8201" width="14.140625" style="376" customWidth="1"/>
    <col min="8202" max="8203" width="8.85546875" style="376"/>
    <col min="8204" max="8204" width="13.28515625" style="376" customWidth="1"/>
    <col min="8205" max="8448" width="8.85546875" style="376"/>
    <col min="8449" max="8449" width="18.28515625" style="376" customWidth="1"/>
    <col min="8450" max="8450" width="11.7109375" style="376" customWidth="1"/>
    <col min="8451" max="8451" width="13.140625" style="376" customWidth="1"/>
    <col min="8452" max="8452" width="69.7109375" style="376" customWidth="1"/>
    <col min="8453" max="8453" width="13" style="376" customWidth="1"/>
    <col min="8454" max="8455" width="8.85546875" style="376"/>
    <col min="8456" max="8456" width="13.7109375" style="376" customWidth="1"/>
    <col min="8457" max="8457" width="14.140625" style="376" customWidth="1"/>
    <col min="8458" max="8459" width="8.85546875" style="376"/>
    <col min="8460" max="8460" width="13.28515625" style="376" customWidth="1"/>
    <col min="8461" max="8704" width="8.85546875" style="376"/>
    <col min="8705" max="8705" width="18.28515625" style="376" customWidth="1"/>
    <col min="8706" max="8706" width="11.7109375" style="376" customWidth="1"/>
    <col min="8707" max="8707" width="13.140625" style="376" customWidth="1"/>
    <col min="8708" max="8708" width="69.7109375" style="376" customWidth="1"/>
    <col min="8709" max="8709" width="13" style="376" customWidth="1"/>
    <col min="8710" max="8711" width="8.85546875" style="376"/>
    <col min="8712" max="8712" width="13.7109375" style="376" customWidth="1"/>
    <col min="8713" max="8713" width="14.140625" style="376" customWidth="1"/>
    <col min="8714" max="8715" width="8.85546875" style="376"/>
    <col min="8716" max="8716" width="13.28515625" style="376" customWidth="1"/>
    <col min="8717" max="8960" width="8.85546875" style="376"/>
    <col min="8961" max="8961" width="18.28515625" style="376" customWidth="1"/>
    <col min="8962" max="8962" width="11.7109375" style="376" customWidth="1"/>
    <col min="8963" max="8963" width="13.140625" style="376" customWidth="1"/>
    <col min="8964" max="8964" width="69.7109375" style="376" customWidth="1"/>
    <col min="8965" max="8965" width="13" style="376" customWidth="1"/>
    <col min="8966" max="8967" width="8.85546875" style="376"/>
    <col min="8968" max="8968" width="13.7109375" style="376" customWidth="1"/>
    <col min="8969" max="8969" width="14.140625" style="376" customWidth="1"/>
    <col min="8970" max="8971" width="8.85546875" style="376"/>
    <col min="8972" max="8972" width="13.28515625" style="376" customWidth="1"/>
    <col min="8973" max="9216" width="8.85546875" style="376"/>
    <col min="9217" max="9217" width="18.28515625" style="376" customWidth="1"/>
    <col min="9218" max="9218" width="11.7109375" style="376" customWidth="1"/>
    <col min="9219" max="9219" width="13.140625" style="376" customWidth="1"/>
    <col min="9220" max="9220" width="69.7109375" style="376" customWidth="1"/>
    <col min="9221" max="9221" width="13" style="376" customWidth="1"/>
    <col min="9222" max="9223" width="8.85546875" style="376"/>
    <col min="9224" max="9224" width="13.7109375" style="376" customWidth="1"/>
    <col min="9225" max="9225" width="14.140625" style="376" customWidth="1"/>
    <col min="9226" max="9227" width="8.85546875" style="376"/>
    <col min="9228" max="9228" width="13.28515625" style="376" customWidth="1"/>
    <col min="9229" max="9472" width="8.85546875" style="376"/>
    <col min="9473" max="9473" width="18.28515625" style="376" customWidth="1"/>
    <col min="9474" max="9474" width="11.7109375" style="376" customWidth="1"/>
    <col min="9475" max="9475" width="13.140625" style="376" customWidth="1"/>
    <col min="9476" max="9476" width="69.7109375" style="376" customWidth="1"/>
    <col min="9477" max="9477" width="13" style="376" customWidth="1"/>
    <col min="9478" max="9479" width="8.85546875" style="376"/>
    <col min="9480" max="9480" width="13.7109375" style="376" customWidth="1"/>
    <col min="9481" max="9481" width="14.140625" style="376" customWidth="1"/>
    <col min="9482" max="9483" width="8.85546875" style="376"/>
    <col min="9484" max="9484" width="13.28515625" style="376" customWidth="1"/>
    <col min="9485" max="9728" width="8.85546875" style="376"/>
    <col min="9729" max="9729" width="18.28515625" style="376" customWidth="1"/>
    <col min="9730" max="9730" width="11.7109375" style="376" customWidth="1"/>
    <col min="9731" max="9731" width="13.140625" style="376" customWidth="1"/>
    <col min="9732" max="9732" width="69.7109375" style="376" customWidth="1"/>
    <col min="9733" max="9733" width="13" style="376" customWidth="1"/>
    <col min="9734" max="9735" width="8.85546875" style="376"/>
    <col min="9736" max="9736" width="13.7109375" style="376" customWidth="1"/>
    <col min="9737" max="9737" width="14.140625" style="376" customWidth="1"/>
    <col min="9738" max="9739" width="8.85546875" style="376"/>
    <col min="9740" max="9740" width="13.28515625" style="376" customWidth="1"/>
    <col min="9741" max="9984" width="8.85546875" style="376"/>
    <col min="9985" max="9985" width="18.28515625" style="376" customWidth="1"/>
    <col min="9986" max="9986" width="11.7109375" style="376" customWidth="1"/>
    <col min="9987" max="9987" width="13.140625" style="376" customWidth="1"/>
    <col min="9988" max="9988" width="69.7109375" style="376" customWidth="1"/>
    <col min="9989" max="9989" width="13" style="376" customWidth="1"/>
    <col min="9990" max="9991" width="8.85546875" style="376"/>
    <col min="9992" max="9992" width="13.7109375" style="376" customWidth="1"/>
    <col min="9993" max="9993" width="14.140625" style="376" customWidth="1"/>
    <col min="9994" max="9995" width="8.85546875" style="376"/>
    <col min="9996" max="9996" width="13.28515625" style="376" customWidth="1"/>
    <col min="9997" max="10240" width="8.85546875" style="376"/>
    <col min="10241" max="10241" width="18.28515625" style="376" customWidth="1"/>
    <col min="10242" max="10242" width="11.7109375" style="376" customWidth="1"/>
    <col min="10243" max="10243" width="13.140625" style="376" customWidth="1"/>
    <col min="10244" max="10244" width="69.7109375" style="376" customWidth="1"/>
    <col min="10245" max="10245" width="13" style="376" customWidth="1"/>
    <col min="10246" max="10247" width="8.85546875" style="376"/>
    <col min="10248" max="10248" width="13.7109375" style="376" customWidth="1"/>
    <col min="10249" max="10249" width="14.140625" style="376" customWidth="1"/>
    <col min="10250" max="10251" width="8.85546875" style="376"/>
    <col min="10252" max="10252" width="13.28515625" style="376" customWidth="1"/>
    <col min="10253" max="10496" width="8.85546875" style="376"/>
    <col min="10497" max="10497" width="18.28515625" style="376" customWidth="1"/>
    <col min="10498" max="10498" width="11.7109375" style="376" customWidth="1"/>
    <col min="10499" max="10499" width="13.140625" style="376" customWidth="1"/>
    <col min="10500" max="10500" width="69.7109375" style="376" customWidth="1"/>
    <col min="10501" max="10501" width="13" style="376" customWidth="1"/>
    <col min="10502" max="10503" width="8.85546875" style="376"/>
    <col min="10504" max="10504" width="13.7109375" style="376" customWidth="1"/>
    <col min="10505" max="10505" width="14.140625" style="376" customWidth="1"/>
    <col min="10506" max="10507" width="8.85546875" style="376"/>
    <col min="10508" max="10508" width="13.28515625" style="376" customWidth="1"/>
    <col min="10509" max="10752" width="8.85546875" style="376"/>
    <col min="10753" max="10753" width="18.28515625" style="376" customWidth="1"/>
    <col min="10754" max="10754" width="11.7109375" style="376" customWidth="1"/>
    <col min="10755" max="10755" width="13.140625" style="376" customWidth="1"/>
    <col min="10756" max="10756" width="69.7109375" style="376" customWidth="1"/>
    <col min="10757" max="10757" width="13" style="376" customWidth="1"/>
    <col min="10758" max="10759" width="8.85546875" style="376"/>
    <col min="10760" max="10760" width="13.7109375" style="376" customWidth="1"/>
    <col min="10761" max="10761" width="14.140625" style="376" customWidth="1"/>
    <col min="10762" max="10763" width="8.85546875" style="376"/>
    <col min="10764" max="10764" width="13.28515625" style="376" customWidth="1"/>
    <col min="10765" max="11008" width="8.85546875" style="376"/>
    <col min="11009" max="11009" width="18.28515625" style="376" customWidth="1"/>
    <col min="11010" max="11010" width="11.7109375" style="376" customWidth="1"/>
    <col min="11011" max="11011" width="13.140625" style="376" customWidth="1"/>
    <col min="11012" max="11012" width="69.7109375" style="376" customWidth="1"/>
    <col min="11013" max="11013" width="13" style="376" customWidth="1"/>
    <col min="11014" max="11015" width="8.85546875" style="376"/>
    <col min="11016" max="11016" width="13.7109375" style="376" customWidth="1"/>
    <col min="11017" max="11017" width="14.140625" style="376" customWidth="1"/>
    <col min="11018" max="11019" width="8.85546875" style="376"/>
    <col min="11020" max="11020" width="13.28515625" style="376" customWidth="1"/>
    <col min="11021" max="11264" width="8.85546875" style="376"/>
    <col min="11265" max="11265" width="18.28515625" style="376" customWidth="1"/>
    <col min="11266" max="11266" width="11.7109375" style="376" customWidth="1"/>
    <col min="11267" max="11267" width="13.140625" style="376" customWidth="1"/>
    <col min="11268" max="11268" width="69.7109375" style="376" customWidth="1"/>
    <col min="11269" max="11269" width="13" style="376" customWidth="1"/>
    <col min="11270" max="11271" width="8.85546875" style="376"/>
    <col min="11272" max="11272" width="13.7109375" style="376" customWidth="1"/>
    <col min="11273" max="11273" width="14.140625" style="376" customWidth="1"/>
    <col min="11274" max="11275" width="8.85546875" style="376"/>
    <col min="11276" max="11276" width="13.28515625" style="376" customWidth="1"/>
    <col min="11277" max="11520" width="8.85546875" style="376"/>
    <col min="11521" max="11521" width="18.28515625" style="376" customWidth="1"/>
    <col min="11522" max="11522" width="11.7109375" style="376" customWidth="1"/>
    <col min="11523" max="11523" width="13.140625" style="376" customWidth="1"/>
    <col min="11524" max="11524" width="69.7109375" style="376" customWidth="1"/>
    <col min="11525" max="11525" width="13" style="376" customWidth="1"/>
    <col min="11526" max="11527" width="8.85546875" style="376"/>
    <col min="11528" max="11528" width="13.7109375" style="376" customWidth="1"/>
    <col min="11529" max="11529" width="14.140625" style="376" customWidth="1"/>
    <col min="11530" max="11531" width="8.85546875" style="376"/>
    <col min="11532" max="11532" width="13.28515625" style="376" customWidth="1"/>
    <col min="11533" max="11776" width="8.85546875" style="376"/>
    <col min="11777" max="11777" width="18.28515625" style="376" customWidth="1"/>
    <col min="11778" max="11778" width="11.7109375" style="376" customWidth="1"/>
    <col min="11779" max="11779" width="13.140625" style="376" customWidth="1"/>
    <col min="11780" max="11780" width="69.7109375" style="376" customWidth="1"/>
    <col min="11781" max="11781" width="13" style="376" customWidth="1"/>
    <col min="11782" max="11783" width="8.85546875" style="376"/>
    <col min="11784" max="11784" width="13.7109375" style="376" customWidth="1"/>
    <col min="11785" max="11785" width="14.140625" style="376" customWidth="1"/>
    <col min="11786" max="11787" width="8.85546875" style="376"/>
    <col min="11788" max="11788" width="13.28515625" style="376" customWidth="1"/>
    <col min="11789" max="12032" width="8.85546875" style="376"/>
    <col min="12033" max="12033" width="18.28515625" style="376" customWidth="1"/>
    <col min="12034" max="12034" width="11.7109375" style="376" customWidth="1"/>
    <col min="12035" max="12035" width="13.140625" style="376" customWidth="1"/>
    <col min="12036" max="12036" width="69.7109375" style="376" customWidth="1"/>
    <col min="12037" max="12037" width="13" style="376" customWidth="1"/>
    <col min="12038" max="12039" width="8.85546875" style="376"/>
    <col min="12040" max="12040" width="13.7109375" style="376" customWidth="1"/>
    <col min="12041" max="12041" width="14.140625" style="376" customWidth="1"/>
    <col min="12042" max="12043" width="8.85546875" style="376"/>
    <col min="12044" max="12044" width="13.28515625" style="376" customWidth="1"/>
    <col min="12045" max="12288" width="8.85546875" style="376"/>
    <col min="12289" max="12289" width="18.28515625" style="376" customWidth="1"/>
    <col min="12290" max="12290" width="11.7109375" style="376" customWidth="1"/>
    <col min="12291" max="12291" width="13.140625" style="376" customWidth="1"/>
    <col min="12292" max="12292" width="69.7109375" style="376" customWidth="1"/>
    <col min="12293" max="12293" width="13" style="376" customWidth="1"/>
    <col min="12294" max="12295" width="8.85546875" style="376"/>
    <col min="12296" max="12296" width="13.7109375" style="376" customWidth="1"/>
    <col min="12297" max="12297" width="14.140625" style="376" customWidth="1"/>
    <col min="12298" max="12299" width="8.85546875" style="376"/>
    <col min="12300" max="12300" width="13.28515625" style="376" customWidth="1"/>
    <col min="12301" max="12544" width="8.85546875" style="376"/>
    <col min="12545" max="12545" width="18.28515625" style="376" customWidth="1"/>
    <col min="12546" max="12546" width="11.7109375" style="376" customWidth="1"/>
    <col min="12547" max="12547" width="13.140625" style="376" customWidth="1"/>
    <col min="12548" max="12548" width="69.7109375" style="376" customWidth="1"/>
    <col min="12549" max="12549" width="13" style="376" customWidth="1"/>
    <col min="12550" max="12551" width="8.85546875" style="376"/>
    <col min="12552" max="12552" width="13.7109375" style="376" customWidth="1"/>
    <col min="12553" max="12553" width="14.140625" style="376" customWidth="1"/>
    <col min="12554" max="12555" width="8.85546875" style="376"/>
    <col min="12556" max="12556" width="13.28515625" style="376" customWidth="1"/>
    <col min="12557" max="12800" width="8.85546875" style="376"/>
    <col min="12801" max="12801" width="18.28515625" style="376" customWidth="1"/>
    <col min="12802" max="12802" width="11.7109375" style="376" customWidth="1"/>
    <col min="12803" max="12803" width="13.140625" style="376" customWidth="1"/>
    <col min="12804" max="12804" width="69.7109375" style="376" customWidth="1"/>
    <col min="12805" max="12805" width="13" style="376" customWidth="1"/>
    <col min="12806" max="12807" width="8.85546875" style="376"/>
    <col min="12808" max="12808" width="13.7109375" style="376" customWidth="1"/>
    <col min="12809" max="12809" width="14.140625" style="376" customWidth="1"/>
    <col min="12810" max="12811" width="8.85546875" style="376"/>
    <col min="12812" max="12812" width="13.28515625" style="376" customWidth="1"/>
    <col min="12813" max="13056" width="8.85546875" style="376"/>
    <col min="13057" max="13057" width="18.28515625" style="376" customWidth="1"/>
    <col min="13058" max="13058" width="11.7109375" style="376" customWidth="1"/>
    <col min="13059" max="13059" width="13.140625" style="376" customWidth="1"/>
    <col min="13060" max="13060" width="69.7109375" style="376" customWidth="1"/>
    <col min="13061" max="13061" width="13" style="376" customWidth="1"/>
    <col min="13062" max="13063" width="8.85546875" style="376"/>
    <col min="13064" max="13064" width="13.7109375" style="376" customWidth="1"/>
    <col min="13065" max="13065" width="14.140625" style="376" customWidth="1"/>
    <col min="13066" max="13067" width="8.85546875" style="376"/>
    <col min="13068" max="13068" width="13.28515625" style="376" customWidth="1"/>
    <col min="13069" max="13312" width="8.85546875" style="376"/>
    <col min="13313" max="13313" width="18.28515625" style="376" customWidth="1"/>
    <col min="13314" max="13314" width="11.7109375" style="376" customWidth="1"/>
    <col min="13315" max="13315" width="13.140625" style="376" customWidth="1"/>
    <col min="13316" max="13316" width="69.7109375" style="376" customWidth="1"/>
    <col min="13317" max="13317" width="13" style="376" customWidth="1"/>
    <col min="13318" max="13319" width="8.85546875" style="376"/>
    <col min="13320" max="13320" width="13.7109375" style="376" customWidth="1"/>
    <col min="13321" max="13321" width="14.140625" style="376" customWidth="1"/>
    <col min="13322" max="13323" width="8.85546875" style="376"/>
    <col min="13324" max="13324" width="13.28515625" style="376" customWidth="1"/>
    <col min="13325" max="13568" width="8.85546875" style="376"/>
    <col min="13569" max="13569" width="18.28515625" style="376" customWidth="1"/>
    <col min="13570" max="13570" width="11.7109375" style="376" customWidth="1"/>
    <col min="13571" max="13571" width="13.140625" style="376" customWidth="1"/>
    <col min="13572" max="13572" width="69.7109375" style="376" customWidth="1"/>
    <col min="13573" max="13573" width="13" style="376" customWidth="1"/>
    <col min="13574" max="13575" width="8.85546875" style="376"/>
    <col min="13576" max="13576" width="13.7109375" style="376" customWidth="1"/>
    <col min="13577" max="13577" width="14.140625" style="376" customWidth="1"/>
    <col min="13578" max="13579" width="8.85546875" style="376"/>
    <col min="13580" max="13580" width="13.28515625" style="376" customWidth="1"/>
    <col min="13581" max="13824" width="8.85546875" style="376"/>
    <col min="13825" max="13825" width="18.28515625" style="376" customWidth="1"/>
    <col min="13826" max="13826" width="11.7109375" style="376" customWidth="1"/>
    <col min="13827" max="13827" width="13.140625" style="376" customWidth="1"/>
    <col min="13828" max="13828" width="69.7109375" style="376" customWidth="1"/>
    <col min="13829" max="13829" width="13" style="376" customWidth="1"/>
    <col min="13830" max="13831" width="8.85546875" style="376"/>
    <col min="13832" max="13832" width="13.7109375" style="376" customWidth="1"/>
    <col min="13833" max="13833" width="14.140625" style="376" customWidth="1"/>
    <col min="13834" max="13835" width="8.85546875" style="376"/>
    <col min="13836" max="13836" width="13.28515625" style="376" customWidth="1"/>
    <col min="13837" max="14080" width="8.85546875" style="376"/>
    <col min="14081" max="14081" width="18.28515625" style="376" customWidth="1"/>
    <col min="14082" max="14082" width="11.7109375" style="376" customWidth="1"/>
    <col min="14083" max="14083" width="13.140625" style="376" customWidth="1"/>
    <col min="14084" max="14084" width="69.7109375" style="376" customWidth="1"/>
    <col min="14085" max="14085" width="13" style="376" customWidth="1"/>
    <col min="14086" max="14087" width="8.85546875" style="376"/>
    <col min="14088" max="14088" width="13.7109375" style="376" customWidth="1"/>
    <col min="14089" max="14089" width="14.140625" style="376" customWidth="1"/>
    <col min="14090" max="14091" width="8.85546875" style="376"/>
    <col min="14092" max="14092" width="13.28515625" style="376" customWidth="1"/>
    <col min="14093" max="14336" width="8.85546875" style="376"/>
    <col min="14337" max="14337" width="18.28515625" style="376" customWidth="1"/>
    <col min="14338" max="14338" width="11.7109375" style="376" customWidth="1"/>
    <col min="14339" max="14339" width="13.140625" style="376" customWidth="1"/>
    <col min="14340" max="14340" width="69.7109375" style="376" customWidth="1"/>
    <col min="14341" max="14341" width="13" style="376" customWidth="1"/>
    <col min="14342" max="14343" width="8.85546875" style="376"/>
    <col min="14344" max="14344" width="13.7109375" style="376" customWidth="1"/>
    <col min="14345" max="14345" width="14.140625" style="376" customWidth="1"/>
    <col min="14346" max="14347" width="8.85546875" style="376"/>
    <col min="14348" max="14348" width="13.28515625" style="376" customWidth="1"/>
    <col min="14349" max="14592" width="8.85546875" style="376"/>
    <col min="14593" max="14593" width="18.28515625" style="376" customWidth="1"/>
    <col min="14594" max="14594" width="11.7109375" style="376" customWidth="1"/>
    <col min="14595" max="14595" width="13.140625" style="376" customWidth="1"/>
    <col min="14596" max="14596" width="69.7109375" style="376" customWidth="1"/>
    <col min="14597" max="14597" width="13" style="376" customWidth="1"/>
    <col min="14598" max="14599" width="8.85546875" style="376"/>
    <col min="14600" max="14600" width="13.7109375" style="376" customWidth="1"/>
    <col min="14601" max="14601" width="14.140625" style="376" customWidth="1"/>
    <col min="14602" max="14603" width="8.85546875" style="376"/>
    <col min="14604" max="14604" width="13.28515625" style="376" customWidth="1"/>
    <col min="14605" max="14848" width="8.85546875" style="376"/>
    <col min="14849" max="14849" width="18.28515625" style="376" customWidth="1"/>
    <col min="14850" max="14850" width="11.7109375" style="376" customWidth="1"/>
    <col min="14851" max="14851" width="13.140625" style="376" customWidth="1"/>
    <col min="14852" max="14852" width="69.7109375" style="376" customWidth="1"/>
    <col min="14853" max="14853" width="13" style="376" customWidth="1"/>
    <col min="14854" max="14855" width="8.85546875" style="376"/>
    <col min="14856" max="14856" width="13.7109375" style="376" customWidth="1"/>
    <col min="14857" max="14857" width="14.140625" style="376" customWidth="1"/>
    <col min="14858" max="14859" width="8.85546875" style="376"/>
    <col min="14860" max="14860" width="13.28515625" style="376" customWidth="1"/>
    <col min="14861" max="15104" width="8.85546875" style="376"/>
    <col min="15105" max="15105" width="18.28515625" style="376" customWidth="1"/>
    <col min="15106" max="15106" width="11.7109375" style="376" customWidth="1"/>
    <col min="15107" max="15107" width="13.140625" style="376" customWidth="1"/>
    <col min="15108" max="15108" width="69.7109375" style="376" customWidth="1"/>
    <col min="15109" max="15109" width="13" style="376" customWidth="1"/>
    <col min="15110" max="15111" width="8.85546875" style="376"/>
    <col min="15112" max="15112" width="13.7109375" style="376" customWidth="1"/>
    <col min="15113" max="15113" width="14.140625" style="376" customWidth="1"/>
    <col min="15114" max="15115" width="8.85546875" style="376"/>
    <col min="15116" max="15116" width="13.28515625" style="376" customWidth="1"/>
    <col min="15117" max="15360" width="8.85546875" style="376"/>
    <col min="15361" max="15361" width="18.28515625" style="376" customWidth="1"/>
    <col min="15362" max="15362" width="11.7109375" style="376" customWidth="1"/>
    <col min="15363" max="15363" width="13.140625" style="376" customWidth="1"/>
    <col min="15364" max="15364" width="69.7109375" style="376" customWidth="1"/>
    <col min="15365" max="15365" width="13" style="376" customWidth="1"/>
    <col min="15366" max="15367" width="8.85546875" style="376"/>
    <col min="15368" max="15368" width="13.7109375" style="376" customWidth="1"/>
    <col min="15369" max="15369" width="14.140625" style="376" customWidth="1"/>
    <col min="15370" max="15371" width="8.85546875" style="376"/>
    <col min="15372" max="15372" width="13.28515625" style="376" customWidth="1"/>
    <col min="15373" max="15616" width="8.85546875" style="376"/>
    <col min="15617" max="15617" width="18.28515625" style="376" customWidth="1"/>
    <col min="15618" max="15618" width="11.7109375" style="376" customWidth="1"/>
    <col min="15619" max="15619" width="13.140625" style="376" customWidth="1"/>
    <col min="15620" max="15620" width="69.7109375" style="376" customWidth="1"/>
    <col min="15621" max="15621" width="13" style="376" customWidth="1"/>
    <col min="15622" max="15623" width="8.85546875" style="376"/>
    <col min="15624" max="15624" width="13.7109375" style="376" customWidth="1"/>
    <col min="15625" max="15625" width="14.140625" style="376" customWidth="1"/>
    <col min="15626" max="15627" width="8.85546875" style="376"/>
    <col min="15628" max="15628" width="13.28515625" style="376" customWidth="1"/>
    <col min="15629" max="15872" width="8.85546875" style="376"/>
    <col min="15873" max="15873" width="18.28515625" style="376" customWidth="1"/>
    <col min="15874" max="15874" width="11.7109375" style="376" customWidth="1"/>
    <col min="15875" max="15875" width="13.140625" style="376" customWidth="1"/>
    <col min="15876" max="15876" width="69.7109375" style="376" customWidth="1"/>
    <col min="15877" max="15877" width="13" style="376" customWidth="1"/>
    <col min="15878" max="15879" width="8.85546875" style="376"/>
    <col min="15880" max="15880" width="13.7109375" style="376" customWidth="1"/>
    <col min="15881" max="15881" width="14.140625" style="376" customWidth="1"/>
    <col min="15882" max="15883" width="8.85546875" style="376"/>
    <col min="15884" max="15884" width="13.28515625" style="376" customWidth="1"/>
    <col min="15885" max="16128" width="8.85546875" style="376"/>
    <col min="16129" max="16129" width="18.28515625" style="376" customWidth="1"/>
    <col min="16130" max="16130" width="11.7109375" style="376" customWidth="1"/>
    <col min="16131" max="16131" width="13.140625" style="376" customWidth="1"/>
    <col min="16132" max="16132" width="69.7109375" style="376" customWidth="1"/>
    <col min="16133" max="16133" width="13" style="376" customWidth="1"/>
    <col min="16134" max="16135" width="8.85546875" style="376"/>
    <col min="16136" max="16136" width="13.7109375" style="376" customWidth="1"/>
    <col min="16137" max="16137" width="14.140625" style="376" customWidth="1"/>
    <col min="16138" max="16139" width="8.85546875" style="376"/>
    <col min="16140" max="16140" width="13.28515625" style="376" customWidth="1"/>
    <col min="16141" max="16384" width="8.85546875" style="376"/>
  </cols>
  <sheetData>
    <row r="1" spans="1:12" ht="15.75" x14ac:dyDescent="0.2">
      <c r="G1" s="377" t="s">
        <v>490</v>
      </c>
      <c r="H1" s="378"/>
      <c r="I1" s="379"/>
    </row>
    <row r="2" spans="1:12" ht="15.75" x14ac:dyDescent="0.25">
      <c r="G2" s="380" t="s">
        <v>491</v>
      </c>
      <c r="H2" s="381"/>
      <c r="I2" s="378"/>
    </row>
    <row r="3" spans="1:12" ht="15.75" x14ac:dyDescent="0.25">
      <c r="G3" s="6" t="s">
        <v>699</v>
      </c>
      <c r="H3" s="382"/>
      <c r="I3" s="383"/>
    </row>
    <row r="4" spans="1:12" ht="15.75" x14ac:dyDescent="0.25">
      <c r="G4" s="6" t="s">
        <v>701</v>
      </c>
      <c r="H4" s="384"/>
      <c r="I4" s="385"/>
    </row>
    <row r="7" spans="1:12" ht="17.25" x14ac:dyDescent="0.2">
      <c r="C7" s="1230" t="s">
        <v>428</v>
      </c>
      <c r="D7" s="1230"/>
      <c r="E7" s="1230"/>
      <c r="F7" s="1230"/>
      <c r="G7" s="1230"/>
      <c r="H7" s="386"/>
      <c r="I7" s="386"/>
    </row>
    <row r="8" spans="1:12" ht="13.9" customHeight="1" x14ac:dyDescent="0.2">
      <c r="B8" s="1230" t="s">
        <v>503</v>
      </c>
      <c r="C8" s="1230"/>
      <c r="D8" s="1230"/>
      <c r="E8" s="1230"/>
      <c r="F8" s="1230"/>
      <c r="G8" s="1230"/>
      <c r="H8" s="1230"/>
      <c r="I8" s="386"/>
    </row>
    <row r="9" spans="1:12" ht="13.9" customHeight="1" x14ac:dyDescent="0.2">
      <c r="B9" s="387"/>
      <c r="C9" s="387"/>
      <c r="D9" s="387"/>
      <c r="E9" s="387"/>
      <c r="F9" s="387"/>
      <c r="G9" s="387"/>
      <c r="H9" s="387"/>
      <c r="I9" s="387"/>
    </row>
    <row r="10" spans="1:12" s="388" customFormat="1" ht="15.75" x14ac:dyDescent="0.25">
      <c r="A10" s="1231">
        <v>1559100000</v>
      </c>
      <c r="B10" s="1231"/>
    </row>
    <row r="11" spans="1:12" s="388" customFormat="1" ht="15.75" x14ac:dyDescent="0.25">
      <c r="A11" s="389" t="s">
        <v>0</v>
      </c>
      <c r="B11" s="389"/>
    </row>
    <row r="12" spans="1:12" ht="16.5" thickBot="1" x14ac:dyDescent="0.25">
      <c r="I12" s="379" t="s">
        <v>269</v>
      </c>
    </row>
    <row r="13" spans="1:12" ht="15.75" x14ac:dyDescent="0.2">
      <c r="A13" s="1232" t="s">
        <v>8</v>
      </c>
      <c r="B13" s="1235" t="s">
        <v>9</v>
      </c>
      <c r="C13" s="1235" t="s">
        <v>10</v>
      </c>
      <c r="D13" s="1238" t="s">
        <v>429</v>
      </c>
      <c r="E13" s="1241" t="s">
        <v>430</v>
      </c>
      <c r="F13" s="1242"/>
      <c r="G13" s="1242"/>
      <c r="H13" s="1242"/>
      <c r="I13" s="1242"/>
      <c r="J13" s="1242"/>
      <c r="K13" s="1242"/>
      <c r="L13" s="1243"/>
    </row>
    <row r="14" spans="1:12" ht="62.45" customHeight="1" x14ac:dyDescent="0.25">
      <c r="A14" s="1233"/>
      <c r="B14" s="1236"/>
      <c r="C14" s="1236"/>
      <c r="D14" s="1239"/>
      <c r="E14" s="1244" t="s">
        <v>492</v>
      </c>
      <c r="F14" s="1244"/>
      <c r="G14" s="1244"/>
      <c r="H14" s="1244"/>
      <c r="I14" s="1245" t="s">
        <v>510</v>
      </c>
      <c r="J14" s="1246"/>
      <c r="K14" s="1246"/>
      <c r="L14" s="1247"/>
    </row>
    <row r="15" spans="1:12" ht="31.15" customHeight="1" x14ac:dyDescent="0.2">
      <c r="A15" s="1233"/>
      <c r="B15" s="1236"/>
      <c r="C15" s="1236"/>
      <c r="D15" s="1239"/>
      <c r="E15" s="1224" t="s">
        <v>431</v>
      </c>
      <c r="F15" s="1226" t="s">
        <v>432</v>
      </c>
      <c r="G15" s="1227"/>
      <c r="H15" s="1224" t="s">
        <v>433</v>
      </c>
      <c r="I15" s="1224" t="s">
        <v>431</v>
      </c>
      <c r="J15" s="1226" t="s">
        <v>432</v>
      </c>
      <c r="K15" s="1227"/>
      <c r="L15" s="1228" t="s">
        <v>433</v>
      </c>
    </row>
    <row r="16" spans="1:12" ht="96.6" customHeight="1" thickBot="1" x14ac:dyDescent="0.25">
      <c r="A16" s="1234"/>
      <c r="B16" s="1237"/>
      <c r="C16" s="1237"/>
      <c r="D16" s="1240"/>
      <c r="E16" s="1225"/>
      <c r="F16" s="592" t="s">
        <v>4</v>
      </c>
      <c r="G16" s="592" t="s">
        <v>5</v>
      </c>
      <c r="H16" s="1225"/>
      <c r="I16" s="1225"/>
      <c r="J16" s="592" t="s">
        <v>4</v>
      </c>
      <c r="K16" s="592" t="s">
        <v>5</v>
      </c>
      <c r="L16" s="1229"/>
    </row>
    <row r="17" spans="1:12" ht="16.5" thickBot="1" x14ac:dyDescent="0.25">
      <c r="A17" s="390">
        <v>1</v>
      </c>
      <c r="B17" s="391">
        <v>2</v>
      </c>
      <c r="C17" s="391">
        <v>3</v>
      </c>
      <c r="D17" s="391">
        <v>4</v>
      </c>
      <c r="E17" s="391">
        <v>5</v>
      </c>
      <c r="F17" s="391">
        <v>6</v>
      </c>
      <c r="G17" s="391">
        <v>7</v>
      </c>
      <c r="H17" s="391">
        <v>8</v>
      </c>
      <c r="I17" s="392">
        <v>9</v>
      </c>
      <c r="J17" s="392">
        <v>10</v>
      </c>
      <c r="K17" s="392">
        <v>11</v>
      </c>
      <c r="L17" s="393">
        <v>12</v>
      </c>
    </row>
    <row r="18" spans="1:12" s="399" customFormat="1" ht="32.25" thickBot="1" x14ac:dyDescent="0.25">
      <c r="A18" s="394">
        <v>1200000</v>
      </c>
      <c r="B18" s="395"/>
      <c r="C18" s="395"/>
      <c r="D18" s="396" t="s">
        <v>126</v>
      </c>
      <c r="E18" s="397">
        <f t="shared" ref="E18:G19" si="0">E19</f>
        <v>-4000000</v>
      </c>
      <c r="F18" s="397">
        <f t="shared" si="0"/>
        <v>0</v>
      </c>
      <c r="G18" s="397">
        <f t="shared" si="0"/>
        <v>0</v>
      </c>
      <c r="H18" s="397">
        <f>E18</f>
        <v>-4000000</v>
      </c>
      <c r="I18" s="398">
        <f>I19</f>
        <v>-4000000</v>
      </c>
      <c r="J18" s="398">
        <f t="shared" ref="J18:K20" si="1">J19</f>
        <v>0</v>
      </c>
      <c r="K18" s="398">
        <f t="shared" si="1"/>
        <v>0</v>
      </c>
      <c r="L18" s="611">
        <f>I18</f>
        <v>-4000000</v>
      </c>
    </row>
    <row r="19" spans="1:12" s="405" customFormat="1" ht="31.5" x14ac:dyDescent="0.2">
      <c r="A19" s="400">
        <v>1210000</v>
      </c>
      <c r="B19" s="401"/>
      <c r="C19" s="401"/>
      <c r="D19" s="402" t="s">
        <v>126</v>
      </c>
      <c r="E19" s="403">
        <f t="shared" si="0"/>
        <v>-4000000</v>
      </c>
      <c r="F19" s="403">
        <f t="shared" si="0"/>
        <v>0</v>
      </c>
      <c r="G19" s="403">
        <f t="shared" si="0"/>
        <v>0</v>
      </c>
      <c r="H19" s="403">
        <f>E19</f>
        <v>-4000000</v>
      </c>
      <c r="I19" s="404">
        <f>I20</f>
        <v>-4000000</v>
      </c>
      <c r="J19" s="404">
        <f t="shared" si="1"/>
        <v>0</v>
      </c>
      <c r="K19" s="404">
        <f t="shared" si="1"/>
        <v>0</v>
      </c>
      <c r="L19" s="612">
        <f>I19</f>
        <v>-4000000</v>
      </c>
    </row>
    <row r="20" spans="1:12" ht="15.75" x14ac:dyDescent="0.2">
      <c r="A20" s="406">
        <v>1218860</v>
      </c>
      <c r="B20" s="407">
        <v>8860</v>
      </c>
      <c r="C20" s="407"/>
      <c r="D20" s="408" t="s">
        <v>434</v>
      </c>
      <c r="E20" s="409">
        <f>E21</f>
        <v>-4000000</v>
      </c>
      <c r="F20" s="410">
        <v>0</v>
      </c>
      <c r="G20" s="410">
        <v>0</v>
      </c>
      <c r="H20" s="409">
        <f>E20</f>
        <v>-4000000</v>
      </c>
      <c r="I20" s="411">
        <f>I21</f>
        <v>-4000000</v>
      </c>
      <c r="J20" s="411">
        <f t="shared" si="1"/>
        <v>0</v>
      </c>
      <c r="K20" s="411">
        <f t="shared" si="1"/>
        <v>0</v>
      </c>
      <c r="L20" s="613">
        <f>I20</f>
        <v>-4000000</v>
      </c>
    </row>
    <row r="21" spans="1:12" s="405" customFormat="1" ht="32.25" thickBot="1" x14ac:dyDescent="0.25">
      <c r="A21" s="412">
        <v>1218862</v>
      </c>
      <c r="B21" s="413">
        <v>8862</v>
      </c>
      <c r="C21" s="414" t="s">
        <v>171</v>
      </c>
      <c r="D21" s="415" t="s">
        <v>435</v>
      </c>
      <c r="E21" s="416">
        <v>-4000000</v>
      </c>
      <c r="F21" s="417">
        <v>0</v>
      </c>
      <c r="G21" s="417">
        <v>0</v>
      </c>
      <c r="H21" s="416">
        <f>E21</f>
        <v>-4000000</v>
      </c>
      <c r="I21" s="418">
        <v>-4000000</v>
      </c>
      <c r="J21" s="418">
        <v>0</v>
      </c>
      <c r="K21" s="418">
        <v>0</v>
      </c>
      <c r="L21" s="614">
        <f>I21</f>
        <v>-4000000</v>
      </c>
    </row>
    <row r="22" spans="1:12" s="420" customFormat="1" ht="16.5" thickBot="1" x14ac:dyDescent="0.25">
      <c r="A22" s="394" t="s">
        <v>297</v>
      </c>
      <c r="B22" s="395" t="s">
        <v>297</v>
      </c>
      <c r="C22" s="395" t="s">
        <v>297</v>
      </c>
      <c r="D22" s="419" t="s">
        <v>148</v>
      </c>
      <c r="E22" s="397">
        <f t="shared" ref="E22:K22" si="2">E18</f>
        <v>-4000000</v>
      </c>
      <c r="F22" s="397">
        <f t="shared" si="2"/>
        <v>0</v>
      </c>
      <c r="G22" s="397">
        <f t="shared" si="2"/>
        <v>0</v>
      </c>
      <c r="H22" s="397">
        <f t="shared" si="2"/>
        <v>-4000000</v>
      </c>
      <c r="I22" s="398">
        <f t="shared" si="2"/>
        <v>-4000000</v>
      </c>
      <c r="J22" s="398">
        <f t="shared" si="2"/>
        <v>0</v>
      </c>
      <c r="K22" s="398">
        <f t="shared" si="2"/>
        <v>0</v>
      </c>
      <c r="L22" s="611">
        <f>I22</f>
        <v>-4000000</v>
      </c>
    </row>
    <row r="23" spans="1:12" ht="15.75" x14ac:dyDescent="0.2">
      <c r="A23" s="421"/>
      <c r="B23" s="421"/>
      <c r="C23" s="421"/>
      <c r="D23" s="422"/>
      <c r="E23" s="421"/>
      <c r="F23" s="421"/>
      <c r="G23" s="421"/>
      <c r="H23" s="421"/>
      <c r="I23" s="421"/>
    </row>
    <row r="25" spans="1:12" s="424" customFormat="1" ht="28.9" customHeight="1" x14ac:dyDescent="0.2">
      <c r="A25" s="1223" t="s">
        <v>405</v>
      </c>
      <c r="B25" s="1223"/>
      <c r="C25" s="1223"/>
      <c r="D25" s="1223"/>
      <c r="E25" s="423"/>
      <c r="F25" s="423"/>
      <c r="G25" s="423" t="s">
        <v>472</v>
      </c>
      <c r="H25" s="423"/>
      <c r="I25" s="423"/>
    </row>
  </sheetData>
  <mergeCells count="17">
    <mergeCell ref="J15:K15"/>
    <mergeCell ref="L15:L16"/>
    <mergeCell ref="C7:G7"/>
    <mergeCell ref="B8:H8"/>
    <mergeCell ref="A10:B10"/>
    <mergeCell ref="A13:A16"/>
    <mergeCell ref="B13:B16"/>
    <mergeCell ref="C13:C16"/>
    <mergeCell ref="D13:D16"/>
    <mergeCell ref="E13:L13"/>
    <mergeCell ref="E14:H14"/>
    <mergeCell ref="I14:L14"/>
    <mergeCell ref="A25:D25"/>
    <mergeCell ref="E15:E16"/>
    <mergeCell ref="F15:G15"/>
    <mergeCell ref="H15:H16"/>
    <mergeCell ref="I15:I16"/>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7"/>
  <sheetViews>
    <sheetView view="pageBreakPreview" topLeftCell="A37" zoomScale="90" zoomScaleNormal="100" zoomScaleSheetLayoutView="90" workbookViewId="0">
      <selection activeCell="D8" sqref="D8"/>
    </sheetView>
  </sheetViews>
  <sheetFormatPr defaultRowHeight="12.75" x14ac:dyDescent="0.2"/>
  <cols>
    <col min="1" max="1" width="23.5703125" customWidth="1"/>
    <col min="2" max="2" width="20.7109375" customWidth="1"/>
    <col min="3" max="3" width="59.5703125" customWidth="1"/>
    <col min="4" max="4" width="15.140625" customWidth="1"/>
    <col min="5" max="5" width="15.42578125" customWidth="1"/>
    <col min="6" max="6" width="13.28515625" customWidth="1"/>
  </cols>
  <sheetData>
    <row r="1" spans="1:6" x14ac:dyDescent="0.2">
      <c r="C1" s="582"/>
    </row>
    <row r="2" spans="1:6" ht="15.75" x14ac:dyDescent="0.25">
      <c r="C2" s="582"/>
      <c r="D2" s="380" t="s">
        <v>509</v>
      </c>
    </row>
    <row r="3" spans="1:6" ht="15.75" x14ac:dyDescent="0.25">
      <c r="A3" s="5"/>
      <c r="B3" s="5"/>
      <c r="C3" s="5"/>
      <c r="D3" s="380" t="s">
        <v>614</v>
      </c>
      <c r="E3" s="5"/>
    </row>
    <row r="4" spans="1:6" ht="15.75" x14ac:dyDescent="0.25">
      <c r="A4" s="5"/>
      <c r="B4" s="5"/>
      <c r="C4" s="5"/>
      <c r="D4" s="6" t="s">
        <v>699</v>
      </c>
      <c r="E4" s="576"/>
      <c r="F4" s="580"/>
    </row>
    <row r="5" spans="1:6" ht="15.75" x14ac:dyDescent="0.25">
      <c r="A5" s="5"/>
      <c r="B5" s="5"/>
      <c r="C5" s="5"/>
      <c r="D5" s="6" t="s">
        <v>702</v>
      </c>
      <c r="E5" s="577"/>
      <c r="F5" s="581"/>
    </row>
    <row r="6" spans="1:6" ht="15.75" x14ac:dyDescent="0.2">
      <c r="A6" s="5"/>
      <c r="B6" s="5"/>
      <c r="C6" s="121"/>
      <c r="D6" s="5"/>
      <c r="E6" s="5"/>
    </row>
    <row r="7" spans="1:6" ht="19.149999999999999" customHeight="1" x14ac:dyDescent="0.2">
      <c r="A7" s="5"/>
      <c r="B7" s="5"/>
      <c r="C7" s="5"/>
      <c r="D7" s="5"/>
      <c r="E7" s="5"/>
    </row>
    <row r="8" spans="1:6" ht="15.6" customHeight="1" x14ac:dyDescent="0.2">
      <c r="A8" s="5"/>
      <c r="B8" s="5"/>
      <c r="C8" s="5"/>
      <c r="D8" s="5"/>
      <c r="E8" s="5"/>
    </row>
    <row r="9" spans="1:6" ht="20.25" x14ac:dyDescent="0.3">
      <c r="A9" s="1186" t="s">
        <v>436</v>
      </c>
      <c r="B9" s="1187"/>
      <c r="C9" s="1187"/>
      <c r="D9" s="1187"/>
    </row>
    <row r="10" spans="1:6" ht="15.75" x14ac:dyDescent="0.25">
      <c r="A10" s="1160" t="s">
        <v>162</v>
      </c>
      <c r="B10" s="1254"/>
      <c r="C10" s="1254"/>
      <c r="D10" s="1254"/>
    </row>
    <row r="11" spans="1:6" ht="15.75" x14ac:dyDescent="0.25">
      <c r="A11" s="1254" t="s">
        <v>0</v>
      </c>
      <c r="B11" s="1254"/>
      <c r="C11" s="1254"/>
      <c r="D11" s="1254"/>
    </row>
    <row r="12" spans="1:6" ht="21.95" customHeight="1" x14ac:dyDescent="0.25">
      <c r="B12" s="1"/>
      <c r="C12" s="1"/>
      <c r="D12" s="1"/>
    </row>
    <row r="13" spans="1:6" ht="16.5" thickBot="1" x14ac:dyDescent="0.3">
      <c r="A13" s="831" t="s">
        <v>437</v>
      </c>
      <c r="B13" s="1"/>
      <c r="C13" s="1"/>
      <c r="D13" s="2" t="s">
        <v>269</v>
      </c>
    </row>
    <row r="14" spans="1:6" ht="61.15" customHeight="1" thickBot="1" x14ac:dyDescent="0.25">
      <c r="A14" s="551" t="s">
        <v>438</v>
      </c>
      <c r="B14" s="1255" t="s">
        <v>439</v>
      </c>
      <c r="C14" s="1256"/>
      <c r="D14" s="546" t="s">
        <v>507</v>
      </c>
      <c r="E14" s="547" t="s">
        <v>615</v>
      </c>
      <c r="F14" s="548" t="s">
        <v>460</v>
      </c>
    </row>
    <row r="15" spans="1:6" ht="15" x14ac:dyDescent="0.25">
      <c r="A15" s="1117">
        <v>1</v>
      </c>
      <c r="B15" s="1257">
        <v>2</v>
      </c>
      <c r="C15" s="1258"/>
      <c r="D15" s="1118">
        <v>3</v>
      </c>
      <c r="E15" s="1119">
        <v>4</v>
      </c>
      <c r="F15" s="1120">
        <v>5</v>
      </c>
    </row>
    <row r="16" spans="1:6" ht="15.75" x14ac:dyDescent="0.25">
      <c r="A16" s="1259" t="s">
        <v>505</v>
      </c>
      <c r="B16" s="1260"/>
      <c r="C16" s="1260"/>
      <c r="D16" s="1261"/>
      <c r="E16" s="542"/>
      <c r="F16" s="545"/>
    </row>
    <row r="17" spans="1:6" ht="76.900000000000006" customHeight="1" x14ac:dyDescent="0.25">
      <c r="A17" s="544">
        <v>41021400</v>
      </c>
      <c r="B17" s="1262" t="s">
        <v>394</v>
      </c>
      <c r="C17" s="1263"/>
      <c r="D17" s="553">
        <f>D18</f>
        <v>64371200</v>
      </c>
      <c r="E17" s="558">
        <f>E18</f>
        <v>64371200</v>
      </c>
      <c r="F17" s="780">
        <f>E17/D17*100</f>
        <v>100</v>
      </c>
    </row>
    <row r="18" spans="1:6" ht="22.9" customHeight="1" x14ac:dyDescent="0.25">
      <c r="A18" s="167" t="s">
        <v>440</v>
      </c>
      <c r="B18" s="1250" t="s">
        <v>441</v>
      </c>
      <c r="C18" s="1251"/>
      <c r="D18" s="535">
        <v>64371200</v>
      </c>
      <c r="E18" s="552">
        <v>64371200</v>
      </c>
      <c r="F18" s="571">
        <f t="shared" ref="F18:F40" si="0">E18/D18*100</f>
        <v>100</v>
      </c>
    </row>
    <row r="19" spans="1:6" ht="15.75" x14ac:dyDescent="0.25">
      <c r="A19" s="165" t="s">
        <v>397</v>
      </c>
      <c r="B19" s="1264" t="s">
        <v>398</v>
      </c>
      <c r="C19" s="1265"/>
      <c r="D19" s="536">
        <f>D20</f>
        <v>75510600</v>
      </c>
      <c r="E19" s="558">
        <f>E20</f>
        <v>55408900</v>
      </c>
      <c r="F19" s="780">
        <f t="shared" si="0"/>
        <v>73.378969310269028</v>
      </c>
    </row>
    <row r="20" spans="1:6" ht="22.15" customHeight="1" x14ac:dyDescent="0.25">
      <c r="A20" s="167" t="s">
        <v>440</v>
      </c>
      <c r="B20" s="1250" t="s">
        <v>441</v>
      </c>
      <c r="C20" s="1251"/>
      <c r="D20" s="554">
        <v>75510600</v>
      </c>
      <c r="E20" s="552">
        <v>55408900</v>
      </c>
      <c r="F20" s="571">
        <f t="shared" si="0"/>
        <v>73.378969310269028</v>
      </c>
    </row>
    <row r="21" spans="1:6" ht="22.15" customHeight="1" x14ac:dyDescent="0.25">
      <c r="A21" s="165">
        <v>41040400</v>
      </c>
      <c r="B21" s="1264" t="s">
        <v>564</v>
      </c>
      <c r="C21" s="1265"/>
      <c r="D21" s="536">
        <f>D22</f>
        <v>117948</v>
      </c>
      <c r="E21" s="558">
        <f>E22</f>
        <v>117948</v>
      </c>
      <c r="F21" s="780">
        <f>F22</f>
        <v>100</v>
      </c>
    </row>
    <row r="22" spans="1:6" ht="22.15" customHeight="1" x14ac:dyDescent="0.25">
      <c r="A22" s="170" t="s">
        <v>443</v>
      </c>
      <c r="B22" s="1252" t="s">
        <v>442</v>
      </c>
      <c r="C22" s="1253"/>
      <c r="D22" s="554">
        <v>117948</v>
      </c>
      <c r="E22" s="552">
        <v>117948</v>
      </c>
      <c r="F22" s="571">
        <f t="shared" si="0"/>
        <v>100</v>
      </c>
    </row>
    <row r="23" spans="1:6" ht="64.5" customHeight="1" x14ac:dyDescent="0.25">
      <c r="A23" s="884" t="s">
        <v>623</v>
      </c>
      <c r="B23" s="1248" t="s">
        <v>621</v>
      </c>
      <c r="C23" s="1249"/>
      <c r="D23" s="536">
        <f>D24</f>
        <v>2164782</v>
      </c>
      <c r="E23" s="558">
        <f>E24</f>
        <v>2164782</v>
      </c>
      <c r="F23" s="780">
        <f>E23/D23*100</f>
        <v>100</v>
      </c>
    </row>
    <row r="24" spans="1:6" ht="22.15" customHeight="1" x14ac:dyDescent="0.25">
      <c r="A24" s="167">
        <v>15100000000</v>
      </c>
      <c r="B24" s="1250" t="s">
        <v>442</v>
      </c>
      <c r="C24" s="1251"/>
      <c r="D24" s="554">
        <v>2164782</v>
      </c>
      <c r="E24" s="552">
        <v>2164782</v>
      </c>
      <c r="F24" s="571">
        <f>E24/D24*100</f>
        <v>100</v>
      </c>
    </row>
    <row r="25" spans="1:6" ht="39.6" customHeight="1" x14ac:dyDescent="0.25">
      <c r="A25" s="165" t="s">
        <v>399</v>
      </c>
      <c r="B25" s="1264" t="s">
        <v>400</v>
      </c>
      <c r="C25" s="1265"/>
      <c r="D25" s="536">
        <f>D26</f>
        <v>1766200</v>
      </c>
      <c r="E25" s="558">
        <f>E26</f>
        <v>1296035</v>
      </c>
      <c r="F25" s="571">
        <f t="shared" si="0"/>
        <v>73.379855056052548</v>
      </c>
    </row>
    <row r="26" spans="1:6" ht="25.15" customHeight="1" x14ac:dyDescent="0.25">
      <c r="A26" s="167">
        <v>15100000000</v>
      </c>
      <c r="B26" s="1250" t="s">
        <v>442</v>
      </c>
      <c r="C26" s="1251"/>
      <c r="D26" s="554">
        <v>1766200</v>
      </c>
      <c r="E26" s="552">
        <v>1296035</v>
      </c>
      <c r="F26" s="571">
        <f t="shared" si="0"/>
        <v>73.379855056052548</v>
      </c>
    </row>
    <row r="27" spans="1:6" ht="45.75" customHeight="1" x14ac:dyDescent="0.25">
      <c r="A27" s="165">
        <v>41051200</v>
      </c>
      <c r="B27" s="1264" t="s">
        <v>566</v>
      </c>
      <c r="C27" s="1265"/>
      <c r="D27" s="536">
        <f>D28</f>
        <v>292110</v>
      </c>
      <c r="E27" s="558">
        <f>E28</f>
        <v>292110</v>
      </c>
      <c r="F27" s="571">
        <f t="shared" si="0"/>
        <v>100</v>
      </c>
    </row>
    <row r="28" spans="1:6" ht="25.15" customHeight="1" x14ac:dyDescent="0.25">
      <c r="A28" s="167">
        <v>15100000000</v>
      </c>
      <c r="B28" s="1250" t="s">
        <v>442</v>
      </c>
      <c r="C28" s="1251"/>
      <c r="D28" s="554">
        <v>292110</v>
      </c>
      <c r="E28" s="552">
        <v>292110</v>
      </c>
      <c r="F28" s="571">
        <f t="shared" si="0"/>
        <v>100</v>
      </c>
    </row>
    <row r="29" spans="1:6" ht="48.75" customHeight="1" x14ac:dyDescent="0.25">
      <c r="A29" s="165">
        <v>41051400</v>
      </c>
      <c r="B29" s="1264" t="s">
        <v>622</v>
      </c>
      <c r="C29" s="1265"/>
      <c r="D29" s="554">
        <v>0</v>
      </c>
      <c r="E29" s="558">
        <f>E30</f>
        <v>1049568</v>
      </c>
      <c r="F29" s="571" t="str">
        <f>F30</f>
        <v>х</v>
      </c>
    </row>
    <row r="30" spans="1:6" ht="25.15" customHeight="1" x14ac:dyDescent="0.25">
      <c r="A30" s="167">
        <v>15100000000</v>
      </c>
      <c r="B30" s="1250" t="s">
        <v>442</v>
      </c>
      <c r="C30" s="1251"/>
      <c r="D30" s="554">
        <v>0</v>
      </c>
      <c r="E30" s="552">
        <v>1049568</v>
      </c>
      <c r="F30" s="571" t="s">
        <v>297</v>
      </c>
    </row>
    <row r="31" spans="1:6" ht="48.75" customHeight="1" x14ac:dyDescent="0.25">
      <c r="A31" s="165">
        <v>41051700</v>
      </c>
      <c r="B31" s="1264" t="s">
        <v>567</v>
      </c>
      <c r="C31" s="1265"/>
      <c r="D31" s="536">
        <f>D32</f>
        <v>110550</v>
      </c>
      <c r="E31" s="558">
        <f>E32</f>
        <v>110550</v>
      </c>
      <c r="F31" s="780">
        <v>100</v>
      </c>
    </row>
    <row r="32" spans="1:6" ht="25.15" customHeight="1" x14ac:dyDescent="0.25">
      <c r="A32" s="167">
        <v>15100000000</v>
      </c>
      <c r="B32" s="1250" t="s">
        <v>442</v>
      </c>
      <c r="C32" s="1251"/>
      <c r="D32" s="554">
        <v>110550</v>
      </c>
      <c r="E32" s="552">
        <v>110550</v>
      </c>
      <c r="F32" s="571">
        <v>100</v>
      </c>
    </row>
    <row r="33" spans="1:6" s="169" customFormat="1" ht="38.450000000000003" customHeight="1" x14ac:dyDescent="0.25">
      <c r="A33" s="168">
        <v>41053900</v>
      </c>
      <c r="B33" s="1266" t="s">
        <v>401</v>
      </c>
      <c r="C33" s="1267"/>
      <c r="D33" s="555">
        <f>D34</f>
        <v>28193</v>
      </c>
      <c r="E33" s="559">
        <f>E34</f>
        <v>21099</v>
      </c>
      <c r="F33" s="615">
        <f t="shared" si="0"/>
        <v>74.837725676586388</v>
      </c>
    </row>
    <row r="34" spans="1:6" s="169" customFormat="1" ht="15.75" x14ac:dyDescent="0.25">
      <c r="A34" s="170" t="s">
        <v>443</v>
      </c>
      <c r="B34" s="1252" t="s">
        <v>442</v>
      </c>
      <c r="C34" s="1253"/>
      <c r="D34" s="556">
        <v>28193</v>
      </c>
      <c r="E34" s="781">
        <v>21099</v>
      </c>
      <c r="F34" s="782">
        <f t="shared" si="0"/>
        <v>74.837725676586388</v>
      </c>
    </row>
    <row r="35" spans="1:6" s="169" customFormat="1" ht="35.450000000000003" customHeight="1" x14ac:dyDescent="0.25">
      <c r="A35" s="168">
        <v>41053900</v>
      </c>
      <c r="B35" s="1266" t="s">
        <v>402</v>
      </c>
      <c r="C35" s="1267"/>
      <c r="D35" s="557">
        <f>D36</f>
        <v>91319</v>
      </c>
      <c r="E35" s="559">
        <f>E36</f>
        <v>68490</v>
      </c>
      <c r="F35" s="615">
        <f t="shared" si="0"/>
        <v>75.000821296772841</v>
      </c>
    </row>
    <row r="36" spans="1:6" s="169" customFormat="1" ht="18.600000000000001" customHeight="1" x14ac:dyDescent="0.25">
      <c r="A36" s="170" t="s">
        <v>443</v>
      </c>
      <c r="B36" s="1268" t="s">
        <v>442</v>
      </c>
      <c r="C36" s="1269"/>
      <c r="D36" s="556">
        <v>91319</v>
      </c>
      <c r="E36" s="781">
        <v>68490</v>
      </c>
      <c r="F36" s="782">
        <f t="shared" si="0"/>
        <v>75.000821296772841</v>
      </c>
    </row>
    <row r="37" spans="1:6" s="169" customFormat="1" ht="52.9" customHeight="1" x14ac:dyDescent="0.25">
      <c r="A37" s="168">
        <v>41053900</v>
      </c>
      <c r="B37" s="1266" t="s">
        <v>403</v>
      </c>
      <c r="C37" s="1267"/>
      <c r="D37" s="557">
        <f>D38</f>
        <v>17623</v>
      </c>
      <c r="E37" s="559">
        <f>E38</f>
        <v>14532</v>
      </c>
      <c r="F37" s="615">
        <f t="shared" si="0"/>
        <v>82.460421040685475</v>
      </c>
    </row>
    <row r="38" spans="1:6" s="169" customFormat="1" ht="15.75" x14ac:dyDescent="0.25">
      <c r="A38" s="170" t="s">
        <v>443</v>
      </c>
      <c r="B38" s="1252" t="s">
        <v>442</v>
      </c>
      <c r="C38" s="1253"/>
      <c r="D38" s="783">
        <v>17623</v>
      </c>
      <c r="E38" s="781">
        <v>14532</v>
      </c>
      <c r="F38" s="782">
        <f t="shared" si="0"/>
        <v>82.460421040685475</v>
      </c>
    </row>
    <row r="39" spans="1:6" s="169" customFormat="1" ht="47.25" customHeight="1" x14ac:dyDescent="0.25">
      <c r="A39" s="848" t="s">
        <v>569</v>
      </c>
      <c r="B39" s="1274" t="s">
        <v>568</v>
      </c>
      <c r="C39" s="1274"/>
      <c r="D39" s="784">
        <f>D40</f>
        <v>166311</v>
      </c>
      <c r="E39" s="559">
        <f>E40</f>
        <v>135126</v>
      </c>
      <c r="F39" s="615">
        <f>F40</f>
        <v>81.248985334704258</v>
      </c>
    </row>
    <row r="40" spans="1:6" s="169" customFormat="1" ht="16.5" thickBot="1" x14ac:dyDescent="0.3">
      <c r="A40" s="849">
        <v>15100000000</v>
      </c>
      <c r="B40" s="1275" t="s">
        <v>442</v>
      </c>
      <c r="C40" s="1276"/>
      <c r="D40" s="785">
        <v>166311</v>
      </c>
      <c r="E40" s="786">
        <v>135126</v>
      </c>
      <c r="F40" s="850">
        <f t="shared" si="0"/>
        <v>81.248985334704258</v>
      </c>
    </row>
    <row r="41" spans="1:6" ht="16.5" thickBot="1" x14ac:dyDescent="0.25">
      <c r="A41" s="1277"/>
      <c r="B41" s="1278"/>
      <c r="C41" s="1278"/>
      <c r="D41" s="1278"/>
      <c r="E41" s="1278"/>
      <c r="F41" s="1279"/>
    </row>
    <row r="42" spans="1:6" ht="16.5" thickBot="1" x14ac:dyDescent="0.3">
      <c r="A42" s="1280" t="s">
        <v>506</v>
      </c>
      <c r="B42" s="1281"/>
      <c r="C42" s="1281"/>
      <c r="D42" s="1282"/>
      <c r="E42" s="1121"/>
      <c r="F42" s="1122"/>
    </row>
    <row r="43" spans="1:6" s="171" customFormat="1" ht="36" customHeight="1" x14ac:dyDescent="0.25">
      <c r="A43" s="560">
        <v>41051100</v>
      </c>
      <c r="B43" s="1283" t="s">
        <v>500</v>
      </c>
      <c r="C43" s="1284"/>
      <c r="D43" s="787">
        <f>D44</f>
        <v>696780</v>
      </c>
      <c r="E43" s="561">
        <f>E44</f>
        <v>1620780</v>
      </c>
      <c r="F43" s="1102">
        <f t="shared" ref="F43:F44" si="1">E43/D43*100</f>
        <v>232.61000602772754</v>
      </c>
    </row>
    <row r="44" spans="1:6" s="171" customFormat="1" ht="18.600000000000001" customHeight="1" thickBot="1" x14ac:dyDescent="0.3">
      <c r="A44" s="832" t="s">
        <v>443</v>
      </c>
      <c r="B44" s="1285" t="s">
        <v>442</v>
      </c>
      <c r="C44" s="1286"/>
      <c r="D44" s="788">
        <v>696780</v>
      </c>
      <c r="E44" s="562">
        <v>1620780</v>
      </c>
      <c r="F44" s="1101">
        <f t="shared" si="1"/>
        <v>232.61000602772754</v>
      </c>
    </row>
    <row r="45" spans="1:6" ht="15.75" x14ac:dyDescent="0.25">
      <c r="A45" s="563" t="s">
        <v>6</v>
      </c>
      <c r="B45" s="564" t="s">
        <v>444</v>
      </c>
      <c r="C45" s="565"/>
      <c r="D45" s="561">
        <f>D46+D47</f>
        <v>145333616</v>
      </c>
      <c r="E45" s="561">
        <f>E46+E47</f>
        <v>126671120</v>
      </c>
      <c r="F45" s="569">
        <f t="shared" ref="F45:F47" si="2">E45/D45*100</f>
        <v>87.158858002955071</v>
      </c>
    </row>
    <row r="46" spans="1:6" ht="15.75" x14ac:dyDescent="0.25">
      <c r="A46" s="533" t="s">
        <v>6</v>
      </c>
      <c r="B46" s="172" t="s">
        <v>431</v>
      </c>
      <c r="C46" s="166"/>
      <c r="D46" s="558">
        <f>D17+D19+D25+D33+D35+D37+D39+D31+D21+D27+D23</f>
        <v>144636836</v>
      </c>
      <c r="E46" s="558">
        <f>E17+E19+E25+E33+E35+E37+E39+E31+E27+E21+E29+E23</f>
        <v>125050340</v>
      </c>
      <c r="F46" s="571">
        <f t="shared" si="2"/>
        <v>86.45815509957643</v>
      </c>
    </row>
    <row r="47" spans="1:6" ht="16.5" thickBot="1" x14ac:dyDescent="0.3">
      <c r="A47" s="566" t="s">
        <v>6</v>
      </c>
      <c r="B47" s="186" t="s">
        <v>432</v>
      </c>
      <c r="C47" s="567"/>
      <c r="D47" s="789">
        <v>696780</v>
      </c>
      <c r="E47" s="568">
        <f>E43</f>
        <v>1620780</v>
      </c>
      <c r="F47" s="570">
        <f t="shared" si="2"/>
        <v>232.61000602772754</v>
      </c>
    </row>
    <row r="48" spans="1:6" ht="21.95" customHeight="1" thickBot="1" x14ac:dyDescent="0.3">
      <c r="A48" s="173" t="s">
        <v>445</v>
      </c>
      <c r="B48" s="790"/>
      <c r="C48" s="790"/>
      <c r="D48" s="791" t="s">
        <v>269</v>
      </c>
      <c r="E48" s="1107"/>
      <c r="F48" s="550"/>
    </row>
    <row r="49" spans="1:6" ht="95.25" thickBot="1" x14ac:dyDescent="0.25">
      <c r="A49" s="1108" t="s">
        <v>446</v>
      </c>
      <c r="B49" s="1109" t="s">
        <v>447</v>
      </c>
      <c r="C49" s="1110" t="s">
        <v>448</v>
      </c>
      <c r="D49" s="546" t="s">
        <v>507</v>
      </c>
      <c r="E49" s="548" t="s">
        <v>615</v>
      </c>
      <c r="F49" s="1106" t="s">
        <v>460</v>
      </c>
    </row>
    <row r="50" spans="1:6" ht="15.75" x14ac:dyDescent="0.2">
      <c r="A50" s="1111">
        <v>1</v>
      </c>
      <c r="B50" s="1112">
        <v>2</v>
      </c>
      <c r="C50" s="1112">
        <v>3</v>
      </c>
      <c r="D50" s="1113">
        <v>4</v>
      </c>
      <c r="E50" s="1114"/>
      <c r="F50" s="1115"/>
    </row>
    <row r="51" spans="1:6" ht="15.75" customHeight="1" x14ac:dyDescent="0.25">
      <c r="A51" s="1270" t="s">
        <v>449</v>
      </c>
      <c r="B51" s="1271"/>
      <c r="C51" s="1272"/>
      <c r="D51" s="537"/>
      <c r="E51" s="542"/>
      <c r="F51" s="545"/>
    </row>
    <row r="52" spans="1:6" s="164" customFormat="1" ht="37.9" hidden="1" customHeight="1" x14ac:dyDescent="0.25">
      <c r="A52" s="174">
        <v>41053900</v>
      </c>
      <c r="B52" s="175">
        <v>9770</v>
      </c>
      <c r="C52" s="176" t="s">
        <v>450</v>
      </c>
      <c r="D52" s="537">
        <f>D53</f>
        <v>0</v>
      </c>
      <c r="E52" s="543"/>
      <c r="F52" s="549"/>
    </row>
    <row r="53" spans="1:6" ht="24" hidden="1" customHeight="1" x14ac:dyDescent="0.25">
      <c r="A53" s="167">
        <v>15327200000</v>
      </c>
      <c r="B53" s="532"/>
      <c r="C53" s="177" t="s">
        <v>451</v>
      </c>
      <c r="D53" s="538">
        <f>300000-300000</f>
        <v>0</v>
      </c>
      <c r="E53" s="542"/>
      <c r="F53" s="545"/>
    </row>
    <row r="54" spans="1:6" ht="47.25" x14ac:dyDescent="0.2">
      <c r="A54" s="178" t="s">
        <v>511</v>
      </c>
      <c r="B54" s="179">
        <v>9800</v>
      </c>
      <c r="C54" s="833" t="s">
        <v>512</v>
      </c>
      <c r="D54" s="539">
        <f>D55</f>
        <v>37892364</v>
      </c>
      <c r="E54" s="539">
        <f>E55</f>
        <v>37892364</v>
      </c>
      <c r="F54" s="616">
        <f>F55</f>
        <v>100</v>
      </c>
    </row>
    <row r="55" spans="1:6" ht="15.75" x14ac:dyDescent="0.25">
      <c r="A55" s="834" t="s">
        <v>440</v>
      </c>
      <c r="B55" s="835">
        <v>9800</v>
      </c>
      <c r="C55" s="836" t="s">
        <v>441</v>
      </c>
      <c r="D55" s="837">
        <v>37892364</v>
      </c>
      <c r="E55" s="837">
        <v>37892364</v>
      </c>
      <c r="F55" s="838">
        <f t="shared" ref="F55:F57" si="3">E55/D55*100</f>
        <v>100</v>
      </c>
    </row>
    <row r="56" spans="1:6" ht="15.75" x14ac:dyDescent="0.25">
      <c r="A56" s="178" t="s">
        <v>694</v>
      </c>
      <c r="B56" s="839">
        <v>9770</v>
      </c>
      <c r="C56" s="1103" t="s">
        <v>450</v>
      </c>
      <c r="D56" s="591">
        <v>180000</v>
      </c>
      <c r="E56" s="591">
        <v>180000</v>
      </c>
      <c r="F56" s="1104">
        <f t="shared" si="3"/>
        <v>100</v>
      </c>
    </row>
    <row r="57" spans="1:6" ht="19.899999999999999" customHeight="1" x14ac:dyDescent="0.25">
      <c r="A57" s="170" t="s">
        <v>695</v>
      </c>
      <c r="B57" s="180">
        <v>9770</v>
      </c>
      <c r="C57" s="181" t="s">
        <v>451</v>
      </c>
      <c r="D57" s="837">
        <v>180000</v>
      </c>
      <c r="E57" s="837">
        <v>180000</v>
      </c>
      <c r="F57" s="838">
        <f t="shared" si="3"/>
        <v>100</v>
      </c>
    </row>
    <row r="58" spans="1:6" ht="20.100000000000001" customHeight="1" x14ac:dyDescent="0.25">
      <c r="A58" s="1270" t="s">
        <v>452</v>
      </c>
      <c r="B58" s="1271"/>
      <c r="C58" s="1271"/>
      <c r="D58" s="1272"/>
      <c r="E58" s="542"/>
      <c r="F58" s="545"/>
    </row>
    <row r="59" spans="1:6" ht="47.25" x14ac:dyDescent="0.2">
      <c r="A59" s="178" t="s">
        <v>511</v>
      </c>
      <c r="B59" s="179">
        <v>9800</v>
      </c>
      <c r="C59" s="833" t="s">
        <v>512</v>
      </c>
      <c r="D59" s="840">
        <f>D60</f>
        <v>36195400</v>
      </c>
      <c r="E59" s="841">
        <f>E60</f>
        <v>29195400</v>
      </c>
      <c r="F59" s="842">
        <f>F60</f>
        <v>80.660525923183613</v>
      </c>
    </row>
    <row r="60" spans="1:6" ht="20.100000000000001" customHeight="1" x14ac:dyDescent="0.2">
      <c r="A60" s="834" t="s">
        <v>440</v>
      </c>
      <c r="B60" s="835">
        <v>9800</v>
      </c>
      <c r="C60" s="843" t="s">
        <v>441</v>
      </c>
      <c r="D60" s="844">
        <v>36195400</v>
      </c>
      <c r="E60" s="845">
        <v>29195400</v>
      </c>
      <c r="F60" s="846">
        <f t="shared" ref="F60:F63" si="4">E60/D60*100</f>
        <v>80.660525923183613</v>
      </c>
    </row>
    <row r="61" spans="1:6" ht="15.75" x14ac:dyDescent="0.25">
      <c r="A61" s="182" t="s">
        <v>6</v>
      </c>
      <c r="B61" s="183" t="s">
        <v>6</v>
      </c>
      <c r="C61" s="172" t="s">
        <v>444</v>
      </c>
      <c r="D61" s="537">
        <f>D62+D63</f>
        <v>74267764</v>
      </c>
      <c r="E61" s="1105">
        <f>E62+E63</f>
        <v>67267764</v>
      </c>
      <c r="F61" s="847">
        <f t="shared" si="4"/>
        <v>90.574645548774029</v>
      </c>
    </row>
    <row r="62" spans="1:6" ht="15.75" x14ac:dyDescent="0.25">
      <c r="A62" s="182" t="s">
        <v>6</v>
      </c>
      <c r="B62" s="183" t="s">
        <v>6</v>
      </c>
      <c r="C62" s="172" t="s">
        <v>431</v>
      </c>
      <c r="D62" s="540">
        <f>D54+D56</f>
        <v>38072364</v>
      </c>
      <c r="E62" s="1105">
        <f>E55+E56</f>
        <v>38072364</v>
      </c>
      <c r="F62" s="847">
        <f t="shared" si="4"/>
        <v>100</v>
      </c>
    </row>
    <row r="63" spans="1:6" ht="16.5" thickBot="1" x14ac:dyDescent="0.3">
      <c r="A63" s="184" t="s">
        <v>6</v>
      </c>
      <c r="B63" s="185" t="s">
        <v>6</v>
      </c>
      <c r="C63" s="186" t="s">
        <v>432</v>
      </c>
      <c r="D63" s="541">
        <f>D59</f>
        <v>36195400</v>
      </c>
      <c r="E63" s="568">
        <f>E59</f>
        <v>29195400</v>
      </c>
      <c r="F63" s="1116">
        <f t="shared" si="4"/>
        <v>80.660525923183613</v>
      </c>
    </row>
    <row r="64" spans="1:6" ht="15.75" x14ac:dyDescent="0.25">
      <c r="A64" s="1"/>
      <c r="B64" s="1"/>
      <c r="C64" s="1"/>
      <c r="D64" s="1"/>
    </row>
    <row r="65" spans="1:16" s="84" customFormat="1" ht="42.6" customHeight="1" x14ac:dyDescent="0.25">
      <c r="A65" s="1273" t="s">
        <v>504</v>
      </c>
      <c r="B65" s="1273"/>
      <c r="C65" s="1273"/>
      <c r="D65" s="1273"/>
      <c r="E65" s="1273"/>
      <c r="F65" s="1273"/>
      <c r="G65" s="187"/>
      <c r="H65" s="187"/>
      <c r="I65" s="187"/>
      <c r="K65" s="187"/>
      <c r="L65" s="188"/>
      <c r="M65" s="187"/>
      <c r="N65" s="189"/>
      <c r="O65" s="190"/>
      <c r="P65" s="191"/>
    </row>
    <row r="66" spans="1:16" s="194" customFormat="1" ht="20.45" customHeight="1" x14ac:dyDescent="0.3">
      <c r="A66" s="192"/>
      <c r="B66" s="193"/>
      <c r="C66" s="1"/>
      <c r="D66" s="193"/>
    </row>
    <row r="67" spans="1:16" ht="15.75" x14ac:dyDescent="0.25">
      <c r="A67" s="1"/>
      <c r="B67" s="1"/>
      <c r="D67" s="1"/>
    </row>
  </sheetData>
  <mergeCells count="37">
    <mergeCell ref="A51:C51"/>
    <mergeCell ref="A58:D58"/>
    <mergeCell ref="A65:F65"/>
    <mergeCell ref="B39:C39"/>
    <mergeCell ref="B40:C40"/>
    <mergeCell ref="A41:F41"/>
    <mergeCell ref="A42:D42"/>
    <mergeCell ref="B43:C43"/>
    <mergeCell ref="B44:C44"/>
    <mergeCell ref="B38:C38"/>
    <mergeCell ref="B25:C25"/>
    <mergeCell ref="B26:C26"/>
    <mergeCell ref="B27:C27"/>
    <mergeCell ref="B28:C28"/>
    <mergeCell ref="B31:C31"/>
    <mergeCell ref="B32:C32"/>
    <mergeCell ref="B33:C33"/>
    <mergeCell ref="B34:C34"/>
    <mergeCell ref="B35:C35"/>
    <mergeCell ref="B36:C36"/>
    <mergeCell ref="B37:C37"/>
    <mergeCell ref="B29:C29"/>
    <mergeCell ref="B30:C30"/>
    <mergeCell ref="B23:C23"/>
    <mergeCell ref="B24:C24"/>
    <mergeCell ref="B22:C22"/>
    <mergeCell ref="A9:D9"/>
    <mergeCell ref="A10:D10"/>
    <mergeCell ref="A11:D11"/>
    <mergeCell ref="B14:C14"/>
    <mergeCell ref="B15:C15"/>
    <mergeCell ref="A16:D16"/>
    <mergeCell ref="B17:C17"/>
    <mergeCell ref="B18:C18"/>
    <mergeCell ref="B19:C19"/>
    <mergeCell ref="B20:C20"/>
    <mergeCell ref="B21:C21"/>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V121"/>
  <sheetViews>
    <sheetView view="pageBreakPreview" topLeftCell="A6" zoomScale="60" zoomScaleNormal="100" workbookViewId="0">
      <selection activeCell="M14" sqref="M14"/>
    </sheetView>
  </sheetViews>
  <sheetFormatPr defaultColWidth="8.85546875" defaultRowHeight="15.75" x14ac:dyDescent="0.2"/>
  <cols>
    <col min="1" max="1" width="12.5703125" style="11" customWidth="1"/>
    <col min="2" max="2" width="7.5703125" style="11" customWidth="1"/>
    <col min="3" max="3" width="8.28515625" style="285" customWidth="1"/>
    <col min="4" max="4" width="31.5703125" style="11" customWidth="1"/>
    <col min="5" max="5" width="31.85546875" style="11" customWidth="1"/>
    <col min="6" max="6" width="30.85546875" style="5" customWidth="1"/>
    <col min="7" max="7" width="15.7109375" style="21" customWidth="1"/>
    <col min="8" max="8" width="16.42578125" style="286" customWidth="1"/>
    <col min="9" max="9" width="16.7109375" style="293" customWidth="1"/>
    <col min="10" max="10" width="16.140625" style="286" customWidth="1"/>
    <col min="11" max="11" width="15" style="286" customWidth="1"/>
    <col min="12" max="12" width="16" style="286" customWidth="1"/>
    <col min="13" max="13" width="16.5703125" style="286" customWidth="1"/>
    <col min="14" max="14" width="16.28515625" style="286" customWidth="1"/>
    <col min="15" max="15" width="9.7109375" style="288" customWidth="1"/>
    <col min="16" max="256" width="8.85546875" style="11"/>
    <col min="257" max="257" width="12.5703125" style="11" customWidth="1"/>
    <col min="258" max="258" width="9.85546875" style="11" customWidth="1"/>
    <col min="259" max="259" width="9.5703125" style="11" customWidth="1"/>
    <col min="260" max="260" width="30.5703125" style="11" customWidth="1"/>
    <col min="261" max="261" width="28.85546875" style="11" customWidth="1"/>
    <col min="262" max="262" width="21.42578125" style="11" customWidth="1"/>
    <col min="263" max="263" width="18" style="11" customWidth="1"/>
    <col min="264" max="264" width="15.85546875" style="11" customWidth="1"/>
    <col min="265" max="265" width="16.5703125" style="11" customWidth="1"/>
    <col min="266" max="266" width="18.85546875" style="11" customWidth="1"/>
    <col min="267" max="267" width="16.42578125" style="11" customWidth="1"/>
    <col min="268" max="268" width="16.140625" style="11" customWidth="1"/>
    <col min="269" max="269" width="19.7109375" style="11" customWidth="1"/>
    <col min="270" max="270" width="14.85546875" style="11" customWidth="1"/>
    <col min="271" max="271" width="11.5703125" style="11" customWidth="1"/>
    <col min="272" max="512" width="8.85546875" style="11"/>
    <col min="513" max="513" width="12.5703125" style="11" customWidth="1"/>
    <col min="514" max="514" width="9.85546875" style="11" customWidth="1"/>
    <col min="515" max="515" width="9.5703125" style="11" customWidth="1"/>
    <col min="516" max="516" width="30.5703125" style="11" customWidth="1"/>
    <col min="517" max="517" width="28.85546875" style="11" customWidth="1"/>
    <col min="518" max="518" width="21.42578125" style="11" customWidth="1"/>
    <col min="519" max="519" width="18" style="11" customWidth="1"/>
    <col min="520" max="520" width="15.85546875" style="11" customWidth="1"/>
    <col min="521" max="521" width="16.5703125" style="11" customWidth="1"/>
    <col min="522" max="522" width="18.85546875" style="11" customWidth="1"/>
    <col min="523" max="523" width="16.42578125" style="11" customWidth="1"/>
    <col min="524" max="524" width="16.140625" style="11" customWidth="1"/>
    <col min="525" max="525" width="19.7109375" style="11" customWidth="1"/>
    <col min="526" max="526" width="14.85546875" style="11" customWidth="1"/>
    <col min="527" max="527" width="11.5703125" style="11" customWidth="1"/>
    <col min="528" max="768" width="8.85546875" style="11"/>
    <col min="769" max="769" width="12.5703125" style="11" customWidth="1"/>
    <col min="770" max="770" width="9.85546875" style="11" customWidth="1"/>
    <col min="771" max="771" width="9.5703125" style="11" customWidth="1"/>
    <col min="772" max="772" width="30.5703125" style="11" customWidth="1"/>
    <col min="773" max="773" width="28.85546875" style="11" customWidth="1"/>
    <col min="774" max="774" width="21.42578125" style="11" customWidth="1"/>
    <col min="775" max="775" width="18" style="11" customWidth="1"/>
    <col min="776" max="776" width="15.85546875" style="11" customWidth="1"/>
    <col min="777" max="777" width="16.5703125" style="11" customWidth="1"/>
    <col min="778" max="778" width="18.85546875" style="11" customWidth="1"/>
    <col min="779" max="779" width="16.42578125" style="11" customWidth="1"/>
    <col min="780" max="780" width="16.140625" style="11" customWidth="1"/>
    <col min="781" max="781" width="19.7109375" style="11" customWidth="1"/>
    <col min="782" max="782" width="14.85546875" style="11" customWidth="1"/>
    <col min="783" max="783" width="11.5703125" style="11" customWidth="1"/>
    <col min="784" max="1024" width="8.85546875" style="11"/>
    <col min="1025" max="1025" width="12.5703125" style="11" customWidth="1"/>
    <col min="1026" max="1026" width="9.85546875" style="11" customWidth="1"/>
    <col min="1027" max="1027" width="9.5703125" style="11" customWidth="1"/>
    <col min="1028" max="1028" width="30.5703125" style="11" customWidth="1"/>
    <col min="1029" max="1029" width="28.85546875" style="11" customWidth="1"/>
    <col min="1030" max="1030" width="21.42578125" style="11" customWidth="1"/>
    <col min="1031" max="1031" width="18" style="11" customWidth="1"/>
    <col min="1032" max="1032" width="15.85546875" style="11" customWidth="1"/>
    <col min="1033" max="1033" width="16.5703125" style="11" customWidth="1"/>
    <col min="1034" max="1034" width="18.85546875" style="11" customWidth="1"/>
    <col min="1035" max="1035" width="16.42578125" style="11" customWidth="1"/>
    <col min="1036" max="1036" width="16.140625" style="11" customWidth="1"/>
    <col min="1037" max="1037" width="19.7109375" style="11" customWidth="1"/>
    <col min="1038" max="1038" width="14.85546875" style="11" customWidth="1"/>
    <col min="1039" max="1039" width="11.5703125" style="11" customWidth="1"/>
    <col min="1040" max="1280" width="8.85546875" style="11"/>
    <col min="1281" max="1281" width="12.5703125" style="11" customWidth="1"/>
    <col min="1282" max="1282" width="9.85546875" style="11" customWidth="1"/>
    <col min="1283" max="1283" width="9.5703125" style="11" customWidth="1"/>
    <col min="1284" max="1284" width="30.5703125" style="11" customWidth="1"/>
    <col min="1285" max="1285" width="28.85546875" style="11" customWidth="1"/>
    <col min="1286" max="1286" width="21.42578125" style="11" customWidth="1"/>
    <col min="1287" max="1287" width="18" style="11" customWidth="1"/>
    <col min="1288" max="1288" width="15.85546875" style="11" customWidth="1"/>
    <col min="1289" max="1289" width="16.5703125" style="11" customWidth="1"/>
    <col min="1290" max="1290" width="18.85546875" style="11" customWidth="1"/>
    <col min="1291" max="1291" width="16.42578125" style="11" customWidth="1"/>
    <col min="1292" max="1292" width="16.140625" style="11" customWidth="1"/>
    <col min="1293" max="1293" width="19.7109375" style="11" customWidth="1"/>
    <col min="1294" max="1294" width="14.85546875" style="11" customWidth="1"/>
    <col min="1295" max="1295" width="11.5703125" style="11" customWidth="1"/>
    <col min="1296" max="1536" width="8.85546875" style="11"/>
    <col min="1537" max="1537" width="12.5703125" style="11" customWidth="1"/>
    <col min="1538" max="1538" width="9.85546875" style="11" customWidth="1"/>
    <col min="1539" max="1539" width="9.5703125" style="11" customWidth="1"/>
    <col min="1540" max="1540" width="30.5703125" style="11" customWidth="1"/>
    <col min="1541" max="1541" width="28.85546875" style="11" customWidth="1"/>
    <col min="1542" max="1542" width="21.42578125" style="11" customWidth="1"/>
    <col min="1543" max="1543" width="18" style="11" customWidth="1"/>
    <col min="1544" max="1544" width="15.85546875" style="11" customWidth="1"/>
    <col min="1545" max="1545" width="16.5703125" style="11" customWidth="1"/>
    <col min="1546" max="1546" width="18.85546875" style="11" customWidth="1"/>
    <col min="1547" max="1547" width="16.42578125" style="11" customWidth="1"/>
    <col min="1548" max="1548" width="16.140625" style="11" customWidth="1"/>
    <col min="1549" max="1549" width="19.7109375" style="11" customWidth="1"/>
    <col min="1550" max="1550" width="14.85546875" style="11" customWidth="1"/>
    <col min="1551" max="1551" width="11.5703125" style="11" customWidth="1"/>
    <col min="1552" max="1792" width="8.85546875" style="11"/>
    <col min="1793" max="1793" width="12.5703125" style="11" customWidth="1"/>
    <col min="1794" max="1794" width="9.85546875" style="11" customWidth="1"/>
    <col min="1795" max="1795" width="9.5703125" style="11" customWidth="1"/>
    <col min="1796" max="1796" width="30.5703125" style="11" customWidth="1"/>
    <col min="1797" max="1797" width="28.85546875" style="11" customWidth="1"/>
    <col min="1798" max="1798" width="21.42578125" style="11" customWidth="1"/>
    <col min="1799" max="1799" width="18" style="11" customWidth="1"/>
    <col min="1800" max="1800" width="15.85546875" style="11" customWidth="1"/>
    <col min="1801" max="1801" width="16.5703125" style="11" customWidth="1"/>
    <col min="1802" max="1802" width="18.85546875" style="11" customWidth="1"/>
    <col min="1803" max="1803" width="16.42578125" style="11" customWidth="1"/>
    <col min="1804" max="1804" width="16.140625" style="11" customWidth="1"/>
    <col min="1805" max="1805" width="19.7109375" style="11" customWidth="1"/>
    <col min="1806" max="1806" width="14.85546875" style="11" customWidth="1"/>
    <col min="1807" max="1807" width="11.5703125" style="11" customWidth="1"/>
    <col min="1808" max="2048" width="8.85546875" style="11"/>
    <col min="2049" max="2049" width="12.5703125" style="11" customWidth="1"/>
    <col min="2050" max="2050" width="9.85546875" style="11" customWidth="1"/>
    <col min="2051" max="2051" width="9.5703125" style="11" customWidth="1"/>
    <col min="2052" max="2052" width="30.5703125" style="11" customWidth="1"/>
    <col min="2053" max="2053" width="28.85546875" style="11" customWidth="1"/>
    <col min="2054" max="2054" width="21.42578125" style="11" customWidth="1"/>
    <col min="2055" max="2055" width="18" style="11" customWidth="1"/>
    <col min="2056" max="2056" width="15.85546875" style="11" customWidth="1"/>
    <col min="2057" max="2057" width="16.5703125" style="11" customWidth="1"/>
    <col min="2058" max="2058" width="18.85546875" style="11" customWidth="1"/>
    <col min="2059" max="2059" width="16.42578125" style="11" customWidth="1"/>
    <col min="2060" max="2060" width="16.140625" style="11" customWidth="1"/>
    <col min="2061" max="2061" width="19.7109375" style="11" customWidth="1"/>
    <col min="2062" max="2062" width="14.85546875" style="11" customWidth="1"/>
    <col min="2063" max="2063" width="11.5703125" style="11" customWidth="1"/>
    <col min="2064" max="2304" width="8.85546875" style="11"/>
    <col min="2305" max="2305" width="12.5703125" style="11" customWidth="1"/>
    <col min="2306" max="2306" width="9.85546875" style="11" customWidth="1"/>
    <col min="2307" max="2307" width="9.5703125" style="11" customWidth="1"/>
    <col min="2308" max="2308" width="30.5703125" style="11" customWidth="1"/>
    <col min="2309" max="2309" width="28.85546875" style="11" customWidth="1"/>
    <col min="2310" max="2310" width="21.42578125" style="11" customWidth="1"/>
    <col min="2311" max="2311" width="18" style="11" customWidth="1"/>
    <col min="2312" max="2312" width="15.85546875" style="11" customWidth="1"/>
    <col min="2313" max="2313" width="16.5703125" style="11" customWidth="1"/>
    <col min="2314" max="2314" width="18.85546875" style="11" customWidth="1"/>
    <col min="2315" max="2315" width="16.42578125" style="11" customWidth="1"/>
    <col min="2316" max="2316" width="16.140625" style="11" customWidth="1"/>
    <col min="2317" max="2317" width="19.7109375" style="11" customWidth="1"/>
    <col min="2318" max="2318" width="14.85546875" style="11" customWidth="1"/>
    <col min="2319" max="2319" width="11.5703125" style="11" customWidth="1"/>
    <col min="2320" max="2560" width="8.85546875" style="11"/>
    <col min="2561" max="2561" width="12.5703125" style="11" customWidth="1"/>
    <col min="2562" max="2562" width="9.85546875" style="11" customWidth="1"/>
    <col min="2563" max="2563" width="9.5703125" style="11" customWidth="1"/>
    <col min="2564" max="2564" width="30.5703125" style="11" customWidth="1"/>
    <col min="2565" max="2565" width="28.85546875" style="11" customWidth="1"/>
    <col min="2566" max="2566" width="21.42578125" style="11" customWidth="1"/>
    <col min="2567" max="2567" width="18" style="11" customWidth="1"/>
    <col min="2568" max="2568" width="15.85546875" style="11" customWidth="1"/>
    <col min="2569" max="2569" width="16.5703125" style="11" customWidth="1"/>
    <col min="2570" max="2570" width="18.85546875" style="11" customWidth="1"/>
    <col min="2571" max="2571" width="16.42578125" style="11" customWidth="1"/>
    <col min="2572" max="2572" width="16.140625" style="11" customWidth="1"/>
    <col min="2573" max="2573" width="19.7109375" style="11" customWidth="1"/>
    <col min="2574" max="2574" width="14.85546875" style="11" customWidth="1"/>
    <col min="2575" max="2575" width="11.5703125" style="11" customWidth="1"/>
    <col min="2576" max="2816" width="8.85546875" style="11"/>
    <col min="2817" max="2817" width="12.5703125" style="11" customWidth="1"/>
    <col min="2818" max="2818" width="9.85546875" style="11" customWidth="1"/>
    <col min="2819" max="2819" width="9.5703125" style="11" customWidth="1"/>
    <col min="2820" max="2820" width="30.5703125" style="11" customWidth="1"/>
    <col min="2821" max="2821" width="28.85546875" style="11" customWidth="1"/>
    <col min="2822" max="2822" width="21.42578125" style="11" customWidth="1"/>
    <col min="2823" max="2823" width="18" style="11" customWidth="1"/>
    <col min="2824" max="2824" width="15.85546875" style="11" customWidth="1"/>
    <col min="2825" max="2825" width="16.5703125" style="11" customWidth="1"/>
    <col min="2826" max="2826" width="18.85546875" style="11" customWidth="1"/>
    <col min="2827" max="2827" width="16.42578125" style="11" customWidth="1"/>
    <col min="2828" max="2828" width="16.140625" style="11" customWidth="1"/>
    <col min="2829" max="2829" width="19.7109375" style="11" customWidth="1"/>
    <col min="2830" max="2830" width="14.85546875" style="11" customWidth="1"/>
    <col min="2831" max="2831" width="11.5703125" style="11" customWidth="1"/>
    <col min="2832" max="3072" width="8.85546875" style="11"/>
    <col min="3073" max="3073" width="12.5703125" style="11" customWidth="1"/>
    <col min="3074" max="3074" width="9.85546875" style="11" customWidth="1"/>
    <col min="3075" max="3075" width="9.5703125" style="11" customWidth="1"/>
    <col min="3076" max="3076" width="30.5703125" style="11" customWidth="1"/>
    <col min="3077" max="3077" width="28.85546875" style="11" customWidth="1"/>
    <col min="3078" max="3078" width="21.42578125" style="11" customWidth="1"/>
    <col min="3079" max="3079" width="18" style="11" customWidth="1"/>
    <col min="3080" max="3080" width="15.85546875" style="11" customWidth="1"/>
    <col min="3081" max="3081" width="16.5703125" style="11" customWidth="1"/>
    <col min="3082" max="3082" width="18.85546875" style="11" customWidth="1"/>
    <col min="3083" max="3083" width="16.42578125" style="11" customWidth="1"/>
    <col min="3084" max="3084" width="16.140625" style="11" customWidth="1"/>
    <col min="3085" max="3085" width="19.7109375" style="11" customWidth="1"/>
    <col min="3086" max="3086" width="14.85546875" style="11" customWidth="1"/>
    <col min="3087" max="3087" width="11.5703125" style="11" customWidth="1"/>
    <col min="3088" max="3328" width="8.85546875" style="11"/>
    <col min="3329" max="3329" width="12.5703125" style="11" customWidth="1"/>
    <col min="3330" max="3330" width="9.85546875" style="11" customWidth="1"/>
    <col min="3331" max="3331" width="9.5703125" style="11" customWidth="1"/>
    <col min="3332" max="3332" width="30.5703125" style="11" customWidth="1"/>
    <col min="3333" max="3333" width="28.85546875" style="11" customWidth="1"/>
    <col min="3334" max="3334" width="21.42578125" style="11" customWidth="1"/>
    <col min="3335" max="3335" width="18" style="11" customWidth="1"/>
    <col min="3336" max="3336" width="15.85546875" style="11" customWidth="1"/>
    <col min="3337" max="3337" width="16.5703125" style="11" customWidth="1"/>
    <col min="3338" max="3338" width="18.85546875" style="11" customWidth="1"/>
    <col min="3339" max="3339" width="16.42578125" style="11" customWidth="1"/>
    <col min="3340" max="3340" width="16.140625" style="11" customWidth="1"/>
    <col min="3341" max="3341" width="19.7109375" style="11" customWidth="1"/>
    <col min="3342" max="3342" width="14.85546875" style="11" customWidth="1"/>
    <col min="3343" max="3343" width="11.5703125" style="11" customWidth="1"/>
    <col min="3344" max="3584" width="8.85546875" style="11"/>
    <col min="3585" max="3585" width="12.5703125" style="11" customWidth="1"/>
    <col min="3586" max="3586" width="9.85546875" style="11" customWidth="1"/>
    <col min="3587" max="3587" width="9.5703125" style="11" customWidth="1"/>
    <col min="3588" max="3588" width="30.5703125" style="11" customWidth="1"/>
    <col min="3589" max="3589" width="28.85546875" style="11" customWidth="1"/>
    <col min="3590" max="3590" width="21.42578125" style="11" customWidth="1"/>
    <col min="3591" max="3591" width="18" style="11" customWidth="1"/>
    <col min="3592" max="3592" width="15.85546875" style="11" customWidth="1"/>
    <col min="3593" max="3593" width="16.5703125" style="11" customWidth="1"/>
    <col min="3594" max="3594" width="18.85546875" style="11" customWidth="1"/>
    <col min="3595" max="3595" width="16.42578125" style="11" customWidth="1"/>
    <col min="3596" max="3596" width="16.140625" style="11" customWidth="1"/>
    <col min="3597" max="3597" width="19.7109375" style="11" customWidth="1"/>
    <col min="3598" max="3598" width="14.85546875" style="11" customWidth="1"/>
    <col min="3599" max="3599" width="11.5703125" style="11" customWidth="1"/>
    <col min="3600" max="3840" width="8.85546875" style="11"/>
    <col min="3841" max="3841" width="12.5703125" style="11" customWidth="1"/>
    <col min="3842" max="3842" width="9.85546875" style="11" customWidth="1"/>
    <col min="3843" max="3843" width="9.5703125" style="11" customWidth="1"/>
    <col min="3844" max="3844" width="30.5703125" style="11" customWidth="1"/>
    <col min="3845" max="3845" width="28.85546875" style="11" customWidth="1"/>
    <col min="3846" max="3846" width="21.42578125" style="11" customWidth="1"/>
    <col min="3847" max="3847" width="18" style="11" customWidth="1"/>
    <col min="3848" max="3848" width="15.85546875" style="11" customWidth="1"/>
    <col min="3849" max="3849" width="16.5703125" style="11" customWidth="1"/>
    <col min="3850" max="3850" width="18.85546875" style="11" customWidth="1"/>
    <col min="3851" max="3851" width="16.42578125" style="11" customWidth="1"/>
    <col min="3852" max="3852" width="16.140625" style="11" customWidth="1"/>
    <col min="3853" max="3853" width="19.7109375" style="11" customWidth="1"/>
    <col min="3854" max="3854" width="14.85546875" style="11" customWidth="1"/>
    <col min="3855" max="3855" width="11.5703125" style="11" customWidth="1"/>
    <col min="3856" max="4096" width="8.85546875" style="11"/>
    <col min="4097" max="4097" width="12.5703125" style="11" customWidth="1"/>
    <col min="4098" max="4098" width="9.85546875" style="11" customWidth="1"/>
    <col min="4099" max="4099" width="9.5703125" style="11" customWidth="1"/>
    <col min="4100" max="4100" width="30.5703125" style="11" customWidth="1"/>
    <col min="4101" max="4101" width="28.85546875" style="11" customWidth="1"/>
    <col min="4102" max="4102" width="21.42578125" style="11" customWidth="1"/>
    <col min="4103" max="4103" width="18" style="11" customWidth="1"/>
    <col min="4104" max="4104" width="15.85546875" style="11" customWidth="1"/>
    <col min="4105" max="4105" width="16.5703125" style="11" customWidth="1"/>
    <col min="4106" max="4106" width="18.85546875" style="11" customWidth="1"/>
    <col min="4107" max="4107" width="16.42578125" style="11" customWidth="1"/>
    <col min="4108" max="4108" width="16.140625" style="11" customWidth="1"/>
    <col min="4109" max="4109" width="19.7109375" style="11" customWidth="1"/>
    <col min="4110" max="4110" width="14.85546875" style="11" customWidth="1"/>
    <col min="4111" max="4111" width="11.5703125" style="11" customWidth="1"/>
    <col min="4112" max="4352" width="8.85546875" style="11"/>
    <col min="4353" max="4353" width="12.5703125" style="11" customWidth="1"/>
    <col min="4354" max="4354" width="9.85546875" style="11" customWidth="1"/>
    <col min="4355" max="4355" width="9.5703125" style="11" customWidth="1"/>
    <col min="4356" max="4356" width="30.5703125" style="11" customWidth="1"/>
    <col min="4357" max="4357" width="28.85546875" style="11" customWidth="1"/>
    <col min="4358" max="4358" width="21.42578125" style="11" customWidth="1"/>
    <col min="4359" max="4359" width="18" style="11" customWidth="1"/>
    <col min="4360" max="4360" width="15.85546875" style="11" customWidth="1"/>
    <col min="4361" max="4361" width="16.5703125" style="11" customWidth="1"/>
    <col min="4362" max="4362" width="18.85546875" style="11" customWidth="1"/>
    <col min="4363" max="4363" width="16.42578125" style="11" customWidth="1"/>
    <col min="4364" max="4364" width="16.140625" style="11" customWidth="1"/>
    <col min="4365" max="4365" width="19.7109375" style="11" customWidth="1"/>
    <col min="4366" max="4366" width="14.85546875" style="11" customWidth="1"/>
    <col min="4367" max="4367" width="11.5703125" style="11" customWidth="1"/>
    <col min="4368" max="4608" width="8.85546875" style="11"/>
    <col min="4609" max="4609" width="12.5703125" style="11" customWidth="1"/>
    <col min="4610" max="4610" width="9.85546875" style="11" customWidth="1"/>
    <col min="4611" max="4611" width="9.5703125" style="11" customWidth="1"/>
    <col min="4612" max="4612" width="30.5703125" style="11" customWidth="1"/>
    <col min="4613" max="4613" width="28.85546875" style="11" customWidth="1"/>
    <col min="4614" max="4614" width="21.42578125" style="11" customWidth="1"/>
    <col min="4615" max="4615" width="18" style="11" customWidth="1"/>
    <col min="4616" max="4616" width="15.85546875" style="11" customWidth="1"/>
    <col min="4617" max="4617" width="16.5703125" style="11" customWidth="1"/>
    <col min="4618" max="4618" width="18.85546875" style="11" customWidth="1"/>
    <col min="4619" max="4619" width="16.42578125" style="11" customWidth="1"/>
    <col min="4620" max="4620" width="16.140625" style="11" customWidth="1"/>
    <col min="4621" max="4621" width="19.7109375" style="11" customWidth="1"/>
    <col min="4622" max="4622" width="14.85546875" style="11" customWidth="1"/>
    <col min="4623" max="4623" width="11.5703125" style="11" customWidth="1"/>
    <col min="4624" max="4864" width="8.85546875" style="11"/>
    <col min="4865" max="4865" width="12.5703125" style="11" customWidth="1"/>
    <col min="4866" max="4866" width="9.85546875" style="11" customWidth="1"/>
    <col min="4867" max="4867" width="9.5703125" style="11" customWidth="1"/>
    <col min="4868" max="4868" width="30.5703125" style="11" customWidth="1"/>
    <col min="4869" max="4869" width="28.85546875" style="11" customWidth="1"/>
    <col min="4870" max="4870" width="21.42578125" style="11" customWidth="1"/>
    <col min="4871" max="4871" width="18" style="11" customWidth="1"/>
    <col min="4872" max="4872" width="15.85546875" style="11" customWidth="1"/>
    <col min="4873" max="4873" width="16.5703125" style="11" customWidth="1"/>
    <col min="4874" max="4874" width="18.85546875" style="11" customWidth="1"/>
    <col min="4875" max="4875" width="16.42578125" style="11" customWidth="1"/>
    <col min="4876" max="4876" width="16.140625" style="11" customWidth="1"/>
    <col min="4877" max="4877" width="19.7109375" style="11" customWidth="1"/>
    <col min="4878" max="4878" width="14.85546875" style="11" customWidth="1"/>
    <col min="4879" max="4879" width="11.5703125" style="11" customWidth="1"/>
    <col min="4880" max="5120" width="8.85546875" style="11"/>
    <col min="5121" max="5121" width="12.5703125" style="11" customWidth="1"/>
    <col min="5122" max="5122" width="9.85546875" style="11" customWidth="1"/>
    <col min="5123" max="5123" width="9.5703125" style="11" customWidth="1"/>
    <col min="5124" max="5124" width="30.5703125" style="11" customWidth="1"/>
    <col min="5125" max="5125" width="28.85546875" style="11" customWidth="1"/>
    <col min="5126" max="5126" width="21.42578125" style="11" customWidth="1"/>
    <col min="5127" max="5127" width="18" style="11" customWidth="1"/>
    <col min="5128" max="5128" width="15.85546875" style="11" customWidth="1"/>
    <col min="5129" max="5129" width="16.5703125" style="11" customWidth="1"/>
    <col min="5130" max="5130" width="18.85546875" style="11" customWidth="1"/>
    <col min="5131" max="5131" width="16.42578125" style="11" customWidth="1"/>
    <col min="5132" max="5132" width="16.140625" style="11" customWidth="1"/>
    <col min="5133" max="5133" width="19.7109375" style="11" customWidth="1"/>
    <col min="5134" max="5134" width="14.85546875" style="11" customWidth="1"/>
    <col min="5135" max="5135" width="11.5703125" style="11" customWidth="1"/>
    <col min="5136" max="5376" width="8.85546875" style="11"/>
    <col min="5377" max="5377" width="12.5703125" style="11" customWidth="1"/>
    <col min="5378" max="5378" width="9.85546875" style="11" customWidth="1"/>
    <col min="5379" max="5379" width="9.5703125" style="11" customWidth="1"/>
    <col min="5380" max="5380" width="30.5703125" style="11" customWidth="1"/>
    <col min="5381" max="5381" width="28.85546875" style="11" customWidth="1"/>
    <col min="5382" max="5382" width="21.42578125" style="11" customWidth="1"/>
    <col min="5383" max="5383" width="18" style="11" customWidth="1"/>
    <col min="5384" max="5384" width="15.85546875" style="11" customWidth="1"/>
    <col min="5385" max="5385" width="16.5703125" style="11" customWidth="1"/>
    <col min="5386" max="5386" width="18.85546875" style="11" customWidth="1"/>
    <col min="5387" max="5387" width="16.42578125" style="11" customWidth="1"/>
    <col min="5388" max="5388" width="16.140625" style="11" customWidth="1"/>
    <col min="5389" max="5389" width="19.7109375" style="11" customWidth="1"/>
    <col min="5390" max="5390" width="14.85546875" style="11" customWidth="1"/>
    <col min="5391" max="5391" width="11.5703125" style="11" customWidth="1"/>
    <col min="5392" max="5632" width="8.85546875" style="11"/>
    <col min="5633" max="5633" width="12.5703125" style="11" customWidth="1"/>
    <col min="5634" max="5634" width="9.85546875" style="11" customWidth="1"/>
    <col min="5635" max="5635" width="9.5703125" style="11" customWidth="1"/>
    <col min="5636" max="5636" width="30.5703125" style="11" customWidth="1"/>
    <col min="5637" max="5637" width="28.85546875" style="11" customWidth="1"/>
    <col min="5638" max="5638" width="21.42578125" style="11" customWidth="1"/>
    <col min="5639" max="5639" width="18" style="11" customWidth="1"/>
    <col min="5640" max="5640" width="15.85546875" style="11" customWidth="1"/>
    <col min="5641" max="5641" width="16.5703125" style="11" customWidth="1"/>
    <col min="5642" max="5642" width="18.85546875" style="11" customWidth="1"/>
    <col min="5643" max="5643" width="16.42578125" style="11" customWidth="1"/>
    <col min="5644" max="5644" width="16.140625" style="11" customWidth="1"/>
    <col min="5645" max="5645" width="19.7109375" style="11" customWidth="1"/>
    <col min="5646" max="5646" width="14.85546875" style="11" customWidth="1"/>
    <col min="5647" max="5647" width="11.5703125" style="11" customWidth="1"/>
    <col min="5648" max="5888" width="8.85546875" style="11"/>
    <col min="5889" max="5889" width="12.5703125" style="11" customWidth="1"/>
    <col min="5890" max="5890" width="9.85546875" style="11" customWidth="1"/>
    <col min="5891" max="5891" width="9.5703125" style="11" customWidth="1"/>
    <col min="5892" max="5892" width="30.5703125" style="11" customWidth="1"/>
    <col min="5893" max="5893" width="28.85546875" style="11" customWidth="1"/>
    <col min="5894" max="5894" width="21.42578125" style="11" customWidth="1"/>
    <col min="5895" max="5895" width="18" style="11" customWidth="1"/>
    <col min="5896" max="5896" width="15.85546875" style="11" customWidth="1"/>
    <col min="5897" max="5897" width="16.5703125" style="11" customWidth="1"/>
    <col min="5898" max="5898" width="18.85546875" style="11" customWidth="1"/>
    <col min="5899" max="5899" width="16.42578125" style="11" customWidth="1"/>
    <col min="5900" max="5900" width="16.140625" style="11" customWidth="1"/>
    <col min="5901" max="5901" width="19.7109375" style="11" customWidth="1"/>
    <col min="5902" max="5902" width="14.85546875" style="11" customWidth="1"/>
    <col min="5903" max="5903" width="11.5703125" style="11" customWidth="1"/>
    <col min="5904" max="6144" width="8.85546875" style="11"/>
    <col min="6145" max="6145" width="12.5703125" style="11" customWidth="1"/>
    <col min="6146" max="6146" width="9.85546875" style="11" customWidth="1"/>
    <col min="6147" max="6147" width="9.5703125" style="11" customWidth="1"/>
    <col min="6148" max="6148" width="30.5703125" style="11" customWidth="1"/>
    <col min="6149" max="6149" width="28.85546875" style="11" customWidth="1"/>
    <col min="6150" max="6150" width="21.42578125" style="11" customWidth="1"/>
    <col min="6151" max="6151" width="18" style="11" customWidth="1"/>
    <col min="6152" max="6152" width="15.85546875" style="11" customWidth="1"/>
    <col min="6153" max="6153" width="16.5703125" style="11" customWidth="1"/>
    <col min="6154" max="6154" width="18.85546875" style="11" customWidth="1"/>
    <col min="6155" max="6155" width="16.42578125" style="11" customWidth="1"/>
    <col min="6156" max="6156" width="16.140625" style="11" customWidth="1"/>
    <col min="6157" max="6157" width="19.7109375" style="11" customWidth="1"/>
    <col min="6158" max="6158" width="14.85546875" style="11" customWidth="1"/>
    <col min="6159" max="6159" width="11.5703125" style="11" customWidth="1"/>
    <col min="6160" max="6400" width="8.85546875" style="11"/>
    <col min="6401" max="6401" width="12.5703125" style="11" customWidth="1"/>
    <col min="6402" max="6402" width="9.85546875" style="11" customWidth="1"/>
    <col min="6403" max="6403" width="9.5703125" style="11" customWidth="1"/>
    <col min="6404" max="6404" width="30.5703125" style="11" customWidth="1"/>
    <col min="6405" max="6405" width="28.85546875" style="11" customWidth="1"/>
    <col min="6406" max="6406" width="21.42578125" style="11" customWidth="1"/>
    <col min="6407" max="6407" width="18" style="11" customWidth="1"/>
    <col min="6408" max="6408" width="15.85546875" style="11" customWidth="1"/>
    <col min="6409" max="6409" width="16.5703125" style="11" customWidth="1"/>
    <col min="6410" max="6410" width="18.85546875" style="11" customWidth="1"/>
    <col min="6411" max="6411" width="16.42578125" style="11" customWidth="1"/>
    <col min="6412" max="6412" width="16.140625" style="11" customWidth="1"/>
    <col min="6413" max="6413" width="19.7109375" style="11" customWidth="1"/>
    <col min="6414" max="6414" width="14.85546875" style="11" customWidth="1"/>
    <col min="6415" max="6415" width="11.5703125" style="11" customWidth="1"/>
    <col min="6416" max="6656" width="8.85546875" style="11"/>
    <col min="6657" max="6657" width="12.5703125" style="11" customWidth="1"/>
    <col min="6658" max="6658" width="9.85546875" style="11" customWidth="1"/>
    <col min="6659" max="6659" width="9.5703125" style="11" customWidth="1"/>
    <col min="6660" max="6660" width="30.5703125" style="11" customWidth="1"/>
    <col min="6661" max="6661" width="28.85546875" style="11" customWidth="1"/>
    <col min="6662" max="6662" width="21.42578125" style="11" customWidth="1"/>
    <col min="6663" max="6663" width="18" style="11" customWidth="1"/>
    <col min="6664" max="6664" width="15.85546875" style="11" customWidth="1"/>
    <col min="6665" max="6665" width="16.5703125" style="11" customWidth="1"/>
    <col min="6666" max="6666" width="18.85546875" style="11" customWidth="1"/>
    <col min="6667" max="6667" width="16.42578125" style="11" customWidth="1"/>
    <col min="6668" max="6668" width="16.140625" style="11" customWidth="1"/>
    <col min="6669" max="6669" width="19.7109375" style="11" customWidth="1"/>
    <col min="6670" max="6670" width="14.85546875" style="11" customWidth="1"/>
    <col min="6671" max="6671" width="11.5703125" style="11" customWidth="1"/>
    <col min="6672" max="6912" width="8.85546875" style="11"/>
    <col min="6913" max="6913" width="12.5703125" style="11" customWidth="1"/>
    <col min="6914" max="6914" width="9.85546875" style="11" customWidth="1"/>
    <col min="6915" max="6915" width="9.5703125" style="11" customWidth="1"/>
    <col min="6916" max="6916" width="30.5703125" style="11" customWidth="1"/>
    <col min="6917" max="6917" width="28.85546875" style="11" customWidth="1"/>
    <col min="6918" max="6918" width="21.42578125" style="11" customWidth="1"/>
    <col min="6919" max="6919" width="18" style="11" customWidth="1"/>
    <col min="6920" max="6920" width="15.85546875" style="11" customWidth="1"/>
    <col min="6921" max="6921" width="16.5703125" style="11" customWidth="1"/>
    <col min="6922" max="6922" width="18.85546875" style="11" customWidth="1"/>
    <col min="6923" max="6923" width="16.42578125" style="11" customWidth="1"/>
    <col min="6924" max="6924" width="16.140625" style="11" customWidth="1"/>
    <col min="6925" max="6925" width="19.7109375" style="11" customWidth="1"/>
    <col min="6926" max="6926" width="14.85546875" style="11" customWidth="1"/>
    <col min="6927" max="6927" width="11.5703125" style="11" customWidth="1"/>
    <col min="6928" max="7168" width="8.85546875" style="11"/>
    <col min="7169" max="7169" width="12.5703125" style="11" customWidth="1"/>
    <col min="7170" max="7170" width="9.85546875" style="11" customWidth="1"/>
    <col min="7171" max="7171" width="9.5703125" style="11" customWidth="1"/>
    <col min="7172" max="7172" width="30.5703125" style="11" customWidth="1"/>
    <col min="7173" max="7173" width="28.85546875" style="11" customWidth="1"/>
    <col min="7174" max="7174" width="21.42578125" style="11" customWidth="1"/>
    <col min="7175" max="7175" width="18" style="11" customWidth="1"/>
    <col min="7176" max="7176" width="15.85546875" style="11" customWidth="1"/>
    <col min="7177" max="7177" width="16.5703125" style="11" customWidth="1"/>
    <col min="7178" max="7178" width="18.85546875" style="11" customWidth="1"/>
    <col min="7179" max="7179" width="16.42578125" style="11" customWidth="1"/>
    <col min="7180" max="7180" width="16.140625" style="11" customWidth="1"/>
    <col min="7181" max="7181" width="19.7109375" style="11" customWidth="1"/>
    <col min="7182" max="7182" width="14.85546875" style="11" customWidth="1"/>
    <col min="7183" max="7183" width="11.5703125" style="11" customWidth="1"/>
    <col min="7184" max="7424" width="8.85546875" style="11"/>
    <col min="7425" max="7425" width="12.5703125" style="11" customWidth="1"/>
    <col min="7426" max="7426" width="9.85546875" style="11" customWidth="1"/>
    <col min="7427" max="7427" width="9.5703125" style="11" customWidth="1"/>
    <col min="7428" max="7428" width="30.5703125" style="11" customWidth="1"/>
    <col min="7429" max="7429" width="28.85546875" style="11" customWidth="1"/>
    <col min="7430" max="7430" width="21.42578125" style="11" customWidth="1"/>
    <col min="7431" max="7431" width="18" style="11" customWidth="1"/>
    <col min="7432" max="7432" width="15.85546875" style="11" customWidth="1"/>
    <col min="7433" max="7433" width="16.5703125" style="11" customWidth="1"/>
    <col min="7434" max="7434" width="18.85546875" style="11" customWidth="1"/>
    <col min="7435" max="7435" width="16.42578125" style="11" customWidth="1"/>
    <col min="7436" max="7436" width="16.140625" style="11" customWidth="1"/>
    <col min="7437" max="7437" width="19.7109375" style="11" customWidth="1"/>
    <col min="7438" max="7438" width="14.85546875" style="11" customWidth="1"/>
    <col min="7439" max="7439" width="11.5703125" style="11" customWidth="1"/>
    <col min="7440" max="7680" width="8.85546875" style="11"/>
    <col min="7681" max="7681" width="12.5703125" style="11" customWidth="1"/>
    <col min="7682" max="7682" width="9.85546875" style="11" customWidth="1"/>
    <col min="7683" max="7683" width="9.5703125" style="11" customWidth="1"/>
    <col min="7684" max="7684" width="30.5703125" style="11" customWidth="1"/>
    <col min="7685" max="7685" width="28.85546875" style="11" customWidth="1"/>
    <col min="7686" max="7686" width="21.42578125" style="11" customWidth="1"/>
    <col min="7687" max="7687" width="18" style="11" customWidth="1"/>
    <col min="7688" max="7688" width="15.85546875" style="11" customWidth="1"/>
    <col min="7689" max="7689" width="16.5703125" style="11" customWidth="1"/>
    <col min="7690" max="7690" width="18.85546875" style="11" customWidth="1"/>
    <col min="7691" max="7691" width="16.42578125" style="11" customWidth="1"/>
    <col min="7692" max="7692" width="16.140625" style="11" customWidth="1"/>
    <col min="7693" max="7693" width="19.7109375" style="11" customWidth="1"/>
    <col min="7694" max="7694" width="14.85546875" style="11" customWidth="1"/>
    <col min="7695" max="7695" width="11.5703125" style="11" customWidth="1"/>
    <col min="7696" max="7936" width="8.85546875" style="11"/>
    <col min="7937" max="7937" width="12.5703125" style="11" customWidth="1"/>
    <col min="7938" max="7938" width="9.85546875" style="11" customWidth="1"/>
    <col min="7939" max="7939" width="9.5703125" style="11" customWidth="1"/>
    <col min="7940" max="7940" width="30.5703125" style="11" customWidth="1"/>
    <col min="7941" max="7941" width="28.85546875" style="11" customWidth="1"/>
    <col min="7942" max="7942" width="21.42578125" style="11" customWidth="1"/>
    <col min="7943" max="7943" width="18" style="11" customWidth="1"/>
    <col min="7944" max="7944" width="15.85546875" style="11" customWidth="1"/>
    <col min="7945" max="7945" width="16.5703125" style="11" customWidth="1"/>
    <col min="7946" max="7946" width="18.85546875" style="11" customWidth="1"/>
    <col min="7947" max="7947" width="16.42578125" style="11" customWidth="1"/>
    <col min="7948" max="7948" width="16.140625" style="11" customWidth="1"/>
    <col min="7949" max="7949" width="19.7109375" style="11" customWidth="1"/>
    <col min="7950" max="7950" width="14.85546875" style="11" customWidth="1"/>
    <col min="7951" max="7951" width="11.5703125" style="11" customWidth="1"/>
    <col min="7952" max="8192" width="8.85546875" style="11"/>
    <col min="8193" max="8193" width="12.5703125" style="11" customWidth="1"/>
    <col min="8194" max="8194" width="9.85546875" style="11" customWidth="1"/>
    <col min="8195" max="8195" width="9.5703125" style="11" customWidth="1"/>
    <col min="8196" max="8196" width="30.5703125" style="11" customWidth="1"/>
    <col min="8197" max="8197" width="28.85546875" style="11" customWidth="1"/>
    <col min="8198" max="8198" width="21.42578125" style="11" customWidth="1"/>
    <col min="8199" max="8199" width="18" style="11" customWidth="1"/>
    <col min="8200" max="8200" width="15.85546875" style="11" customWidth="1"/>
    <col min="8201" max="8201" width="16.5703125" style="11" customWidth="1"/>
    <col min="8202" max="8202" width="18.85546875" style="11" customWidth="1"/>
    <col min="8203" max="8203" width="16.42578125" style="11" customWidth="1"/>
    <col min="8204" max="8204" width="16.140625" style="11" customWidth="1"/>
    <col min="8205" max="8205" width="19.7109375" style="11" customWidth="1"/>
    <col min="8206" max="8206" width="14.85546875" style="11" customWidth="1"/>
    <col min="8207" max="8207" width="11.5703125" style="11" customWidth="1"/>
    <col min="8208" max="8448" width="8.85546875" style="11"/>
    <col min="8449" max="8449" width="12.5703125" style="11" customWidth="1"/>
    <col min="8450" max="8450" width="9.85546875" style="11" customWidth="1"/>
    <col min="8451" max="8451" width="9.5703125" style="11" customWidth="1"/>
    <col min="8452" max="8452" width="30.5703125" style="11" customWidth="1"/>
    <col min="8453" max="8453" width="28.85546875" style="11" customWidth="1"/>
    <col min="8454" max="8454" width="21.42578125" style="11" customWidth="1"/>
    <col min="8455" max="8455" width="18" style="11" customWidth="1"/>
    <col min="8456" max="8456" width="15.85546875" style="11" customWidth="1"/>
    <col min="8457" max="8457" width="16.5703125" style="11" customWidth="1"/>
    <col min="8458" max="8458" width="18.85546875" style="11" customWidth="1"/>
    <col min="8459" max="8459" width="16.42578125" style="11" customWidth="1"/>
    <col min="8460" max="8460" width="16.140625" style="11" customWidth="1"/>
    <col min="8461" max="8461" width="19.7109375" style="11" customWidth="1"/>
    <col min="8462" max="8462" width="14.85546875" style="11" customWidth="1"/>
    <col min="8463" max="8463" width="11.5703125" style="11" customWidth="1"/>
    <col min="8464" max="8704" width="8.85546875" style="11"/>
    <col min="8705" max="8705" width="12.5703125" style="11" customWidth="1"/>
    <col min="8706" max="8706" width="9.85546875" style="11" customWidth="1"/>
    <col min="8707" max="8707" width="9.5703125" style="11" customWidth="1"/>
    <col min="8708" max="8708" width="30.5703125" style="11" customWidth="1"/>
    <col min="8709" max="8709" width="28.85546875" style="11" customWidth="1"/>
    <col min="8710" max="8710" width="21.42578125" style="11" customWidth="1"/>
    <col min="8711" max="8711" width="18" style="11" customWidth="1"/>
    <col min="8712" max="8712" width="15.85546875" style="11" customWidth="1"/>
    <col min="8713" max="8713" width="16.5703125" style="11" customWidth="1"/>
    <col min="8714" max="8714" width="18.85546875" style="11" customWidth="1"/>
    <col min="8715" max="8715" width="16.42578125" style="11" customWidth="1"/>
    <col min="8716" max="8716" width="16.140625" style="11" customWidth="1"/>
    <col min="8717" max="8717" width="19.7109375" style="11" customWidth="1"/>
    <col min="8718" max="8718" width="14.85546875" style="11" customWidth="1"/>
    <col min="8719" max="8719" width="11.5703125" style="11" customWidth="1"/>
    <col min="8720" max="8960" width="8.85546875" style="11"/>
    <col min="8961" max="8961" width="12.5703125" style="11" customWidth="1"/>
    <col min="8962" max="8962" width="9.85546875" style="11" customWidth="1"/>
    <col min="8963" max="8963" width="9.5703125" style="11" customWidth="1"/>
    <col min="8964" max="8964" width="30.5703125" style="11" customWidth="1"/>
    <col min="8965" max="8965" width="28.85546875" style="11" customWidth="1"/>
    <col min="8966" max="8966" width="21.42578125" style="11" customWidth="1"/>
    <col min="8967" max="8967" width="18" style="11" customWidth="1"/>
    <col min="8968" max="8968" width="15.85546875" style="11" customWidth="1"/>
    <col min="8969" max="8969" width="16.5703125" style="11" customWidth="1"/>
    <col min="8970" max="8970" width="18.85546875" style="11" customWidth="1"/>
    <col min="8971" max="8971" width="16.42578125" style="11" customWidth="1"/>
    <col min="8972" max="8972" width="16.140625" style="11" customWidth="1"/>
    <col min="8973" max="8973" width="19.7109375" style="11" customWidth="1"/>
    <col min="8974" max="8974" width="14.85546875" style="11" customWidth="1"/>
    <col min="8975" max="8975" width="11.5703125" style="11" customWidth="1"/>
    <col min="8976" max="9216" width="8.85546875" style="11"/>
    <col min="9217" max="9217" width="12.5703125" style="11" customWidth="1"/>
    <col min="9218" max="9218" width="9.85546875" style="11" customWidth="1"/>
    <col min="9219" max="9219" width="9.5703125" style="11" customWidth="1"/>
    <col min="9220" max="9220" width="30.5703125" style="11" customWidth="1"/>
    <col min="9221" max="9221" width="28.85546875" style="11" customWidth="1"/>
    <col min="9222" max="9222" width="21.42578125" style="11" customWidth="1"/>
    <col min="9223" max="9223" width="18" style="11" customWidth="1"/>
    <col min="9224" max="9224" width="15.85546875" style="11" customWidth="1"/>
    <col min="9225" max="9225" width="16.5703125" style="11" customWidth="1"/>
    <col min="9226" max="9226" width="18.85546875" style="11" customWidth="1"/>
    <col min="9227" max="9227" width="16.42578125" style="11" customWidth="1"/>
    <col min="9228" max="9228" width="16.140625" style="11" customWidth="1"/>
    <col min="9229" max="9229" width="19.7109375" style="11" customWidth="1"/>
    <col min="9230" max="9230" width="14.85546875" style="11" customWidth="1"/>
    <col min="9231" max="9231" width="11.5703125" style="11" customWidth="1"/>
    <col min="9232" max="9472" width="8.85546875" style="11"/>
    <col min="9473" max="9473" width="12.5703125" style="11" customWidth="1"/>
    <col min="9474" max="9474" width="9.85546875" style="11" customWidth="1"/>
    <col min="9475" max="9475" width="9.5703125" style="11" customWidth="1"/>
    <col min="9476" max="9476" width="30.5703125" style="11" customWidth="1"/>
    <col min="9477" max="9477" width="28.85546875" style="11" customWidth="1"/>
    <col min="9478" max="9478" width="21.42578125" style="11" customWidth="1"/>
    <col min="9479" max="9479" width="18" style="11" customWidth="1"/>
    <col min="9480" max="9480" width="15.85546875" style="11" customWidth="1"/>
    <col min="9481" max="9481" width="16.5703125" style="11" customWidth="1"/>
    <col min="9482" max="9482" width="18.85546875" style="11" customWidth="1"/>
    <col min="9483" max="9483" width="16.42578125" style="11" customWidth="1"/>
    <col min="9484" max="9484" width="16.140625" style="11" customWidth="1"/>
    <col min="9485" max="9485" width="19.7109375" style="11" customWidth="1"/>
    <col min="9486" max="9486" width="14.85546875" style="11" customWidth="1"/>
    <col min="9487" max="9487" width="11.5703125" style="11" customWidth="1"/>
    <col min="9488" max="9728" width="8.85546875" style="11"/>
    <col min="9729" max="9729" width="12.5703125" style="11" customWidth="1"/>
    <col min="9730" max="9730" width="9.85546875" style="11" customWidth="1"/>
    <col min="9731" max="9731" width="9.5703125" style="11" customWidth="1"/>
    <col min="9732" max="9732" width="30.5703125" style="11" customWidth="1"/>
    <col min="9733" max="9733" width="28.85546875" style="11" customWidth="1"/>
    <col min="9734" max="9734" width="21.42578125" style="11" customWidth="1"/>
    <col min="9735" max="9735" width="18" style="11" customWidth="1"/>
    <col min="9736" max="9736" width="15.85546875" style="11" customWidth="1"/>
    <col min="9737" max="9737" width="16.5703125" style="11" customWidth="1"/>
    <col min="9738" max="9738" width="18.85546875" style="11" customWidth="1"/>
    <col min="9739" max="9739" width="16.42578125" style="11" customWidth="1"/>
    <col min="9740" max="9740" width="16.140625" style="11" customWidth="1"/>
    <col min="9741" max="9741" width="19.7109375" style="11" customWidth="1"/>
    <col min="9742" max="9742" width="14.85546875" style="11" customWidth="1"/>
    <col min="9743" max="9743" width="11.5703125" style="11" customWidth="1"/>
    <col min="9744" max="9984" width="8.85546875" style="11"/>
    <col min="9985" max="9985" width="12.5703125" style="11" customWidth="1"/>
    <col min="9986" max="9986" width="9.85546875" style="11" customWidth="1"/>
    <col min="9987" max="9987" width="9.5703125" style="11" customWidth="1"/>
    <col min="9988" max="9988" width="30.5703125" style="11" customWidth="1"/>
    <col min="9989" max="9989" width="28.85546875" style="11" customWidth="1"/>
    <col min="9990" max="9990" width="21.42578125" style="11" customWidth="1"/>
    <col min="9991" max="9991" width="18" style="11" customWidth="1"/>
    <col min="9992" max="9992" width="15.85546875" style="11" customWidth="1"/>
    <col min="9993" max="9993" width="16.5703125" style="11" customWidth="1"/>
    <col min="9994" max="9994" width="18.85546875" style="11" customWidth="1"/>
    <col min="9995" max="9995" width="16.42578125" style="11" customWidth="1"/>
    <col min="9996" max="9996" width="16.140625" style="11" customWidth="1"/>
    <col min="9997" max="9997" width="19.7109375" style="11" customWidth="1"/>
    <col min="9998" max="9998" width="14.85546875" style="11" customWidth="1"/>
    <col min="9999" max="9999" width="11.5703125" style="11" customWidth="1"/>
    <col min="10000" max="10240" width="8.85546875" style="11"/>
    <col min="10241" max="10241" width="12.5703125" style="11" customWidth="1"/>
    <col min="10242" max="10242" width="9.85546875" style="11" customWidth="1"/>
    <col min="10243" max="10243" width="9.5703125" style="11" customWidth="1"/>
    <col min="10244" max="10244" width="30.5703125" style="11" customWidth="1"/>
    <col min="10245" max="10245" width="28.85546875" style="11" customWidth="1"/>
    <col min="10246" max="10246" width="21.42578125" style="11" customWidth="1"/>
    <col min="10247" max="10247" width="18" style="11" customWidth="1"/>
    <col min="10248" max="10248" width="15.85546875" style="11" customWidth="1"/>
    <col min="10249" max="10249" width="16.5703125" style="11" customWidth="1"/>
    <col min="10250" max="10250" width="18.85546875" style="11" customWidth="1"/>
    <col min="10251" max="10251" width="16.42578125" style="11" customWidth="1"/>
    <col min="10252" max="10252" width="16.140625" style="11" customWidth="1"/>
    <col min="10253" max="10253" width="19.7109375" style="11" customWidth="1"/>
    <col min="10254" max="10254" width="14.85546875" style="11" customWidth="1"/>
    <col min="10255" max="10255" width="11.5703125" style="11" customWidth="1"/>
    <col min="10256" max="10496" width="8.85546875" style="11"/>
    <col min="10497" max="10497" width="12.5703125" style="11" customWidth="1"/>
    <col min="10498" max="10498" width="9.85546875" style="11" customWidth="1"/>
    <col min="10499" max="10499" width="9.5703125" style="11" customWidth="1"/>
    <col min="10500" max="10500" width="30.5703125" style="11" customWidth="1"/>
    <col min="10501" max="10501" width="28.85546875" style="11" customWidth="1"/>
    <col min="10502" max="10502" width="21.42578125" style="11" customWidth="1"/>
    <col min="10503" max="10503" width="18" style="11" customWidth="1"/>
    <col min="10504" max="10504" width="15.85546875" style="11" customWidth="1"/>
    <col min="10505" max="10505" width="16.5703125" style="11" customWidth="1"/>
    <col min="10506" max="10506" width="18.85546875" style="11" customWidth="1"/>
    <col min="10507" max="10507" width="16.42578125" style="11" customWidth="1"/>
    <col min="10508" max="10508" width="16.140625" style="11" customWidth="1"/>
    <col min="10509" max="10509" width="19.7109375" style="11" customWidth="1"/>
    <col min="10510" max="10510" width="14.85546875" style="11" customWidth="1"/>
    <col min="10511" max="10511" width="11.5703125" style="11" customWidth="1"/>
    <col min="10512" max="10752" width="8.85546875" style="11"/>
    <col min="10753" max="10753" width="12.5703125" style="11" customWidth="1"/>
    <col min="10754" max="10754" width="9.85546875" style="11" customWidth="1"/>
    <col min="10755" max="10755" width="9.5703125" style="11" customWidth="1"/>
    <col min="10756" max="10756" width="30.5703125" style="11" customWidth="1"/>
    <col min="10757" max="10757" width="28.85546875" style="11" customWidth="1"/>
    <col min="10758" max="10758" width="21.42578125" style="11" customWidth="1"/>
    <col min="10759" max="10759" width="18" style="11" customWidth="1"/>
    <col min="10760" max="10760" width="15.85546875" style="11" customWidth="1"/>
    <col min="10761" max="10761" width="16.5703125" style="11" customWidth="1"/>
    <col min="10762" max="10762" width="18.85546875" style="11" customWidth="1"/>
    <col min="10763" max="10763" width="16.42578125" style="11" customWidth="1"/>
    <col min="10764" max="10764" width="16.140625" style="11" customWidth="1"/>
    <col min="10765" max="10765" width="19.7109375" style="11" customWidth="1"/>
    <col min="10766" max="10766" width="14.85546875" style="11" customWidth="1"/>
    <col min="10767" max="10767" width="11.5703125" style="11" customWidth="1"/>
    <col min="10768" max="11008" width="8.85546875" style="11"/>
    <col min="11009" max="11009" width="12.5703125" style="11" customWidth="1"/>
    <col min="11010" max="11010" width="9.85546875" style="11" customWidth="1"/>
    <col min="11011" max="11011" width="9.5703125" style="11" customWidth="1"/>
    <col min="11012" max="11012" width="30.5703125" style="11" customWidth="1"/>
    <col min="11013" max="11013" width="28.85546875" style="11" customWidth="1"/>
    <col min="11014" max="11014" width="21.42578125" style="11" customWidth="1"/>
    <col min="11015" max="11015" width="18" style="11" customWidth="1"/>
    <col min="11016" max="11016" width="15.85546875" style="11" customWidth="1"/>
    <col min="11017" max="11017" width="16.5703125" style="11" customWidth="1"/>
    <col min="11018" max="11018" width="18.85546875" style="11" customWidth="1"/>
    <col min="11019" max="11019" width="16.42578125" style="11" customWidth="1"/>
    <col min="11020" max="11020" width="16.140625" style="11" customWidth="1"/>
    <col min="11021" max="11021" width="19.7109375" style="11" customWidth="1"/>
    <col min="11022" max="11022" width="14.85546875" style="11" customWidth="1"/>
    <col min="11023" max="11023" width="11.5703125" style="11" customWidth="1"/>
    <col min="11024" max="11264" width="8.85546875" style="11"/>
    <col min="11265" max="11265" width="12.5703125" style="11" customWidth="1"/>
    <col min="11266" max="11266" width="9.85546875" style="11" customWidth="1"/>
    <col min="11267" max="11267" width="9.5703125" style="11" customWidth="1"/>
    <col min="11268" max="11268" width="30.5703125" style="11" customWidth="1"/>
    <col min="11269" max="11269" width="28.85546875" style="11" customWidth="1"/>
    <col min="11270" max="11270" width="21.42578125" style="11" customWidth="1"/>
    <col min="11271" max="11271" width="18" style="11" customWidth="1"/>
    <col min="11272" max="11272" width="15.85546875" style="11" customWidth="1"/>
    <col min="11273" max="11273" width="16.5703125" style="11" customWidth="1"/>
    <col min="11274" max="11274" width="18.85546875" style="11" customWidth="1"/>
    <col min="11275" max="11275" width="16.42578125" style="11" customWidth="1"/>
    <col min="11276" max="11276" width="16.140625" style="11" customWidth="1"/>
    <col min="11277" max="11277" width="19.7109375" style="11" customWidth="1"/>
    <col min="11278" max="11278" width="14.85546875" style="11" customWidth="1"/>
    <col min="11279" max="11279" width="11.5703125" style="11" customWidth="1"/>
    <col min="11280" max="11520" width="8.85546875" style="11"/>
    <col min="11521" max="11521" width="12.5703125" style="11" customWidth="1"/>
    <col min="11522" max="11522" width="9.85546875" style="11" customWidth="1"/>
    <col min="11523" max="11523" width="9.5703125" style="11" customWidth="1"/>
    <col min="11524" max="11524" width="30.5703125" style="11" customWidth="1"/>
    <col min="11525" max="11525" width="28.85546875" style="11" customWidth="1"/>
    <col min="11526" max="11526" width="21.42578125" style="11" customWidth="1"/>
    <col min="11527" max="11527" width="18" style="11" customWidth="1"/>
    <col min="11528" max="11528" width="15.85546875" style="11" customWidth="1"/>
    <col min="11529" max="11529" width="16.5703125" style="11" customWidth="1"/>
    <col min="11530" max="11530" width="18.85546875" style="11" customWidth="1"/>
    <col min="11531" max="11531" width="16.42578125" style="11" customWidth="1"/>
    <col min="11532" max="11532" width="16.140625" style="11" customWidth="1"/>
    <col min="11533" max="11533" width="19.7109375" style="11" customWidth="1"/>
    <col min="11534" max="11534" width="14.85546875" style="11" customWidth="1"/>
    <col min="11535" max="11535" width="11.5703125" style="11" customWidth="1"/>
    <col min="11536" max="11776" width="8.85546875" style="11"/>
    <col min="11777" max="11777" width="12.5703125" style="11" customWidth="1"/>
    <col min="11778" max="11778" width="9.85546875" style="11" customWidth="1"/>
    <col min="11779" max="11779" width="9.5703125" style="11" customWidth="1"/>
    <col min="11780" max="11780" width="30.5703125" style="11" customWidth="1"/>
    <col min="11781" max="11781" width="28.85546875" style="11" customWidth="1"/>
    <col min="11782" max="11782" width="21.42578125" style="11" customWidth="1"/>
    <col min="11783" max="11783" width="18" style="11" customWidth="1"/>
    <col min="11784" max="11784" width="15.85546875" style="11" customWidth="1"/>
    <col min="11785" max="11785" width="16.5703125" style="11" customWidth="1"/>
    <col min="11786" max="11786" width="18.85546875" style="11" customWidth="1"/>
    <col min="11787" max="11787" width="16.42578125" style="11" customWidth="1"/>
    <col min="11788" max="11788" width="16.140625" style="11" customWidth="1"/>
    <col min="11789" max="11789" width="19.7109375" style="11" customWidth="1"/>
    <col min="11790" max="11790" width="14.85546875" style="11" customWidth="1"/>
    <col min="11791" max="11791" width="11.5703125" style="11" customWidth="1"/>
    <col min="11792" max="12032" width="8.85546875" style="11"/>
    <col min="12033" max="12033" width="12.5703125" style="11" customWidth="1"/>
    <col min="12034" max="12034" width="9.85546875" style="11" customWidth="1"/>
    <col min="12035" max="12035" width="9.5703125" style="11" customWidth="1"/>
    <col min="12036" max="12036" width="30.5703125" style="11" customWidth="1"/>
    <col min="12037" max="12037" width="28.85546875" style="11" customWidth="1"/>
    <col min="12038" max="12038" width="21.42578125" style="11" customWidth="1"/>
    <col min="12039" max="12039" width="18" style="11" customWidth="1"/>
    <col min="12040" max="12040" width="15.85546875" style="11" customWidth="1"/>
    <col min="12041" max="12041" width="16.5703125" style="11" customWidth="1"/>
    <col min="12042" max="12042" width="18.85546875" style="11" customWidth="1"/>
    <col min="12043" max="12043" width="16.42578125" style="11" customWidth="1"/>
    <col min="12044" max="12044" width="16.140625" style="11" customWidth="1"/>
    <col min="12045" max="12045" width="19.7109375" style="11" customWidth="1"/>
    <col min="12046" max="12046" width="14.85546875" style="11" customWidth="1"/>
    <col min="12047" max="12047" width="11.5703125" style="11" customWidth="1"/>
    <col min="12048" max="12288" width="8.85546875" style="11"/>
    <col min="12289" max="12289" width="12.5703125" style="11" customWidth="1"/>
    <col min="12290" max="12290" width="9.85546875" style="11" customWidth="1"/>
    <col min="12291" max="12291" width="9.5703125" style="11" customWidth="1"/>
    <col min="12292" max="12292" width="30.5703125" style="11" customWidth="1"/>
    <col min="12293" max="12293" width="28.85546875" style="11" customWidth="1"/>
    <col min="12294" max="12294" width="21.42578125" style="11" customWidth="1"/>
    <col min="12295" max="12295" width="18" style="11" customWidth="1"/>
    <col min="12296" max="12296" width="15.85546875" style="11" customWidth="1"/>
    <col min="12297" max="12297" width="16.5703125" style="11" customWidth="1"/>
    <col min="12298" max="12298" width="18.85546875" style="11" customWidth="1"/>
    <col min="12299" max="12299" width="16.42578125" style="11" customWidth="1"/>
    <col min="12300" max="12300" width="16.140625" style="11" customWidth="1"/>
    <col min="12301" max="12301" width="19.7109375" style="11" customWidth="1"/>
    <col min="12302" max="12302" width="14.85546875" style="11" customWidth="1"/>
    <col min="12303" max="12303" width="11.5703125" style="11" customWidth="1"/>
    <col min="12304" max="12544" width="8.85546875" style="11"/>
    <col min="12545" max="12545" width="12.5703125" style="11" customWidth="1"/>
    <col min="12546" max="12546" width="9.85546875" style="11" customWidth="1"/>
    <col min="12547" max="12547" width="9.5703125" style="11" customWidth="1"/>
    <col min="12548" max="12548" width="30.5703125" style="11" customWidth="1"/>
    <col min="12549" max="12549" width="28.85546875" style="11" customWidth="1"/>
    <col min="12550" max="12550" width="21.42578125" style="11" customWidth="1"/>
    <col min="12551" max="12551" width="18" style="11" customWidth="1"/>
    <col min="12552" max="12552" width="15.85546875" style="11" customWidth="1"/>
    <col min="12553" max="12553" width="16.5703125" style="11" customWidth="1"/>
    <col min="12554" max="12554" width="18.85546875" style="11" customWidth="1"/>
    <col min="12555" max="12555" width="16.42578125" style="11" customWidth="1"/>
    <col min="12556" max="12556" width="16.140625" style="11" customWidth="1"/>
    <col min="12557" max="12557" width="19.7109375" style="11" customWidth="1"/>
    <col min="12558" max="12558" width="14.85546875" style="11" customWidth="1"/>
    <col min="12559" max="12559" width="11.5703125" style="11" customWidth="1"/>
    <col min="12560" max="12800" width="8.85546875" style="11"/>
    <col min="12801" max="12801" width="12.5703125" style="11" customWidth="1"/>
    <col min="12802" max="12802" width="9.85546875" style="11" customWidth="1"/>
    <col min="12803" max="12803" width="9.5703125" style="11" customWidth="1"/>
    <col min="12804" max="12804" width="30.5703125" style="11" customWidth="1"/>
    <col min="12805" max="12805" width="28.85546875" style="11" customWidth="1"/>
    <col min="12806" max="12806" width="21.42578125" style="11" customWidth="1"/>
    <col min="12807" max="12807" width="18" style="11" customWidth="1"/>
    <col min="12808" max="12808" width="15.85546875" style="11" customWidth="1"/>
    <col min="12809" max="12809" width="16.5703125" style="11" customWidth="1"/>
    <col min="12810" max="12810" width="18.85546875" style="11" customWidth="1"/>
    <col min="12811" max="12811" width="16.42578125" style="11" customWidth="1"/>
    <col min="12812" max="12812" width="16.140625" style="11" customWidth="1"/>
    <col min="12813" max="12813" width="19.7109375" style="11" customWidth="1"/>
    <col min="12814" max="12814" width="14.85546875" style="11" customWidth="1"/>
    <col min="12815" max="12815" width="11.5703125" style="11" customWidth="1"/>
    <col min="12816" max="13056" width="8.85546875" style="11"/>
    <col min="13057" max="13057" width="12.5703125" style="11" customWidth="1"/>
    <col min="13058" max="13058" width="9.85546875" style="11" customWidth="1"/>
    <col min="13059" max="13059" width="9.5703125" style="11" customWidth="1"/>
    <col min="13060" max="13060" width="30.5703125" style="11" customWidth="1"/>
    <col min="13061" max="13061" width="28.85546875" style="11" customWidth="1"/>
    <col min="13062" max="13062" width="21.42578125" style="11" customWidth="1"/>
    <col min="13063" max="13063" width="18" style="11" customWidth="1"/>
    <col min="13064" max="13064" width="15.85546875" style="11" customWidth="1"/>
    <col min="13065" max="13065" width="16.5703125" style="11" customWidth="1"/>
    <col min="13066" max="13066" width="18.85546875" style="11" customWidth="1"/>
    <col min="13067" max="13067" width="16.42578125" style="11" customWidth="1"/>
    <col min="13068" max="13068" width="16.140625" style="11" customWidth="1"/>
    <col min="13069" max="13069" width="19.7109375" style="11" customWidth="1"/>
    <col min="13070" max="13070" width="14.85546875" style="11" customWidth="1"/>
    <col min="13071" max="13071" width="11.5703125" style="11" customWidth="1"/>
    <col min="13072" max="13312" width="8.85546875" style="11"/>
    <col min="13313" max="13313" width="12.5703125" style="11" customWidth="1"/>
    <col min="13314" max="13314" width="9.85546875" style="11" customWidth="1"/>
    <col min="13315" max="13315" width="9.5703125" style="11" customWidth="1"/>
    <col min="13316" max="13316" width="30.5703125" style="11" customWidth="1"/>
    <col min="13317" max="13317" width="28.85546875" style="11" customWidth="1"/>
    <col min="13318" max="13318" width="21.42578125" style="11" customWidth="1"/>
    <col min="13319" max="13319" width="18" style="11" customWidth="1"/>
    <col min="13320" max="13320" width="15.85546875" style="11" customWidth="1"/>
    <col min="13321" max="13321" width="16.5703125" style="11" customWidth="1"/>
    <col min="13322" max="13322" width="18.85546875" style="11" customWidth="1"/>
    <col min="13323" max="13323" width="16.42578125" style="11" customWidth="1"/>
    <col min="13324" max="13324" width="16.140625" style="11" customWidth="1"/>
    <col min="13325" max="13325" width="19.7109375" style="11" customWidth="1"/>
    <col min="13326" max="13326" width="14.85546875" style="11" customWidth="1"/>
    <col min="13327" max="13327" width="11.5703125" style="11" customWidth="1"/>
    <col min="13328" max="13568" width="8.85546875" style="11"/>
    <col min="13569" max="13569" width="12.5703125" style="11" customWidth="1"/>
    <col min="13570" max="13570" width="9.85546875" style="11" customWidth="1"/>
    <col min="13571" max="13571" width="9.5703125" style="11" customWidth="1"/>
    <col min="13572" max="13572" width="30.5703125" style="11" customWidth="1"/>
    <col min="13573" max="13573" width="28.85546875" style="11" customWidth="1"/>
    <col min="13574" max="13574" width="21.42578125" style="11" customWidth="1"/>
    <col min="13575" max="13575" width="18" style="11" customWidth="1"/>
    <col min="13576" max="13576" width="15.85546875" style="11" customWidth="1"/>
    <col min="13577" max="13577" width="16.5703125" style="11" customWidth="1"/>
    <col min="13578" max="13578" width="18.85546875" style="11" customWidth="1"/>
    <col min="13579" max="13579" width="16.42578125" style="11" customWidth="1"/>
    <col min="13580" max="13580" width="16.140625" style="11" customWidth="1"/>
    <col min="13581" max="13581" width="19.7109375" style="11" customWidth="1"/>
    <col min="13582" max="13582" width="14.85546875" style="11" customWidth="1"/>
    <col min="13583" max="13583" width="11.5703125" style="11" customWidth="1"/>
    <col min="13584" max="13824" width="8.85546875" style="11"/>
    <col min="13825" max="13825" width="12.5703125" style="11" customWidth="1"/>
    <col min="13826" max="13826" width="9.85546875" style="11" customWidth="1"/>
    <col min="13827" max="13827" width="9.5703125" style="11" customWidth="1"/>
    <col min="13828" max="13828" width="30.5703125" style="11" customWidth="1"/>
    <col min="13829" max="13829" width="28.85546875" style="11" customWidth="1"/>
    <col min="13830" max="13830" width="21.42578125" style="11" customWidth="1"/>
    <col min="13831" max="13831" width="18" style="11" customWidth="1"/>
    <col min="13832" max="13832" width="15.85546875" style="11" customWidth="1"/>
    <col min="13833" max="13833" width="16.5703125" style="11" customWidth="1"/>
    <col min="13834" max="13834" width="18.85546875" style="11" customWidth="1"/>
    <col min="13835" max="13835" width="16.42578125" style="11" customWidth="1"/>
    <col min="13836" max="13836" width="16.140625" style="11" customWidth="1"/>
    <col min="13837" max="13837" width="19.7109375" style="11" customWidth="1"/>
    <col min="13838" max="13838" width="14.85546875" style="11" customWidth="1"/>
    <col min="13839" max="13839" width="11.5703125" style="11" customWidth="1"/>
    <col min="13840" max="14080" width="8.85546875" style="11"/>
    <col min="14081" max="14081" width="12.5703125" style="11" customWidth="1"/>
    <col min="14082" max="14082" width="9.85546875" style="11" customWidth="1"/>
    <col min="14083" max="14083" width="9.5703125" style="11" customWidth="1"/>
    <col min="14084" max="14084" width="30.5703125" style="11" customWidth="1"/>
    <col min="14085" max="14085" width="28.85546875" style="11" customWidth="1"/>
    <col min="14086" max="14086" width="21.42578125" style="11" customWidth="1"/>
    <col min="14087" max="14087" width="18" style="11" customWidth="1"/>
    <col min="14088" max="14088" width="15.85546875" style="11" customWidth="1"/>
    <col min="14089" max="14089" width="16.5703125" style="11" customWidth="1"/>
    <col min="14090" max="14090" width="18.85546875" style="11" customWidth="1"/>
    <col min="14091" max="14091" width="16.42578125" style="11" customWidth="1"/>
    <col min="14092" max="14092" width="16.140625" style="11" customWidth="1"/>
    <col min="14093" max="14093" width="19.7109375" style="11" customWidth="1"/>
    <col min="14094" max="14094" width="14.85546875" style="11" customWidth="1"/>
    <col min="14095" max="14095" width="11.5703125" style="11" customWidth="1"/>
    <col min="14096" max="14336" width="8.85546875" style="11"/>
    <col min="14337" max="14337" width="12.5703125" style="11" customWidth="1"/>
    <col min="14338" max="14338" width="9.85546875" style="11" customWidth="1"/>
    <col min="14339" max="14339" width="9.5703125" style="11" customWidth="1"/>
    <col min="14340" max="14340" width="30.5703125" style="11" customWidth="1"/>
    <col min="14341" max="14341" width="28.85546875" style="11" customWidth="1"/>
    <col min="14342" max="14342" width="21.42578125" style="11" customWidth="1"/>
    <col min="14343" max="14343" width="18" style="11" customWidth="1"/>
    <col min="14344" max="14344" width="15.85546875" style="11" customWidth="1"/>
    <col min="14345" max="14345" width="16.5703125" style="11" customWidth="1"/>
    <col min="14346" max="14346" width="18.85546875" style="11" customWidth="1"/>
    <col min="14347" max="14347" width="16.42578125" style="11" customWidth="1"/>
    <col min="14348" max="14348" width="16.140625" style="11" customWidth="1"/>
    <col min="14349" max="14349" width="19.7109375" style="11" customWidth="1"/>
    <col min="14350" max="14350" width="14.85546875" style="11" customWidth="1"/>
    <col min="14351" max="14351" width="11.5703125" style="11" customWidth="1"/>
    <col min="14352" max="14592" width="8.85546875" style="11"/>
    <col min="14593" max="14593" width="12.5703125" style="11" customWidth="1"/>
    <col min="14594" max="14594" width="9.85546875" style="11" customWidth="1"/>
    <col min="14595" max="14595" width="9.5703125" style="11" customWidth="1"/>
    <col min="14596" max="14596" width="30.5703125" style="11" customWidth="1"/>
    <col min="14597" max="14597" width="28.85546875" style="11" customWidth="1"/>
    <col min="14598" max="14598" width="21.42578125" style="11" customWidth="1"/>
    <col min="14599" max="14599" width="18" style="11" customWidth="1"/>
    <col min="14600" max="14600" width="15.85546875" style="11" customWidth="1"/>
    <col min="14601" max="14601" width="16.5703125" style="11" customWidth="1"/>
    <col min="14602" max="14602" width="18.85546875" style="11" customWidth="1"/>
    <col min="14603" max="14603" width="16.42578125" style="11" customWidth="1"/>
    <col min="14604" max="14604" width="16.140625" style="11" customWidth="1"/>
    <col min="14605" max="14605" width="19.7109375" style="11" customWidth="1"/>
    <col min="14606" max="14606" width="14.85546875" style="11" customWidth="1"/>
    <col min="14607" max="14607" width="11.5703125" style="11" customWidth="1"/>
    <col min="14608" max="14848" width="8.85546875" style="11"/>
    <col min="14849" max="14849" width="12.5703125" style="11" customWidth="1"/>
    <col min="14850" max="14850" width="9.85546875" style="11" customWidth="1"/>
    <col min="14851" max="14851" width="9.5703125" style="11" customWidth="1"/>
    <col min="14852" max="14852" width="30.5703125" style="11" customWidth="1"/>
    <col min="14853" max="14853" width="28.85546875" style="11" customWidth="1"/>
    <col min="14854" max="14854" width="21.42578125" style="11" customWidth="1"/>
    <col min="14855" max="14855" width="18" style="11" customWidth="1"/>
    <col min="14856" max="14856" width="15.85546875" style="11" customWidth="1"/>
    <col min="14857" max="14857" width="16.5703125" style="11" customWidth="1"/>
    <col min="14858" max="14858" width="18.85546875" style="11" customWidth="1"/>
    <col min="14859" max="14859" width="16.42578125" style="11" customWidth="1"/>
    <col min="14860" max="14860" width="16.140625" style="11" customWidth="1"/>
    <col min="14861" max="14861" width="19.7109375" style="11" customWidth="1"/>
    <col min="14862" max="14862" width="14.85546875" style="11" customWidth="1"/>
    <col min="14863" max="14863" width="11.5703125" style="11" customWidth="1"/>
    <col min="14864" max="15104" width="8.85546875" style="11"/>
    <col min="15105" max="15105" width="12.5703125" style="11" customWidth="1"/>
    <col min="15106" max="15106" width="9.85546875" style="11" customWidth="1"/>
    <col min="15107" max="15107" width="9.5703125" style="11" customWidth="1"/>
    <col min="15108" max="15108" width="30.5703125" style="11" customWidth="1"/>
    <col min="15109" max="15109" width="28.85546875" style="11" customWidth="1"/>
    <col min="15110" max="15110" width="21.42578125" style="11" customWidth="1"/>
    <col min="15111" max="15111" width="18" style="11" customWidth="1"/>
    <col min="15112" max="15112" width="15.85546875" style="11" customWidth="1"/>
    <col min="15113" max="15113" width="16.5703125" style="11" customWidth="1"/>
    <col min="15114" max="15114" width="18.85546875" style="11" customWidth="1"/>
    <col min="15115" max="15115" width="16.42578125" style="11" customWidth="1"/>
    <col min="15116" max="15116" width="16.140625" style="11" customWidth="1"/>
    <col min="15117" max="15117" width="19.7109375" style="11" customWidth="1"/>
    <col min="15118" max="15118" width="14.85546875" style="11" customWidth="1"/>
    <col min="15119" max="15119" width="11.5703125" style="11" customWidth="1"/>
    <col min="15120" max="15360" width="8.85546875" style="11"/>
    <col min="15361" max="15361" width="12.5703125" style="11" customWidth="1"/>
    <col min="15362" max="15362" width="9.85546875" style="11" customWidth="1"/>
    <col min="15363" max="15363" width="9.5703125" style="11" customWidth="1"/>
    <col min="15364" max="15364" width="30.5703125" style="11" customWidth="1"/>
    <col min="15365" max="15365" width="28.85546875" style="11" customWidth="1"/>
    <col min="15366" max="15366" width="21.42578125" style="11" customWidth="1"/>
    <col min="15367" max="15367" width="18" style="11" customWidth="1"/>
    <col min="15368" max="15368" width="15.85546875" style="11" customWidth="1"/>
    <col min="15369" max="15369" width="16.5703125" style="11" customWidth="1"/>
    <col min="15370" max="15370" width="18.85546875" style="11" customWidth="1"/>
    <col min="15371" max="15371" width="16.42578125" style="11" customWidth="1"/>
    <col min="15372" max="15372" width="16.140625" style="11" customWidth="1"/>
    <col min="15373" max="15373" width="19.7109375" style="11" customWidth="1"/>
    <col min="15374" max="15374" width="14.85546875" style="11" customWidth="1"/>
    <col min="15375" max="15375" width="11.5703125" style="11" customWidth="1"/>
    <col min="15376" max="15616" width="8.85546875" style="11"/>
    <col min="15617" max="15617" width="12.5703125" style="11" customWidth="1"/>
    <col min="15618" max="15618" width="9.85546875" style="11" customWidth="1"/>
    <col min="15619" max="15619" width="9.5703125" style="11" customWidth="1"/>
    <col min="15620" max="15620" width="30.5703125" style="11" customWidth="1"/>
    <col min="15621" max="15621" width="28.85546875" style="11" customWidth="1"/>
    <col min="15622" max="15622" width="21.42578125" style="11" customWidth="1"/>
    <col min="15623" max="15623" width="18" style="11" customWidth="1"/>
    <col min="15624" max="15624" width="15.85546875" style="11" customWidth="1"/>
    <col min="15625" max="15625" width="16.5703125" style="11" customWidth="1"/>
    <col min="15626" max="15626" width="18.85546875" style="11" customWidth="1"/>
    <col min="15627" max="15627" width="16.42578125" style="11" customWidth="1"/>
    <col min="15628" max="15628" width="16.140625" style="11" customWidth="1"/>
    <col min="15629" max="15629" width="19.7109375" style="11" customWidth="1"/>
    <col min="15630" max="15630" width="14.85546875" style="11" customWidth="1"/>
    <col min="15631" max="15631" width="11.5703125" style="11" customWidth="1"/>
    <col min="15632" max="15872" width="8.85546875" style="11"/>
    <col min="15873" max="15873" width="12.5703125" style="11" customWidth="1"/>
    <col min="15874" max="15874" width="9.85546875" style="11" customWidth="1"/>
    <col min="15875" max="15875" width="9.5703125" style="11" customWidth="1"/>
    <col min="15876" max="15876" width="30.5703125" style="11" customWidth="1"/>
    <col min="15877" max="15877" width="28.85546875" style="11" customWidth="1"/>
    <col min="15878" max="15878" width="21.42578125" style="11" customWidth="1"/>
    <col min="15879" max="15879" width="18" style="11" customWidth="1"/>
    <col min="15880" max="15880" width="15.85546875" style="11" customWidth="1"/>
    <col min="15881" max="15881" width="16.5703125" style="11" customWidth="1"/>
    <col min="15882" max="15882" width="18.85546875" style="11" customWidth="1"/>
    <col min="15883" max="15883" width="16.42578125" style="11" customWidth="1"/>
    <col min="15884" max="15884" width="16.140625" style="11" customWidth="1"/>
    <col min="15885" max="15885" width="19.7109375" style="11" customWidth="1"/>
    <col min="15886" max="15886" width="14.85546875" style="11" customWidth="1"/>
    <col min="15887" max="15887" width="11.5703125" style="11" customWidth="1"/>
    <col min="15888" max="16128" width="8.85546875" style="11"/>
    <col min="16129" max="16129" width="12.5703125" style="11" customWidth="1"/>
    <col min="16130" max="16130" width="9.85546875" style="11" customWidth="1"/>
    <col min="16131" max="16131" width="9.5703125" style="11" customWidth="1"/>
    <col min="16132" max="16132" width="30.5703125" style="11" customWidth="1"/>
    <col min="16133" max="16133" width="28.85546875" style="11" customWidth="1"/>
    <col min="16134" max="16134" width="21.42578125" style="11" customWidth="1"/>
    <col min="16135" max="16135" width="18" style="11" customWidth="1"/>
    <col min="16136" max="16136" width="15.85546875" style="11" customWidth="1"/>
    <col min="16137" max="16137" width="16.5703125" style="11" customWidth="1"/>
    <col min="16138" max="16138" width="18.85546875" style="11" customWidth="1"/>
    <col min="16139" max="16139" width="16.42578125" style="11" customWidth="1"/>
    <col min="16140" max="16140" width="16.140625" style="11" customWidth="1"/>
    <col min="16141" max="16141" width="19.7109375" style="11" customWidth="1"/>
    <col min="16142" max="16142" width="14.85546875" style="11" customWidth="1"/>
    <col min="16143" max="16143" width="11.5703125" style="11" customWidth="1"/>
    <col min="16144" max="16384" width="8.85546875" style="11"/>
  </cols>
  <sheetData>
    <row r="1" spans="1:15" hidden="1" x14ac:dyDescent="0.2">
      <c r="I1" s="287" t="s">
        <v>473</v>
      </c>
      <c r="J1" s="287"/>
    </row>
    <row r="2" spans="1:15" hidden="1" x14ac:dyDescent="0.2">
      <c r="I2" s="21" t="s">
        <v>474</v>
      </c>
      <c r="J2" s="287"/>
    </row>
    <row r="3" spans="1:15" hidden="1" x14ac:dyDescent="0.2">
      <c r="I3" s="289" t="s">
        <v>475</v>
      </c>
      <c r="J3" s="290"/>
    </row>
    <row r="4" spans="1:15" hidden="1" x14ac:dyDescent="0.2">
      <c r="I4" s="291" t="s">
        <v>476</v>
      </c>
      <c r="J4" s="292"/>
    </row>
    <row r="5" spans="1:15" hidden="1" x14ac:dyDescent="0.2">
      <c r="I5" s="286"/>
      <c r="J5" s="293"/>
    </row>
    <row r="6" spans="1:15" x14ac:dyDescent="0.25">
      <c r="I6" s="286"/>
      <c r="L6" s="1161" t="s">
        <v>477</v>
      </c>
      <c r="M6" s="1161"/>
      <c r="N6" s="294"/>
    </row>
    <row r="7" spans="1:15" x14ac:dyDescent="0.25">
      <c r="I7" s="286"/>
      <c r="L7" s="764" t="s">
        <v>571</v>
      </c>
      <c r="M7" s="764"/>
      <c r="N7" s="882"/>
    </row>
    <row r="8" spans="1:15" x14ac:dyDescent="0.25">
      <c r="I8" s="286"/>
      <c r="L8" s="6" t="s">
        <v>699</v>
      </c>
      <c r="M8" s="6"/>
      <c r="N8" s="295"/>
      <c r="O8" s="883"/>
    </row>
    <row r="9" spans="1:15" x14ac:dyDescent="0.25">
      <c r="I9" s="286"/>
      <c r="L9" s="6" t="s">
        <v>703</v>
      </c>
      <c r="M9" s="6"/>
      <c r="N9" s="296"/>
      <c r="O9" s="883"/>
    </row>
    <row r="10" spans="1:15" ht="21" customHeight="1" x14ac:dyDescent="0.25">
      <c r="G10" s="1293"/>
      <c r="H10" s="1293"/>
      <c r="I10" s="1293"/>
    </row>
    <row r="11" spans="1:15" ht="36.75" customHeight="1" x14ac:dyDescent="0.2">
      <c r="I11" s="286"/>
    </row>
    <row r="12" spans="1:15" s="297" customFormat="1" ht="25.5" customHeight="1" x14ac:dyDescent="0.2">
      <c r="C12" s="27" t="s">
        <v>629</v>
      </c>
      <c r="D12" s="27"/>
      <c r="E12" s="27"/>
      <c r="F12" s="27"/>
      <c r="G12" s="145"/>
      <c r="H12" s="145"/>
      <c r="I12" s="145"/>
      <c r="J12" s="145"/>
      <c r="K12" s="145"/>
      <c r="L12" s="145"/>
      <c r="M12" s="298"/>
      <c r="N12" s="298"/>
      <c r="O12" s="299"/>
    </row>
    <row r="13" spans="1:15" s="297" customFormat="1" ht="39" customHeight="1" x14ac:dyDescent="0.2">
      <c r="A13" s="1294">
        <v>15591000000</v>
      </c>
      <c r="B13" s="1294"/>
      <c r="C13" s="1294"/>
      <c r="D13" s="211"/>
      <c r="E13" s="211"/>
      <c r="F13" s="211"/>
      <c r="G13" s="300"/>
      <c r="H13" s="145"/>
      <c r="I13" s="145"/>
      <c r="J13" s="145"/>
      <c r="K13" s="145"/>
      <c r="L13" s="298"/>
      <c r="M13" s="298"/>
      <c r="N13" s="298"/>
      <c r="O13" s="299"/>
    </row>
    <row r="14" spans="1:15" s="297" customFormat="1" ht="54.75" customHeight="1" thickBot="1" x14ac:dyDescent="0.25">
      <c r="A14" s="1295" t="s">
        <v>0</v>
      </c>
      <c r="B14" s="1295"/>
      <c r="C14" s="1295"/>
      <c r="D14" s="211"/>
      <c r="E14" s="211"/>
      <c r="F14" s="211"/>
      <c r="G14" s="300"/>
      <c r="H14" s="145"/>
      <c r="I14" s="145"/>
      <c r="J14" s="145"/>
      <c r="K14" s="145"/>
      <c r="L14" s="298"/>
      <c r="M14" s="298"/>
      <c r="N14" s="298" t="s">
        <v>269</v>
      </c>
      <c r="O14" s="299"/>
    </row>
    <row r="15" spans="1:15" s="297" customFormat="1" ht="21.75" customHeight="1" x14ac:dyDescent="0.2">
      <c r="A15" s="1296" t="s">
        <v>8</v>
      </c>
      <c r="B15" s="1298" t="s">
        <v>9</v>
      </c>
      <c r="C15" s="1300" t="s">
        <v>270</v>
      </c>
      <c r="D15" s="1302" t="s">
        <v>478</v>
      </c>
      <c r="E15" s="1302" t="s">
        <v>479</v>
      </c>
      <c r="F15" s="1302" t="s">
        <v>480</v>
      </c>
      <c r="G15" s="1304" t="s">
        <v>481</v>
      </c>
      <c r="H15" s="1305"/>
      <c r="I15" s="1287" t="s">
        <v>3</v>
      </c>
      <c r="J15" s="1288"/>
      <c r="K15" s="1288"/>
      <c r="L15" s="1289"/>
      <c r="M15" s="1290" t="s">
        <v>482</v>
      </c>
      <c r="N15" s="1290"/>
      <c r="O15" s="1291"/>
    </row>
    <row r="16" spans="1:15" s="297" customFormat="1" ht="190.5" customHeight="1" thickBot="1" x14ac:dyDescent="0.25">
      <c r="A16" s="1297"/>
      <c r="B16" s="1299"/>
      <c r="C16" s="1301"/>
      <c r="D16" s="1303"/>
      <c r="E16" s="1303"/>
      <c r="F16" s="1303"/>
      <c r="G16" s="852" t="s">
        <v>483</v>
      </c>
      <c r="H16" s="301" t="s">
        <v>630</v>
      </c>
      <c r="I16" s="852" t="s">
        <v>483</v>
      </c>
      <c r="J16" s="851" t="s">
        <v>5</v>
      </c>
      <c r="K16" s="301" t="s">
        <v>630</v>
      </c>
      <c r="L16" s="851" t="s">
        <v>5</v>
      </c>
      <c r="M16" s="852" t="s">
        <v>483</v>
      </c>
      <c r="N16" s="301" t="s">
        <v>631</v>
      </c>
      <c r="O16" s="302" t="s">
        <v>460</v>
      </c>
    </row>
    <row r="17" spans="1:15" s="297" customFormat="1" ht="13.5" customHeight="1" thickBot="1" x14ac:dyDescent="0.25">
      <c r="A17" s="303">
        <v>1</v>
      </c>
      <c r="B17" s="304">
        <v>2</v>
      </c>
      <c r="C17" s="201" t="s">
        <v>281</v>
      </c>
      <c r="D17" s="305">
        <v>4</v>
      </c>
      <c r="E17" s="305">
        <v>5</v>
      </c>
      <c r="F17" s="305">
        <v>6</v>
      </c>
      <c r="G17" s="305">
        <v>7</v>
      </c>
      <c r="H17" s="305">
        <v>8</v>
      </c>
      <c r="I17" s="306">
        <v>9</v>
      </c>
      <c r="J17" s="307">
        <v>10</v>
      </c>
      <c r="K17" s="308">
        <v>11</v>
      </c>
      <c r="L17" s="309">
        <v>12</v>
      </c>
      <c r="M17" s="309">
        <v>13</v>
      </c>
      <c r="N17" s="309">
        <v>14</v>
      </c>
      <c r="O17" s="310">
        <v>15</v>
      </c>
    </row>
    <row r="18" spans="1:15" s="297" customFormat="1" ht="79.5" customHeight="1" thickBot="1" x14ac:dyDescent="0.25">
      <c r="A18" s="311" t="s">
        <v>13</v>
      </c>
      <c r="B18" s="312"/>
      <c r="C18" s="312"/>
      <c r="D18" s="313" t="s">
        <v>484</v>
      </c>
      <c r="E18" s="314"/>
      <c r="F18" s="314"/>
      <c r="G18" s="315">
        <f t="shared" ref="G18:L18" si="0">G19</f>
        <v>87105002</v>
      </c>
      <c r="H18" s="315">
        <f t="shared" si="0"/>
        <v>71443067.780000001</v>
      </c>
      <c r="I18" s="315">
        <f t="shared" si="0"/>
        <v>39694764</v>
      </c>
      <c r="J18" s="315">
        <f t="shared" si="0"/>
        <v>39694764</v>
      </c>
      <c r="K18" s="315">
        <f t="shared" si="0"/>
        <v>29621141</v>
      </c>
      <c r="L18" s="315">
        <f t="shared" si="0"/>
        <v>29621141</v>
      </c>
      <c r="M18" s="315">
        <f>G18+I18</f>
        <v>126799766</v>
      </c>
      <c r="N18" s="315">
        <f>H18+K18</f>
        <v>101064208.78</v>
      </c>
      <c r="O18" s="316">
        <f>N18/M18</f>
        <v>0.79703781771963211</v>
      </c>
    </row>
    <row r="19" spans="1:15" s="297" customFormat="1" ht="75.75" customHeight="1" thickBot="1" x14ac:dyDescent="0.25">
      <c r="A19" s="317" t="s">
        <v>16</v>
      </c>
      <c r="B19" s="318"/>
      <c r="C19" s="318"/>
      <c r="D19" s="319" t="s">
        <v>287</v>
      </c>
      <c r="E19" s="320"/>
      <c r="F19" s="320"/>
      <c r="G19" s="321">
        <f>SUM(G20:G35)</f>
        <v>87105002</v>
      </c>
      <c r="H19" s="321">
        <f>SUM(H20:H35)</f>
        <v>71443067.780000001</v>
      </c>
      <c r="I19" s="321">
        <f t="shared" ref="I19" si="1">SUM(I20:I35)</f>
        <v>39694764</v>
      </c>
      <c r="J19" s="321">
        <f>SUM(J20:J35)</f>
        <v>39694764</v>
      </c>
      <c r="K19" s="321">
        <f>SUM(K20:K35)</f>
        <v>29621141</v>
      </c>
      <c r="L19" s="321">
        <f>SUM(L20:L35)</f>
        <v>29621141</v>
      </c>
      <c r="M19" s="321">
        <f>SUM(M20:M35)</f>
        <v>126799766</v>
      </c>
      <c r="N19" s="321">
        <f>SUM(N20:N35)</f>
        <v>101064208.78</v>
      </c>
      <c r="O19" s="322">
        <f>N19/M19</f>
        <v>0.79703781771963211</v>
      </c>
    </row>
    <row r="20" spans="1:15" s="297" customFormat="1" ht="166.5" customHeight="1" thickBot="1" x14ac:dyDescent="0.25">
      <c r="A20" s="975" t="s">
        <v>166</v>
      </c>
      <c r="B20" s="976" t="s">
        <v>167</v>
      </c>
      <c r="C20" s="976" t="s">
        <v>17</v>
      </c>
      <c r="D20" s="952" t="s">
        <v>168</v>
      </c>
      <c r="E20" s="952" t="s">
        <v>253</v>
      </c>
      <c r="F20" s="977" t="s">
        <v>306</v>
      </c>
      <c r="G20" s="428">
        <v>227652</v>
      </c>
      <c r="H20" s="428">
        <v>169092</v>
      </c>
      <c r="I20" s="428">
        <v>0</v>
      </c>
      <c r="J20" s="428">
        <f>I20</f>
        <v>0</v>
      </c>
      <c r="K20" s="360">
        <v>0</v>
      </c>
      <c r="L20" s="428">
        <v>0</v>
      </c>
      <c r="M20" s="428">
        <f>G20+I20</f>
        <v>227652</v>
      </c>
      <c r="N20" s="428">
        <f>H20+K20</f>
        <v>169092</v>
      </c>
      <c r="O20" s="978">
        <f>N20/M20</f>
        <v>0.74276527331189712</v>
      </c>
    </row>
    <row r="21" spans="1:15" s="297" customFormat="1" ht="242.25" customHeight="1" x14ac:dyDescent="0.2">
      <c r="A21" s="922">
        <v>210180</v>
      </c>
      <c r="B21" s="965" t="s">
        <v>219</v>
      </c>
      <c r="C21" s="965" t="s">
        <v>217</v>
      </c>
      <c r="D21" s="974" t="s">
        <v>220</v>
      </c>
      <c r="E21" s="928" t="s">
        <v>221</v>
      </c>
      <c r="F21" s="872" t="s">
        <v>599</v>
      </c>
      <c r="G21" s="324">
        <v>109000</v>
      </c>
      <c r="H21" s="324">
        <v>18000</v>
      </c>
      <c r="I21" s="324">
        <v>0</v>
      </c>
      <c r="J21" s="324">
        <f>I21</f>
        <v>0</v>
      </c>
      <c r="K21" s="873">
        <v>0</v>
      </c>
      <c r="L21" s="324">
        <v>0</v>
      </c>
      <c r="M21" s="324">
        <f>G21+I21</f>
        <v>109000</v>
      </c>
      <c r="N21" s="324">
        <f>H21+K21</f>
        <v>18000</v>
      </c>
      <c r="O21" s="325">
        <f>N21/M21</f>
        <v>0.16513761467889909</v>
      </c>
    </row>
    <row r="22" spans="1:15" s="5" customFormat="1" ht="147.6" customHeight="1" x14ac:dyDescent="0.2">
      <c r="A22" s="327" t="s">
        <v>18</v>
      </c>
      <c r="B22" s="328" t="s">
        <v>19</v>
      </c>
      <c r="C22" s="328" t="s">
        <v>20</v>
      </c>
      <c r="D22" s="870" t="s">
        <v>21</v>
      </c>
      <c r="E22" s="323" t="s">
        <v>159</v>
      </c>
      <c r="F22" s="895" t="s">
        <v>634</v>
      </c>
      <c r="G22" s="329">
        <v>8498226</v>
      </c>
      <c r="H22" s="329">
        <v>5506849.9500000002</v>
      </c>
      <c r="I22" s="425">
        <v>2173600</v>
      </c>
      <c r="J22" s="425">
        <f>I22</f>
        <v>2173600</v>
      </c>
      <c r="K22" s="329">
        <v>0</v>
      </c>
      <c r="L22" s="329">
        <v>0</v>
      </c>
      <c r="M22" s="329">
        <f>G22+I22</f>
        <v>10671826</v>
      </c>
      <c r="N22" s="329">
        <f>H22+K22</f>
        <v>5506849.9500000002</v>
      </c>
      <c r="O22" s="333">
        <f t="shared" ref="O22:O111" si="2">N22/M22</f>
        <v>0.51601759155368543</v>
      </c>
    </row>
    <row r="23" spans="1:15" s="330" customFormat="1" ht="139.9" customHeight="1" x14ac:dyDescent="0.2">
      <c r="A23" s="327" t="s">
        <v>18</v>
      </c>
      <c r="B23" s="328" t="s">
        <v>19</v>
      </c>
      <c r="C23" s="328" t="s">
        <v>20</v>
      </c>
      <c r="D23" s="870" t="s">
        <v>21</v>
      </c>
      <c r="E23" s="917" t="s">
        <v>158</v>
      </c>
      <c r="F23" s="895" t="s">
        <v>635</v>
      </c>
      <c r="G23" s="329">
        <v>14427648</v>
      </c>
      <c r="H23" s="329">
        <v>10826460.789999999</v>
      </c>
      <c r="I23" s="329">
        <v>0</v>
      </c>
      <c r="J23" s="329">
        <f>I23</f>
        <v>0</v>
      </c>
      <c r="K23" s="329">
        <v>0</v>
      </c>
      <c r="L23" s="329">
        <v>0</v>
      </c>
      <c r="M23" s="329">
        <f t="shared" ref="M23:M29" si="3">G23+I23</f>
        <v>14427648</v>
      </c>
      <c r="N23" s="329">
        <f t="shared" ref="N23:N35" si="4">H23+K23</f>
        <v>10826460.789999999</v>
      </c>
      <c r="O23" s="333">
        <f t="shared" si="2"/>
        <v>0.75039679301851547</v>
      </c>
    </row>
    <row r="24" spans="1:15" s="330" customFormat="1" ht="139.15" customHeight="1" x14ac:dyDescent="0.2">
      <c r="A24" s="327" t="s">
        <v>22</v>
      </c>
      <c r="B24" s="328" t="s">
        <v>23</v>
      </c>
      <c r="C24" s="328" t="s">
        <v>24</v>
      </c>
      <c r="D24" s="870" t="s">
        <v>25</v>
      </c>
      <c r="E24" s="870" t="s">
        <v>222</v>
      </c>
      <c r="F24" s="895" t="s">
        <v>604</v>
      </c>
      <c r="G24" s="329">
        <v>556580</v>
      </c>
      <c r="H24" s="329">
        <v>322570.23999999999</v>
      </c>
      <c r="I24" s="425">
        <v>372400</v>
      </c>
      <c r="J24" s="329">
        <f>I24</f>
        <v>372400</v>
      </c>
      <c r="K24" s="329">
        <v>372377</v>
      </c>
      <c r="L24" s="329">
        <f>K24</f>
        <v>372377</v>
      </c>
      <c r="M24" s="329">
        <f t="shared" si="3"/>
        <v>928980</v>
      </c>
      <c r="N24" s="329">
        <f t="shared" si="4"/>
        <v>694947.24</v>
      </c>
      <c r="O24" s="333">
        <f t="shared" si="2"/>
        <v>0.74807556675062969</v>
      </c>
    </row>
    <row r="25" spans="1:15" s="330" customFormat="1" ht="145.9" customHeight="1" x14ac:dyDescent="0.2">
      <c r="A25" s="918" t="s">
        <v>228</v>
      </c>
      <c r="B25" s="919">
        <v>2152</v>
      </c>
      <c r="C25" s="914" t="s">
        <v>229</v>
      </c>
      <c r="D25" s="870" t="s">
        <v>25</v>
      </c>
      <c r="E25" s="870" t="s">
        <v>223</v>
      </c>
      <c r="F25" s="895" t="s">
        <v>636</v>
      </c>
      <c r="G25" s="329">
        <v>3407103</v>
      </c>
      <c r="H25" s="329">
        <v>1518951.6</v>
      </c>
      <c r="I25" s="425">
        <v>0</v>
      </c>
      <c r="J25" s="329">
        <f t="shared" ref="J25:J35" si="5">I25</f>
        <v>0</v>
      </c>
      <c r="K25" s="329">
        <v>0</v>
      </c>
      <c r="L25" s="329">
        <f t="shared" ref="L25:L35" si="6">K25</f>
        <v>0</v>
      </c>
      <c r="M25" s="329">
        <f t="shared" si="3"/>
        <v>3407103</v>
      </c>
      <c r="N25" s="329">
        <f t="shared" si="4"/>
        <v>1518951.6</v>
      </c>
      <c r="O25" s="333">
        <f t="shared" si="2"/>
        <v>0.44581910203477854</v>
      </c>
    </row>
    <row r="26" spans="1:15" s="330" customFormat="1" ht="138" customHeight="1" x14ac:dyDescent="0.2">
      <c r="A26" s="922" t="s">
        <v>29</v>
      </c>
      <c r="B26" s="923" t="s">
        <v>30</v>
      </c>
      <c r="C26" s="923" t="s">
        <v>31</v>
      </c>
      <c r="D26" s="912" t="s">
        <v>32</v>
      </c>
      <c r="E26" s="912" t="s">
        <v>224</v>
      </c>
      <c r="F26" s="901" t="s">
        <v>605</v>
      </c>
      <c r="G26" s="324">
        <v>356546</v>
      </c>
      <c r="H26" s="324">
        <v>173836</v>
      </c>
      <c r="I26" s="979">
        <v>53364</v>
      </c>
      <c r="J26" s="324">
        <f t="shared" si="5"/>
        <v>53364</v>
      </c>
      <c r="K26" s="324">
        <v>53364</v>
      </c>
      <c r="L26" s="324">
        <f t="shared" si="6"/>
        <v>53364</v>
      </c>
      <c r="M26" s="324">
        <f t="shared" si="3"/>
        <v>409910</v>
      </c>
      <c r="N26" s="324">
        <f t="shared" si="4"/>
        <v>227200</v>
      </c>
      <c r="O26" s="331">
        <f t="shared" si="2"/>
        <v>0.5542680100509868</v>
      </c>
    </row>
    <row r="27" spans="1:15" s="330" customFormat="1" ht="169.9" customHeight="1" x14ac:dyDescent="0.2">
      <c r="A27" s="1152" t="s">
        <v>625</v>
      </c>
      <c r="B27" s="898">
        <v>8110</v>
      </c>
      <c r="C27" s="899" t="s">
        <v>231</v>
      </c>
      <c r="D27" s="900" t="s">
        <v>232</v>
      </c>
      <c r="E27" s="895" t="s">
        <v>637</v>
      </c>
      <c r="F27" s="895" t="s">
        <v>638</v>
      </c>
      <c r="G27" s="329">
        <v>111980</v>
      </c>
      <c r="H27" s="329">
        <v>0</v>
      </c>
      <c r="I27" s="425">
        <v>0</v>
      </c>
      <c r="J27" s="329">
        <f t="shared" si="5"/>
        <v>0</v>
      </c>
      <c r="K27" s="329">
        <v>0</v>
      </c>
      <c r="L27" s="329">
        <f t="shared" si="6"/>
        <v>0</v>
      </c>
      <c r="M27" s="329">
        <f t="shared" si="3"/>
        <v>111980</v>
      </c>
      <c r="N27" s="329">
        <f t="shared" si="4"/>
        <v>0</v>
      </c>
      <c r="O27" s="342">
        <f t="shared" si="2"/>
        <v>0</v>
      </c>
    </row>
    <row r="28" spans="1:15" s="330" customFormat="1" ht="145.15" customHeight="1" x14ac:dyDescent="0.2">
      <c r="A28" s="913" t="s">
        <v>33</v>
      </c>
      <c r="B28" s="919" t="s">
        <v>34</v>
      </c>
      <c r="C28" s="919" t="s">
        <v>35</v>
      </c>
      <c r="D28" s="870" t="s">
        <v>36</v>
      </c>
      <c r="E28" s="870" t="s">
        <v>149</v>
      </c>
      <c r="F28" s="895" t="s">
        <v>606</v>
      </c>
      <c r="G28" s="329">
        <v>6000</v>
      </c>
      <c r="H28" s="329">
        <v>5606.09</v>
      </c>
      <c r="I28" s="425">
        <v>0</v>
      </c>
      <c r="J28" s="329">
        <f t="shared" si="5"/>
        <v>0</v>
      </c>
      <c r="K28" s="329">
        <v>0</v>
      </c>
      <c r="L28" s="329">
        <f t="shared" si="6"/>
        <v>0</v>
      </c>
      <c r="M28" s="329">
        <f t="shared" si="3"/>
        <v>6000</v>
      </c>
      <c r="N28" s="329">
        <f t="shared" si="4"/>
        <v>5606.09</v>
      </c>
      <c r="O28" s="342">
        <f t="shared" si="2"/>
        <v>0.93434833333333334</v>
      </c>
    </row>
    <row r="29" spans="1:15" s="5" customFormat="1" ht="144.6" customHeight="1" x14ac:dyDescent="0.2">
      <c r="A29" s="332" t="s">
        <v>155</v>
      </c>
      <c r="B29" s="734">
        <v>8230</v>
      </c>
      <c r="C29" s="919" t="s">
        <v>35</v>
      </c>
      <c r="D29" s="323" t="s">
        <v>156</v>
      </c>
      <c r="E29" s="323" t="s">
        <v>160</v>
      </c>
      <c r="F29" s="895" t="s">
        <v>639</v>
      </c>
      <c r="G29" s="329">
        <v>18132201</v>
      </c>
      <c r="H29" s="329">
        <v>12517205.890000001</v>
      </c>
      <c r="I29" s="329">
        <v>900000</v>
      </c>
      <c r="J29" s="329">
        <f t="shared" si="5"/>
        <v>900000</v>
      </c>
      <c r="K29" s="329">
        <v>0</v>
      </c>
      <c r="L29" s="329">
        <f t="shared" si="6"/>
        <v>0</v>
      </c>
      <c r="M29" s="329">
        <f t="shared" si="3"/>
        <v>19032201</v>
      </c>
      <c r="N29" s="329">
        <f t="shared" si="4"/>
        <v>12517205.890000001</v>
      </c>
      <c r="O29" s="333">
        <f t="shared" si="2"/>
        <v>0.65768567124737709</v>
      </c>
    </row>
    <row r="30" spans="1:15" s="5" customFormat="1" ht="190.5" customHeight="1" x14ac:dyDescent="0.2">
      <c r="A30" s="913" t="s">
        <v>37</v>
      </c>
      <c r="B30" s="919" t="s">
        <v>38</v>
      </c>
      <c r="C30" s="919" t="s">
        <v>39</v>
      </c>
      <c r="D30" s="870" t="s">
        <v>40</v>
      </c>
      <c r="E30" s="916" t="s">
        <v>225</v>
      </c>
      <c r="F30" s="895" t="s">
        <v>640</v>
      </c>
      <c r="G30" s="329">
        <v>3379702</v>
      </c>
      <c r="H30" s="329">
        <v>2492131.2200000002</v>
      </c>
      <c r="I30" s="329">
        <v>0</v>
      </c>
      <c r="J30" s="329">
        <f t="shared" si="5"/>
        <v>0</v>
      </c>
      <c r="K30" s="329">
        <v>0</v>
      </c>
      <c r="L30" s="329">
        <f t="shared" si="6"/>
        <v>0</v>
      </c>
      <c r="M30" s="329">
        <f>G30+I30</f>
        <v>3379702</v>
      </c>
      <c r="N30" s="329">
        <f t="shared" si="4"/>
        <v>2492131.2200000002</v>
      </c>
      <c r="O30" s="333">
        <f t="shared" si="2"/>
        <v>0.73738194077466013</v>
      </c>
    </row>
    <row r="31" spans="1:15" s="5" customFormat="1" ht="224.45" customHeight="1" x14ac:dyDescent="0.2">
      <c r="A31" s="918" t="s">
        <v>511</v>
      </c>
      <c r="B31" s="919">
        <v>9800</v>
      </c>
      <c r="C31" s="914" t="s">
        <v>219</v>
      </c>
      <c r="D31" s="323" t="s">
        <v>512</v>
      </c>
      <c r="E31" s="870" t="s">
        <v>587</v>
      </c>
      <c r="F31" s="896" t="s">
        <v>641</v>
      </c>
      <c r="G31" s="329">
        <v>32041000</v>
      </c>
      <c r="H31" s="329">
        <v>32041000</v>
      </c>
      <c r="I31" s="329">
        <v>27459000</v>
      </c>
      <c r="J31" s="329">
        <f t="shared" si="5"/>
        <v>27459000</v>
      </c>
      <c r="K31" s="329">
        <v>22959000</v>
      </c>
      <c r="L31" s="329">
        <f t="shared" si="6"/>
        <v>22959000</v>
      </c>
      <c r="M31" s="329">
        <f t="shared" ref="M31:M35" si="7">G31+I31</f>
        <v>59500000</v>
      </c>
      <c r="N31" s="329">
        <f t="shared" si="4"/>
        <v>55000000</v>
      </c>
      <c r="O31" s="333">
        <f t="shared" si="2"/>
        <v>0.92436974789915971</v>
      </c>
    </row>
    <row r="32" spans="1:15" s="5" customFormat="1" ht="156" customHeight="1" x14ac:dyDescent="0.2">
      <c r="A32" s="918" t="s">
        <v>511</v>
      </c>
      <c r="B32" s="919">
        <v>9800</v>
      </c>
      <c r="C32" s="914" t="s">
        <v>219</v>
      </c>
      <c r="D32" s="323" t="s">
        <v>512</v>
      </c>
      <c r="E32" s="870" t="s">
        <v>588</v>
      </c>
      <c r="F32" s="323" t="s">
        <v>589</v>
      </c>
      <c r="G32" s="329">
        <v>521164</v>
      </c>
      <c r="H32" s="329">
        <v>521164</v>
      </c>
      <c r="I32" s="329">
        <v>310400</v>
      </c>
      <c r="J32" s="329">
        <f t="shared" si="5"/>
        <v>310400</v>
      </c>
      <c r="K32" s="329">
        <v>310400</v>
      </c>
      <c r="L32" s="329">
        <f t="shared" si="6"/>
        <v>310400</v>
      </c>
      <c r="M32" s="329">
        <f t="shared" si="7"/>
        <v>831564</v>
      </c>
      <c r="N32" s="329">
        <f t="shared" si="4"/>
        <v>831564</v>
      </c>
      <c r="O32" s="333">
        <f t="shared" si="2"/>
        <v>1</v>
      </c>
    </row>
    <row r="33" spans="1:15" s="5" customFormat="1" ht="130.5" customHeight="1" x14ac:dyDescent="0.2">
      <c r="A33" s="918" t="s">
        <v>511</v>
      </c>
      <c r="B33" s="919">
        <v>9800</v>
      </c>
      <c r="C33" s="914" t="s">
        <v>219</v>
      </c>
      <c r="D33" s="323" t="s">
        <v>512</v>
      </c>
      <c r="E33" s="870" t="s">
        <v>590</v>
      </c>
      <c r="F33" s="323" t="s">
        <v>591</v>
      </c>
      <c r="G33" s="329">
        <v>30300</v>
      </c>
      <c r="H33" s="329">
        <v>30300</v>
      </c>
      <c r="I33" s="329">
        <v>26000</v>
      </c>
      <c r="J33" s="329">
        <f t="shared" si="5"/>
        <v>26000</v>
      </c>
      <c r="K33" s="329">
        <v>26000</v>
      </c>
      <c r="L33" s="329">
        <f t="shared" si="6"/>
        <v>26000</v>
      </c>
      <c r="M33" s="329">
        <f t="shared" si="7"/>
        <v>56300</v>
      </c>
      <c r="N33" s="329">
        <f t="shared" si="4"/>
        <v>56300</v>
      </c>
      <c r="O33" s="333">
        <f t="shared" si="2"/>
        <v>1</v>
      </c>
    </row>
    <row r="34" spans="1:15" s="5" customFormat="1" ht="151.9" customHeight="1" x14ac:dyDescent="0.2">
      <c r="A34" s="918" t="s">
        <v>511</v>
      </c>
      <c r="B34" s="919">
        <v>9800</v>
      </c>
      <c r="C34" s="914" t="s">
        <v>219</v>
      </c>
      <c r="D34" s="323" t="s">
        <v>512</v>
      </c>
      <c r="E34" s="870" t="s">
        <v>592</v>
      </c>
      <c r="F34" s="901" t="s">
        <v>642</v>
      </c>
      <c r="G34" s="329">
        <v>4000000</v>
      </c>
      <c r="H34" s="329">
        <v>4000000</v>
      </c>
      <c r="I34" s="329">
        <v>5000000</v>
      </c>
      <c r="J34" s="329">
        <f t="shared" si="5"/>
        <v>5000000</v>
      </c>
      <c r="K34" s="329">
        <v>5000000</v>
      </c>
      <c r="L34" s="329">
        <f t="shared" si="6"/>
        <v>5000000</v>
      </c>
      <c r="M34" s="329">
        <f t="shared" si="7"/>
        <v>9000000</v>
      </c>
      <c r="N34" s="329">
        <f t="shared" si="4"/>
        <v>9000000</v>
      </c>
      <c r="O34" s="333">
        <f t="shared" si="2"/>
        <v>1</v>
      </c>
    </row>
    <row r="35" spans="1:15" s="5" customFormat="1" ht="132" customHeight="1" thickBot="1" x14ac:dyDescent="0.25">
      <c r="A35" s="918" t="s">
        <v>511</v>
      </c>
      <c r="B35" s="919">
        <v>9800</v>
      </c>
      <c r="C35" s="914" t="s">
        <v>219</v>
      </c>
      <c r="D35" s="323" t="s">
        <v>512</v>
      </c>
      <c r="E35" s="870" t="s">
        <v>632</v>
      </c>
      <c r="F35" s="895" t="s">
        <v>633</v>
      </c>
      <c r="G35" s="853">
        <v>1299900</v>
      </c>
      <c r="H35" s="853">
        <v>1299900</v>
      </c>
      <c r="I35" s="853">
        <v>3400000</v>
      </c>
      <c r="J35" s="329">
        <f t="shared" si="5"/>
        <v>3400000</v>
      </c>
      <c r="K35" s="853">
        <v>900000</v>
      </c>
      <c r="L35" s="329">
        <f t="shared" si="6"/>
        <v>900000</v>
      </c>
      <c r="M35" s="853">
        <f t="shared" si="7"/>
        <v>4699900</v>
      </c>
      <c r="N35" s="853">
        <f t="shared" si="4"/>
        <v>2199900</v>
      </c>
      <c r="O35" s="888">
        <f t="shared" si="2"/>
        <v>0.46807378880401712</v>
      </c>
    </row>
    <row r="36" spans="1:15" s="5" customFormat="1" ht="75" customHeight="1" thickBot="1" x14ac:dyDescent="0.25">
      <c r="A36" s="920" t="s">
        <v>41</v>
      </c>
      <c r="B36" s="312"/>
      <c r="C36" s="867"/>
      <c r="D36" s="313" t="s">
        <v>485</v>
      </c>
      <c r="E36" s="314"/>
      <c r="F36" s="314"/>
      <c r="G36" s="315">
        <f t="shared" ref="G36:L36" si="8">G37</f>
        <v>15381101</v>
      </c>
      <c r="H36" s="315">
        <f t="shared" si="8"/>
        <v>7165680.6299999999</v>
      </c>
      <c r="I36" s="315">
        <f t="shared" si="8"/>
        <v>696780</v>
      </c>
      <c r="J36" s="315">
        <f t="shared" si="8"/>
        <v>0</v>
      </c>
      <c r="K36" s="315">
        <f t="shared" si="8"/>
        <v>324334</v>
      </c>
      <c r="L36" s="315">
        <f t="shared" si="8"/>
        <v>0</v>
      </c>
      <c r="M36" s="315">
        <f>G36+I36</f>
        <v>16077881</v>
      </c>
      <c r="N36" s="315">
        <f>H36+K36</f>
        <v>7490014.6299999999</v>
      </c>
      <c r="O36" s="345">
        <f t="shared" si="2"/>
        <v>0.46585831988680598</v>
      </c>
    </row>
    <row r="37" spans="1:15" s="5" customFormat="1" ht="74.25" customHeight="1" thickBot="1" x14ac:dyDescent="0.25">
      <c r="A37" s="921" t="s">
        <v>43</v>
      </c>
      <c r="B37" s="334"/>
      <c r="C37" s="334"/>
      <c r="D37" s="319" t="s">
        <v>485</v>
      </c>
      <c r="E37" s="335"/>
      <c r="F37" s="335"/>
      <c r="G37" s="321">
        <f>G38+G39+G40+G41+G42+G43+G44+G45+G47</f>
        <v>15381101</v>
      </c>
      <c r="H37" s="321">
        <f>H38+H39+H40+H41+H42+H43+H44+H45+H47</f>
        <v>7165680.6299999999</v>
      </c>
      <c r="I37" s="321">
        <f t="shared" ref="I37:M37" si="9">I38+I39+I40+I41+I42+I43+I44+I45+I46+I47</f>
        <v>696780</v>
      </c>
      <c r="J37" s="321">
        <f t="shared" si="9"/>
        <v>0</v>
      </c>
      <c r="K37" s="321">
        <f t="shared" si="9"/>
        <v>324334</v>
      </c>
      <c r="L37" s="321">
        <f t="shared" si="9"/>
        <v>0</v>
      </c>
      <c r="M37" s="321">
        <f t="shared" si="9"/>
        <v>16077881</v>
      </c>
      <c r="N37" s="321">
        <f>N38+N39+N40+N41+N42+N43+N44+N45+N46+N47</f>
        <v>7490014.6299999999</v>
      </c>
      <c r="O37" s="336">
        <f t="shared" si="2"/>
        <v>0.46585831988680598</v>
      </c>
    </row>
    <row r="38" spans="1:15" s="5" customFormat="1" ht="136.9" customHeight="1" x14ac:dyDescent="0.2">
      <c r="A38" s="922" t="s">
        <v>45</v>
      </c>
      <c r="B38" s="923" t="s">
        <v>46</v>
      </c>
      <c r="C38" s="923" t="s">
        <v>47</v>
      </c>
      <c r="D38" s="912" t="s">
        <v>48</v>
      </c>
      <c r="E38" s="912" t="s">
        <v>150</v>
      </c>
      <c r="F38" s="895" t="s">
        <v>643</v>
      </c>
      <c r="G38" s="343">
        <v>451865</v>
      </c>
      <c r="H38" s="343">
        <f>161295.28</f>
        <v>161295.28</v>
      </c>
      <c r="I38" s="862">
        <v>0</v>
      </c>
      <c r="J38" s="343">
        <v>0</v>
      </c>
      <c r="K38" s="865" t="s">
        <v>486</v>
      </c>
      <c r="L38" s="343">
        <v>0</v>
      </c>
      <c r="M38" s="343">
        <f t="shared" ref="M38:M47" si="10">G38+I38</f>
        <v>451865</v>
      </c>
      <c r="N38" s="343">
        <f>H38+K38</f>
        <v>161295.28</v>
      </c>
      <c r="O38" s="331">
        <f t="shared" si="2"/>
        <v>0.35695457714140283</v>
      </c>
    </row>
    <row r="39" spans="1:15" s="160" customFormat="1" ht="138.75" customHeight="1" x14ac:dyDescent="0.2">
      <c r="A39" s="913" t="s">
        <v>49</v>
      </c>
      <c r="B39" s="919" t="s">
        <v>50</v>
      </c>
      <c r="C39" s="919" t="s">
        <v>51</v>
      </c>
      <c r="D39" s="870" t="s">
        <v>52</v>
      </c>
      <c r="E39" s="870" t="s">
        <v>150</v>
      </c>
      <c r="F39" s="895" t="s">
        <v>643</v>
      </c>
      <c r="G39" s="339">
        <v>13658717</v>
      </c>
      <c r="H39" s="340">
        <f>5911586.42</f>
        <v>5911586.4199999999</v>
      </c>
      <c r="I39" s="358">
        <v>0</v>
      </c>
      <c r="J39" s="339">
        <v>0</v>
      </c>
      <c r="K39" s="339">
        <v>0</v>
      </c>
      <c r="L39" s="339">
        <v>0</v>
      </c>
      <c r="M39" s="339">
        <f t="shared" si="10"/>
        <v>13658717</v>
      </c>
      <c r="N39" s="339">
        <f t="shared" ref="N39:N47" si="11">H39+K39</f>
        <v>5911586.4199999999</v>
      </c>
      <c r="O39" s="333">
        <f t="shared" si="2"/>
        <v>0.43280686026366899</v>
      </c>
    </row>
    <row r="40" spans="1:15" s="3" customFormat="1" ht="133.15" customHeight="1" x14ac:dyDescent="0.2">
      <c r="A40" s="913" t="s">
        <v>53</v>
      </c>
      <c r="B40" s="919" t="s">
        <v>54</v>
      </c>
      <c r="C40" s="919" t="s">
        <v>55</v>
      </c>
      <c r="D40" s="870" t="s">
        <v>56</v>
      </c>
      <c r="E40" s="870" t="s">
        <v>150</v>
      </c>
      <c r="F40" s="895" t="s">
        <v>643</v>
      </c>
      <c r="G40" s="329">
        <v>24260</v>
      </c>
      <c r="H40" s="339">
        <v>16177.72</v>
      </c>
      <c r="I40" s="341">
        <v>0</v>
      </c>
      <c r="J40" s="341">
        <v>0</v>
      </c>
      <c r="K40" s="341">
        <v>0</v>
      </c>
      <c r="L40" s="341">
        <v>0</v>
      </c>
      <c r="M40" s="339">
        <f t="shared" si="10"/>
        <v>24260</v>
      </c>
      <c r="N40" s="339">
        <f t="shared" si="11"/>
        <v>16177.72</v>
      </c>
      <c r="O40" s="342">
        <f t="shared" si="2"/>
        <v>0.66684748557295959</v>
      </c>
    </row>
    <row r="41" spans="1:15" s="5" customFormat="1" ht="130.9" customHeight="1" x14ac:dyDescent="0.2">
      <c r="A41" s="913" t="s">
        <v>58</v>
      </c>
      <c r="B41" s="919" t="s">
        <v>59</v>
      </c>
      <c r="C41" s="919" t="s">
        <v>57</v>
      </c>
      <c r="D41" s="870" t="s">
        <v>60</v>
      </c>
      <c r="E41" s="870" t="s">
        <v>150</v>
      </c>
      <c r="F41" s="895" t="s">
        <v>643</v>
      </c>
      <c r="G41" s="329">
        <v>69480</v>
      </c>
      <c r="H41" s="329">
        <v>60430</v>
      </c>
      <c r="I41" s="329">
        <v>0</v>
      </c>
      <c r="J41" s="329">
        <v>0</v>
      </c>
      <c r="K41" s="329">
        <v>0</v>
      </c>
      <c r="L41" s="329">
        <v>0</v>
      </c>
      <c r="M41" s="339">
        <f t="shared" si="10"/>
        <v>69480</v>
      </c>
      <c r="N41" s="339">
        <f t="shared" si="11"/>
        <v>60430</v>
      </c>
      <c r="O41" s="333">
        <f t="shared" si="2"/>
        <v>0.86974668969487623</v>
      </c>
    </row>
    <row r="42" spans="1:15" s="5" customFormat="1" ht="138.75" customHeight="1" x14ac:dyDescent="0.2">
      <c r="A42" s="913" t="s">
        <v>61</v>
      </c>
      <c r="B42" s="919" t="s">
        <v>62</v>
      </c>
      <c r="C42" s="919" t="s">
        <v>57</v>
      </c>
      <c r="D42" s="870" t="s">
        <v>63</v>
      </c>
      <c r="E42" s="870" t="s">
        <v>150</v>
      </c>
      <c r="F42" s="895" t="s">
        <v>643</v>
      </c>
      <c r="G42" s="329">
        <v>4722</v>
      </c>
      <c r="H42" s="329">
        <f>3833.48</f>
        <v>3833.48</v>
      </c>
      <c r="I42" s="329">
        <v>0</v>
      </c>
      <c r="J42" s="329">
        <v>0</v>
      </c>
      <c r="K42" s="329">
        <v>0</v>
      </c>
      <c r="L42" s="329">
        <v>0</v>
      </c>
      <c r="M42" s="339">
        <f t="shared" si="10"/>
        <v>4722</v>
      </c>
      <c r="N42" s="339">
        <f t="shared" si="11"/>
        <v>3833.48</v>
      </c>
      <c r="O42" s="342">
        <f t="shared" si="2"/>
        <v>0.81183396865734858</v>
      </c>
    </row>
    <row r="43" spans="1:15" s="5" customFormat="1" ht="142.9" customHeight="1" x14ac:dyDescent="0.2">
      <c r="A43" s="913" t="s">
        <v>64</v>
      </c>
      <c r="B43" s="919" t="s">
        <v>65</v>
      </c>
      <c r="C43" s="919" t="s">
        <v>57</v>
      </c>
      <c r="D43" s="870" t="s">
        <v>66</v>
      </c>
      <c r="E43" s="870" t="s">
        <v>151</v>
      </c>
      <c r="F43" s="895" t="s">
        <v>643</v>
      </c>
      <c r="G43" s="329">
        <v>4750</v>
      </c>
      <c r="H43" s="329">
        <v>4315.76</v>
      </c>
      <c r="I43" s="329">
        <v>0</v>
      </c>
      <c r="J43" s="329">
        <v>0</v>
      </c>
      <c r="K43" s="329">
        <v>0</v>
      </c>
      <c r="L43" s="329">
        <v>0</v>
      </c>
      <c r="M43" s="339">
        <f t="shared" si="10"/>
        <v>4750</v>
      </c>
      <c r="N43" s="339">
        <f t="shared" si="11"/>
        <v>4315.76</v>
      </c>
      <c r="O43" s="342">
        <f t="shared" si="2"/>
        <v>0.90858105263157896</v>
      </c>
    </row>
    <row r="44" spans="1:15" s="5" customFormat="1" ht="136.15" customHeight="1" x14ac:dyDescent="0.2">
      <c r="A44" s="924" t="s">
        <v>64</v>
      </c>
      <c r="B44" s="919" t="s">
        <v>65</v>
      </c>
      <c r="C44" s="919" t="s">
        <v>57</v>
      </c>
      <c r="D44" s="870" t="s">
        <v>66</v>
      </c>
      <c r="E44" s="870" t="s">
        <v>252</v>
      </c>
      <c r="F44" s="870" t="s">
        <v>267</v>
      </c>
      <c r="G44" s="329">
        <v>4187</v>
      </c>
      <c r="H44" s="329">
        <v>4187</v>
      </c>
      <c r="I44" s="329">
        <v>0</v>
      </c>
      <c r="J44" s="329">
        <v>0</v>
      </c>
      <c r="K44" s="329">
        <v>0</v>
      </c>
      <c r="L44" s="329">
        <v>0</v>
      </c>
      <c r="M44" s="339">
        <f t="shared" si="10"/>
        <v>4187</v>
      </c>
      <c r="N44" s="339">
        <f t="shared" si="11"/>
        <v>4187</v>
      </c>
      <c r="O44" s="342">
        <f t="shared" si="2"/>
        <v>1</v>
      </c>
    </row>
    <row r="45" spans="1:15" s="5" customFormat="1" ht="267" customHeight="1" x14ac:dyDescent="0.2">
      <c r="A45" s="918" t="s">
        <v>515</v>
      </c>
      <c r="B45" s="919">
        <v>1291</v>
      </c>
      <c r="C45" s="919" t="s">
        <v>57</v>
      </c>
      <c r="D45" s="870" t="s">
        <v>516</v>
      </c>
      <c r="E45" s="870" t="s">
        <v>151</v>
      </c>
      <c r="F45" s="895" t="s">
        <v>643</v>
      </c>
      <c r="G45" s="329">
        <v>298620</v>
      </c>
      <c r="H45" s="329">
        <f>139356</f>
        <v>139356</v>
      </c>
      <c r="I45" s="329">
        <v>0</v>
      </c>
      <c r="J45" s="329">
        <v>0</v>
      </c>
      <c r="K45" s="329">
        <v>0</v>
      </c>
      <c r="L45" s="329">
        <v>0</v>
      </c>
      <c r="M45" s="339">
        <f t="shared" si="10"/>
        <v>298620</v>
      </c>
      <c r="N45" s="339">
        <f t="shared" si="11"/>
        <v>139356</v>
      </c>
      <c r="O45" s="342">
        <f t="shared" si="2"/>
        <v>0.46666666666666667</v>
      </c>
    </row>
    <row r="46" spans="1:15" s="5" customFormat="1" ht="235.9" customHeight="1" x14ac:dyDescent="0.2">
      <c r="A46" s="918" t="s">
        <v>522</v>
      </c>
      <c r="B46" s="919">
        <v>1292</v>
      </c>
      <c r="C46" s="919" t="s">
        <v>57</v>
      </c>
      <c r="D46" s="870" t="s">
        <v>523</v>
      </c>
      <c r="E46" s="870" t="s">
        <v>151</v>
      </c>
      <c r="F46" s="895" t="s">
        <v>643</v>
      </c>
      <c r="G46" s="329">
        <v>0</v>
      </c>
      <c r="H46" s="329">
        <v>0</v>
      </c>
      <c r="I46" s="329">
        <v>696780</v>
      </c>
      <c r="J46" s="329"/>
      <c r="K46" s="329">
        <f>324334</f>
        <v>324334</v>
      </c>
      <c r="L46" s="329"/>
      <c r="M46" s="339">
        <f t="shared" si="10"/>
        <v>696780</v>
      </c>
      <c r="N46" s="339">
        <f t="shared" si="11"/>
        <v>324334</v>
      </c>
      <c r="O46" s="342">
        <f t="shared" si="2"/>
        <v>0.46547547288957775</v>
      </c>
    </row>
    <row r="47" spans="1:15" s="5" customFormat="1" ht="186" customHeight="1" thickBot="1" x14ac:dyDescent="0.25">
      <c r="A47" s="925" t="s">
        <v>517</v>
      </c>
      <c r="B47" s="926">
        <v>3140</v>
      </c>
      <c r="C47" s="926">
        <v>1040</v>
      </c>
      <c r="D47" s="927" t="s">
        <v>518</v>
      </c>
      <c r="E47" s="927" t="s">
        <v>593</v>
      </c>
      <c r="F47" s="927" t="s">
        <v>594</v>
      </c>
      <c r="G47" s="618">
        <v>864500</v>
      </c>
      <c r="H47" s="618">
        <v>864498.97</v>
      </c>
      <c r="I47" s="618">
        <v>0</v>
      </c>
      <c r="J47" s="618">
        <v>0</v>
      </c>
      <c r="K47" s="618">
        <v>0</v>
      </c>
      <c r="L47" s="618">
        <v>0</v>
      </c>
      <c r="M47" s="349">
        <f t="shared" si="10"/>
        <v>864500</v>
      </c>
      <c r="N47" s="349">
        <f t="shared" si="11"/>
        <v>864498.97</v>
      </c>
      <c r="O47" s="621">
        <f t="shared" si="2"/>
        <v>0.99999880855986112</v>
      </c>
    </row>
    <row r="48" spans="1:15" s="5" customFormat="1" ht="87" customHeight="1" thickBot="1" x14ac:dyDescent="0.25">
      <c r="A48" s="920" t="s">
        <v>68</v>
      </c>
      <c r="B48" s="344"/>
      <c r="C48" s="344"/>
      <c r="D48" s="314" t="s">
        <v>487</v>
      </c>
      <c r="E48" s="314"/>
      <c r="F48" s="314"/>
      <c r="G48" s="315">
        <f>G49</f>
        <v>20012451</v>
      </c>
      <c r="H48" s="315">
        <f>H49</f>
        <v>9983335.5299999993</v>
      </c>
      <c r="I48" s="315">
        <f t="shared" ref="I48:N48" si="12">I49</f>
        <v>0</v>
      </c>
      <c r="J48" s="315">
        <f t="shared" si="12"/>
        <v>0</v>
      </c>
      <c r="K48" s="315">
        <f t="shared" si="12"/>
        <v>0</v>
      </c>
      <c r="L48" s="315">
        <f t="shared" si="12"/>
        <v>0</v>
      </c>
      <c r="M48" s="315">
        <f>M49</f>
        <v>20012451</v>
      </c>
      <c r="N48" s="315">
        <f t="shared" si="12"/>
        <v>9983335.5299999993</v>
      </c>
      <c r="O48" s="345">
        <f t="shared" si="2"/>
        <v>0.49885621356424553</v>
      </c>
    </row>
    <row r="49" spans="1:15" s="5" customFormat="1" ht="103.9" customHeight="1" thickBot="1" x14ac:dyDescent="0.25">
      <c r="A49" s="921" t="s">
        <v>70</v>
      </c>
      <c r="B49" s="346"/>
      <c r="C49" s="346"/>
      <c r="D49" s="347" t="s">
        <v>488</v>
      </c>
      <c r="E49" s="320"/>
      <c r="F49" s="320"/>
      <c r="G49" s="348">
        <f t="shared" ref="G49:L49" si="13">SUM(G50:G55)</f>
        <v>20012451</v>
      </c>
      <c r="H49" s="348">
        <f>SUM(H50:H55)</f>
        <v>9983335.5299999993</v>
      </c>
      <c r="I49" s="348">
        <f t="shared" si="13"/>
        <v>0</v>
      </c>
      <c r="J49" s="348">
        <f t="shared" si="13"/>
        <v>0</v>
      </c>
      <c r="K49" s="348">
        <f t="shared" si="13"/>
        <v>0</v>
      </c>
      <c r="L49" s="348">
        <f t="shared" si="13"/>
        <v>0</v>
      </c>
      <c r="M49" s="348">
        <f t="shared" ref="M49:M58" si="14">G49+I49</f>
        <v>20012451</v>
      </c>
      <c r="N49" s="348">
        <f t="shared" ref="N49:N55" si="15">H49+K49</f>
        <v>9983335.5299999993</v>
      </c>
      <c r="O49" s="336">
        <f t="shared" si="2"/>
        <v>0.49885621356424553</v>
      </c>
    </row>
    <row r="50" spans="1:15" s="5" customFormat="1" ht="183.75" customHeight="1" x14ac:dyDescent="0.2">
      <c r="A50" s="922" t="s">
        <v>71</v>
      </c>
      <c r="B50" s="923" t="s">
        <v>72</v>
      </c>
      <c r="C50" s="923" t="s">
        <v>73</v>
      </c>
      <c r="D50" s="912" t="s">
        <v>74</v>
      </c>
      <c r="E50" s="928" t="s">
        <v>234</v>
      </c>
      <c r="F50" s="912" t="s">
        <v>607</v>
      </c>
      <c r="G50" s="343">
        <v>12750</v>
      </c>
      <c r="H50" s="343">
        <v>5230.8500000000004</v>
      </c>
      <c r="I50" s="862">
        <v>0</v>
      </c>
      <c r="J50" s="343">
        <v>0</v>
      </c>
      <c r="K50" s="343">
        <v>0</v>
      </c>
      <c r="L50" s="343">
        <v>0</v>
      </c>
      <c r="M50" s="343">
        <f t="shared" si="14"/>
        <v>12750</v>
      </c>
      <c r="N50" s="343">
        <f t="shared" si="15"/>
        <v>5230.8500000000004</v>
      </c>
      <c r="O50" s="331">
        <f t="shared" si="2"/>
        <v>0.41026274509803923</v>
      </c>
    </row>
    <row r="51" spans="1:15" s="330" customFormat="1" ht="162" customHeight="1" x14ac:dyDescent="0.2">
      <c r="A51" s="913" t="s">
        <v>75</v>
      </c>
      <c r="B51" s="919" t="s">
        <v>76</v>
      </c>
      <c r="C51" s="919" t="s">
        <v>54</v>
      </c>
      <c r="D51" s="870" t="s">
        <v>77</v>
      </c>
      <c r="E51" s="916" t="s">
        <v>234</v>
      </c>
      <c r="F51" s="870" t="s">
        <v>607</v>
      </c>
      <c r="G51" s="339">
        <v>8400</v>
      </c>
      <c r="H51" s="339">
        <v>5404.64</v>
      </c>
      <c r="I51" s="358">
        <v>0</v>
      </c>
      <c r="J51" s="339">
        <v>0</v>
      </c>
      <c r="K51" s="339">
        <v>0</v>
      </c>
      <c r="L51" s="339">
        <v>0</v>
      </c>
      <c r="M51" s="339">
        <f t="shared" si="14"/>
        <v>8400</v>
      </c>
      <c r="N51" s="339">
        <f t="shared" si="15"/>
        <v>5404.64</v>
      </c>
      <c r="O51" s="333">
        <f t="shared" si="2"/>
        <v>0.64340952380952388</v>
      </c>
    </row>
    <row r="52" spans="1:15" s="330" customFormat="1" ht="220.9" customHeight="1" x14ac:dyDescent="0.2">
      <c r="A52" s="918" t="s">
        <v>182</v>
      </c>
      <c r="B52" s="919">
        <v>3105</v>
      </c>
      <c r="C52" s="919">
        <v>1010</v>
      </c>
      <c r="D52" s="870" t="s">
        <v>184</v>
      </c>
      <c r="E52" s="323" t="s">
        <v>595</v>
      </c>
      <c r="F52" s="895" t="s">
        <v>596</v>
      </c>
      <c r="G52" s="339">
        <v>12401</v>
      </c>
      <c r="H52" s="339">
        <v>12400.04</v>
      </c>
      <c r="I52" s="358">
        <v>0</v>
      </c>
      <c r="J52" s="339">
        <v>0</v>
      </c>
      <c r="K52" s="339">
        <v>0</v>
      </c>
      <c r="L52" s="339">
        <v>0</v>
      </c>
      <c r="M52" s="339">
        <f t="shared" si="14"/>
        <v>12401</v>
      </c>
      <c r="N52" s="339">
        <f t="shared" si="15"/>
        <v>12400.04</v>
      </c>
      <c r="O52" s="333">
        <f t="shared" si="2"/>
        <v>0.99992258688815427</v>
      </c>
    </row>
    <row r="53" spans="1:15" s="330" customFormat="1" ht="133.15" customHeight="1" x14ac:dyDescent="0.2">
      <c r="A53" s="924">
        <v>813241</v>
      </c>
      <c r="B53" s="919">
        <v>3241</v>
      </c>
      <c r="C53" s="919">
        <v>1090</v>
      </c>
      <c r="D53" s="870" t="s">
        <v>190</v>
      </c>
      <c r="E53" s="916" t="s">
        <v>152</v>
      </c>
      <c r="F53" s="870" t="s">
        <v>608</v>
      </c>
      <c r="G53" s="339">
        <v>71000</v>
      </c>
      <c r="H53" s="329">
        <v>34200</v>
      </c>
      <c r="I53" s="358">
        <v>0</v>
      </c>
      <c r="J53" s="339">
        <v>0</v>
      </c>
      <c r="K53" s="339">
        <v>0</v>
      </c>
      <c r="L53" s="339">
        <v>0</v>
      </c>
      <c r="M53" s="339">
        <f t="shared" si="14"/>
        <v>71000</v>
      </c>
      <c r="N53" s="339">
        <f t="shared" si="15"/>
        <v>34200</v>
      </c>
      <c r="O53" s="333">
        <f t="shared" si="2"/>
        <v>0.48169014084507045</v>
      </c>
    </row>
    <row r="54" spans="1:15" s="330" customFormat="1" ht="136.15" customHeight="1" x14ac:dyDescent="0.2">
      <c r="A54" s="913" t="s">
        <v>79</v>
      </c>
      <c r="B54" s="919" t="s">
        <v>80</v>
      </c>
      <c r="C54" s="919" t="s">
        <v>78</v>
      </c>
      <c r="D54" s="870" t="s">
        <v>81</v>
      </c>
      <c r="E54" s="916" t="s">
        <v>240</v>
      </c>
      <c r="F54" s="895" t="s">
        <v>644</v>
      </c>
      <c r="G54" s="339">
        <v>17607900</v>
      </c>
      <c r="H54" s="339">
        <v>8381100</v>
      </c>
      <c r="I54" s="329">
        <v>0</v>
      </c>
      <c r="J54" s="339">
        <v>0</v>
      </c>
      <c r="K54" s="339">
        <v>0</v>
      </c>
      <c r="L54" s="339">
        <v>0</v>
      </c>
      <c r="M54" s="339">
        <f t="shared" si="14"/>
        <v>17607900</v>
      </c>
      <c r="N54" s="339">
        <f t="shared" si="15"/>
        <v>8381100</v>
      </c>
      <c r="O54" s="333">
        <f t="shared" si="2"/>
        <v>0.47598521118361642</v>
      </c>
    </row>
    <row r="55" spans="1:15" s="330" customFormat="1" ht="264" customHeight="1" thickBot="1" x14ac:dyDescent="0.25">
      <c r="A55" s="929" t="s">
        <v>79</v>
      </c>
      <c r="B55" s="926" t="s">
        <v>80</v>
      </c>
      <c r="C55" s="926" t="s">
        <v>78</v>
      </c>
      <c r="D55" s="927" t="s">
        <v>81</v>
      </c>
      <c r="E55" s="930" t="s">
        <v>235</v>
      </c>
      <c r="F55" s="931" t="s">
        <v>599</v>
      </c>
      <c r="G55" s="349">
        <v>2300000</v>
      </c>
      <c r="H55" s="349">
        <v>1545000</v>
      </c>
      <c r="I55" s="618">
        <v>0</v>
      </c>
      <c r="J55" s="349">
        <v>0</v>
      </c>
      <c r="K55" s="349">
        <v>0</v>
      </c>
      <c r="L55" s="349">
        <v>0</v>
      </c>
      <c r="M55" s="349">
        <f t="shared" si="14"/>
        <v>2300000</v>
      </c>
      <c r="N55" s="349">
        <f t="shared" si="15"/>
        <v>1545000</v>
      </c>
      <c r="O55" s="866">
        <f t="shared" si="2"/>
        <v>0.67173913043478262</v>
      </c>
    </row>
    <row r="56" spans="1:15" s="330" customFormat="1" ht="81" customHeight="1" thickBot="1" x14ac:dyDescent="0.35">
      <c r="A56" s="920" t="s">
        <v>82</v>
      </c>
      <c r="B56" s="932" t="s">
        <v>14</v>
      </c>
      <c r="C56" s="932" t="s">
        <v>14</v>
      </c>
      <c r="D56" s="933" t="s">
        <v>83</v>
      </c>
      <c r="E56" s="934" t="s">
        <v>14</v>
      </c>
      <c r="F56" s="934" t="s">
        <v>14</v>
      </c>
      <c r="G56" s="350">
        <f t="shared" ref="G56:L57" si="16">G57</f>
        <v>32000</v>
      </c>
      <c r="H56" s="350">
        <f t="shared" si="16"/>
        <v>32000</v>
      </c>
      <c r="I56" s="350">
        <f t="shared" si="16"/>
        <v>0</v>
      </c>
      <c r="J56" s="350">
        <f t="shared" si="16"/>
        <v>0</v>
      </c>
      <c r="K56" s="350">
        <f t="shared" si="16"/>
        <v>0</v>
      </c>
      <c r="L56" s="350">
        <f t="shared" si="16"/>
        <v>0</v>
      </c>
      <c r="M56" s="350">
        <f t="shared" si="14"/>
        <v>32000</v>
      </c>
      <c r="N56" s="350">
        <f>N57</f>
        <v>32000</v>
      </c>
      <c r="O56" s="351">
        <f t="shared" si="2"/>
        <v>1</v>
      </c>
    </row>
    <row r="57" spans="1:15" s="5" customFormat="1" ht="83.45" customHeight="1" thickBot="1" x14ac:dyDescent="0.25">
      <c r="A57" s="921" t="s">
        <v>84</v>
      </c>
      <c r="B57" s="320" t="s">
        <v>14</v>
      </c>
      <c r="C57" s="320" t="s">
        <v>14</v>
      </c>
      <c r="D57" s="935" t="s">
        <v>83</v>
      </c>
      <c r="E57" s="936" t="s">
        <v>14</v>
      </c>
      <c r="F57" s="936" t="s">
        <v>14</v>
      </c>
      <c r="G57" s="352">
        <f>G58</f>
        <v>32000</v>
      </c>
      <c r="H57" s="352">
        <f>H58</f>
        <v>32000</v>
      </c>
      <c r="I57" s="352">
        <v>0</v>
      </c>
      <c r="J57" s="352">
        <f t="shared" si="16"/>
        <v>0</v>
      </c>
      <c r="K57" s="352">
        <f t="shared" si="16"/>
        <v>0</v>
      </c>
      <c r="L57" s="352">
        <f t="shared" si="16"/>
        <v>0</v>
      </c>
      <c r="M57" s="352">
        <f t="shared" si="14"/>
        <v>32000</v>
      </c>
      <c r="N57" s="352">
        <f>H57+K57</f>
        <v>32000</v>
      </c>
      <c r="O57" s="353">
        <f>N57/M57</f>
        <v>1</v>
      </c>
    </row>
    <row r="58" spans="1:15" s="355" customFormat="1" ht="96.75" customHeight="1" thickBot="1" x14ac:dyDescent="0.25">
      <c r="A58" s="937" t="s">
        <v>85</v>
      </c>
      <c r="B58" s="938" t="s">
        <v>86</v>
      </c>
      <c r="C58" s="938" t="s">
        <v>67</v>
      </c>
      <c r="D58" s="939" t="s">
        <v>87</v>
      </c>
      <c r="E58" s="940" t="s">
        <v>226</v>
      </c>
      <c r="F58" s="940" t="s">
        <v>227</v>
      </c>
      <c r="G58" s="337">
        <v>32000</v>
      </c>
      <c r="H58" s="864">
        <v>32000</v>
      </c>
      <c r="I58" s="853">
        <v>0</v>
      </c>
      <c r="J58" s="337">
        <v>0</v>
      </c>
      <c r="K58" s="337">
        <v>0</v>
      </c>
      <c r="L58" s="337">
        <v>0</v>
      </c>
      <c r="M58" s="337">
        <f t="shared" si="14"/>
        <v>32000</v>
      </c>
      <c r="N58" s="338">
        <f>H58+K58</f>
        <v>32000</v>
      </c>
      <c r="O58" s="354">
        <f t="shared" si="2"/>
        <v>1</v>
      </c>
    </row>
    <row r="59" spans="1:15" s="5" customFormat="1" ht="108" customHeight="1" thickBot="1" x14ac:dyDescent="0.25">
      <c r="A59" s="941" t="s">
        <v>88</v>
      </c>
      <c r="B59" s="932" t="s">
        <v>14</v>
      </c>
      <c r="C59" s="932" t="s">
        <v>14</v>
      </c>
      <c r="D59" s="934" t="s">
        <v>89</v>
      </c>
      <c r="E59" s="934" t="s">
        <v>14</v>
      </c>
      <c r="F59" s="934" t="s">
        <v>14</v>
      </c>
      <c r="G59" s="356">
        <f>G60</f>
        <v>32373476</v>
      </c>
      <c r="H59" s="356">
        <f t="shared" ref="H59:N59" si="17">H60</f>
        <v>18841527.340000004</v>
      </c>
      <c r="I59" s="356">
        <f t="shared" si="17"/>
        <v>1594000</v>
      </c>
      <c r="J59" s="356">
        <f t="shared" si="17"/>
        <v>1594000</v>
      </c>
      <c r="K59" s="356">
        <f t="shared" si="17"/>
        <v>0</v>
      </c>
      <c r="L59" s="356">
        <f t="shared" si="17"/>
        <v>0</v>
      </c>
      <c r="M59" s="356">
        <f t="shared" si="17"/>
        <v>33967476</v>
      </c>
      <c r="N59" s="356">
        <f t="shared" si="17"/>
        <v>18841527.340000004</v>
      </c>
      <c r="O59" s="345">
        <f t="shared" si="2"/>
        <v>0.55469318179543292</v>
      </c>
    </row>
    <row r="60" spans="1:15" s="160" customFormat="1" ht="93" customHeight="1" thickBot="1" x14ac:dyDescent="0.25">
      <c r="A60" s="921" t="s">
        <v>90</v>
      </c>
      <c r="B60" s="320" t="s">
        <v>14</v>
      </c>
      <c r="C60" s="320" t="s">
        <v>14</v>
      </c>
      <c r="D60" s="935" t="s">
        <v>89</v>
      </c>
      <c r="E60" s="936" t="s">
        <v>14</v>
      </c>
      <c r="F60" s="936" t="s">
        <v>14</v>
      </c>
      <c r="G60" s="321">
        <f t="shared" ref="G60:L60" si="18">G61+G62+G63+G64+G65+G66+G67+G68+G69+G70+G71+G72+G73</f>
        <v>32373476</v>
      </c>
      <c r="H60" s="321">
        <f t="shared" si="18"/>
        <v>18841527.340000004</v>
      </c>
      <c r="I60" s="321">
        <f t="shared" si="18"/>
        <v>1594000</v>
      </c>
      <c r="J60" s="321">
        <f t="shared" si="18"/>
        <v>1594000</v>
      </c>
      <c r="K60" s="321">
        <f t="shared" si="18"/>
        <v>0</v>
      </c>
      <c r="L60" s="321">
        <f t="shared" si="18"/>
        <v>0</v>
      </c>
      <c r="M60" s="321">
        <f>G60+I60</f>
        <v>33967476</v>
      </c>
      <c r="N60" s="352">
        <f>H60+K60</f>
        <v>18841527.340000004</v>
      </c>
      <c r="O60" s="336">
        <f t="shared" si="2"/>
        <v>0.55469318179543292</v>
      </c>
    </row>
    <row r="61" spans="1:15" s="160" customFormat="1" ht="131.25" x14ac:dyDescent="0.2">
      <c r="A61" s="922" t="s">
        <v>91</v>
      </c>
      <c r="B61" s="923" t="s">
        <v>92</v>
      </c>
      <c r="C61" s="923" t="s">
        <v>55</v>
      </c>
      <c r="D61" s="912" t="s">
        <v>93</v>
      </c>
      <c r="E61" s="928" t="s">
        <v>153</v>
      </c>
      <c r="F61" s="912" t="s">
        <v>609</v>
      </c>
      <c r="G61" s="357">
        <v>22500</v>
      </c>
      <c r="H61" s="357">
        <f>0</f>
        <v>0</v>
      </c>
      <c r="I61" s="357">
        <v>0</v>
      </c>
      <c r="J61" s="357">
        <v>0</v>
      </c>
      <c r="K61" s="357">
        <v>0</v>
      </c>
      <c r="L61" s="357">
        <v>0</v>
      </c>
      <c r="M61" s="357">
        <f>G61+I61</f>
        <v>22500</v>
      </c>
      <c r="N61" s="324">
        <f t="shared" ref="N61:N73" si="19">H61+K61</f>
        <v>0</v>
      </c>
      <c r="O61" s="331">
        <f t="shared" si="2"/>
        <v>0</v>
      </c>
    </row>
    <row r="62" spans="1:15" s="160" customFormat="1" ht="95.25" customHeight="1" x14ac:dyDescent="0.2">
      <c r="A62" s="924" t="s">
        <v>94</v>
      </c>
      <c r="B62" s="919" t="s">
        <v>95</v>
      </c>
      <c r="C62" s="919" t="s">
        <v>67</v>
      </c>
      <c r="D62" s="870" t="s">
        <v>96</v>
      </c>
      <c r="E62" s="916" t="s">
        <v>252</v>
      </c>
      <c r="F62" s="870" t="s">
        <v>267</v>
      </c>
      <c r="G62" s="340">
        <v>29026</v>
      </c>
      <c r="H62" s="340">
        <v>29026</v>
      </c>
      <c r="I62" s="340">
        <v>0</v>
      </c>
      <c r="J62" s="340">
        <v>0</v>
      </c>
      <c r="K62" s="340">
        <v>0</v>
      </c>
      <c r="L62" s="340">
        <v>0</v>
      </c>
      <c r="M62" s="340">
        <f>G62+I62</f>
        <v>29026</v>
      </c>
      <c r="N62" s="329">
        <f t="shared" si="19"/>
        <v>29026</v>
      </c>
      <c r="O62" s="342">
        <f t="shared" si="2"/>
        <v>1</v>
      </c>
    </row>
    <row r="63" spans="1:15" s="160" customFormat="1" ht="131.25" x14ac:dyDescent="0.2">
      <c r="A63" s="913" t="s">
        <v>94</v>
      </c>
      <c r="B63" s="919" t="s">
        <v>95</v>
      </c>
      <c r="C63" s="919" t="s">
        <v>67</v>
      </c>
      <c r="D63" s="870" t="s">
        <v>96</v>
      </c>
      <c r="E63" s="916" t="s">
        <v>152</v>
      </c>
      <c r="F63" s="870" t="s">
        <v>610</v>
      </c>
      <c r="G63" s="340">
        <v>211500</v>
      </c>
      <c r="H63" s="340">
        <v>157500</v>
      </c>
      <c r="I63" s="340">
        <v>0</v>
      </c>
      <c r="J63" s="340">
        <v>0</v>
      </c>
      <c r="K63" s="340">
        <v>0</v>
      </c>
      <c r="L63" s="340">
        <v>0</v>
      </c>
      <c r="M63" s="340">
        <f t="shared" ref="M63:M73" si="20">G63+I63</f>
        <v>211500</v>
      </c>
      <c r="N63" s="358">
        <f t="shared" si="19"/>
        <v>157500</v>
      </c>
      <c r="O63" s="342">
        <f t="shared" si="2"/>
        <v>0.74468085106382975</v>
      </c>
    </row>
    <row r="64" spans="1:15" s="160" customFormat="1" ht="131.25" x14ac:dyDescent="0.2">
      <c r="A64" s="913" t="s">
        <v>97</v>
      </c>
      <c r="B64" s="919" t="s">
        <v>98</v>
      </c>
      <c r="C64" s="919" t="s">
        <v>99</v>
      </c>
      <c r="D64" s="870" t="s">
        <v>100</v>
      </c>
      <c r="E64" s="870" t="s">
        <v>153</v>
      </c>
      <c r="F64" s="870" t="s">
        <v>609</v>
      </c>
      <c r="G64" s="340">
        <v>8000</v>
      </c>
      <c r="H64" s="340">
        <v>0</v>
      </c>
      <c r="I64" s="340">
        <v>0</v>
      </c>
      <c r="J64" s="340">
        <v>0</v>
      </c>
      <c r="K64" s="340">
        <v>0</v>
      </c>
      <c r="L64" s="340">
        <v>0</v>
      </c>
      <c r="M64" s="340">
        <f t="shared" si="20"/>
        <v>8000</v>
      </c>
      <c r="N64" s="358">
        <f t="shared" si="19"/>
        <v>0</v>
      </c>
      <c r="O64" s="342">
        <f t="shared" si="2"/>
        <v>0</v>
      </c>
    </row>
    <row r="65" spans="1:15" s="160" customFormat="1" ht="131.25" x14ac:dyDescent="0.2">
      <c r="A65" s="913" t="s">
        <v>101</v>
      </c>
      <c r="B65" s="919" t="s">
        <v>102</v>
      </c>
      <c r="C65" s="919" t="s">
        <v>99</v>
      </c>
      <c r="D65" s="870" t="s">
        <v>103</v>
      </c>
      <c r="E65" s="870" t="s">
        <v>153</v>
      </c>
      <c r="F65" s="870" t="s">
        <v>609</v>
      </c>
      <c r="G65" s="340">
        <v>3000</v>
      </c>
      <c r="H65" s="340">
        <v>0</v>
      </c>
      <c r="I65" s="340">
        <v>0</v>
      </c>
      <c r="J65" s="340">
        <v>0</v>
      </c>
      <c r="K65" s="340">
        <v>0</v>
      </c>
      <c r="L65" s="340">
        <v>0</v>
      </c>
      <c r="M65" s="340">
        <f t="shared" si="20"/>
        <v>3000</v>
      </c>
      <c r="N65" s="358">
        <f t="shared" si="19"/>
        <v>0</v>
      </c>
      <c r="O65" s="342">
        <f t="shared" si="2"/>
        <v>0</v>
      </c>
    </row>
    <row r="66" spans="1:15" s="160" customFormat="1" ht="131.25" x14ac:dyDescent="0.2">
      <c r="A66" s="913" t="s">
        <v>104</v>
      </c>
      <c r="B66" s="919" t="s">
        <v>105</v>
      </c>
      <c r="C66" s="919" t="s">
        <v>106</v>
      </c>
      <c r="D66" s="870" t="s">
        <v>107</v>
      </c>
      <c r="E66" s="870" t="s">
        <v>153</v>
      </c>
      <c r="F66" s="870" t="s">
        <v>609</v>
      </c>
      <c r="G66" s="340">
        <v>25700</v>
      </c>
      <c r="H66" s="340">
        <v>0</v>
      </c>
      <c r="I66" s="340">
        <v>0</v>
      </c>
      <c r="J66" s="340">
        <v>0</v>
      </c>
      <c r="K66" s="340">
        <v>0</v>
      </c>
      <c r="L66" s="340">
        <v>0</v>
      </c>
      <c r="M66" s="340">
        <f t="shared" si="20"/>
        <v>25700</v>
      </c>
      <c r="N66" s="358">
        <f t="shared" si="19"/>
        <v>0</v>
      </c>
      <c r="O66" s="342">
        <f t="shared" si="2"/>
        <v>0</v>
      </c>
    </row>
    <row r="67" spans="1:15" s="160" customFormat="1" ht="131.25" x14ac:dyDescent="0.2">
      <c r="A67" s="913" t="s">
        <v>109</v>
      </c>
      <c r="B67" s="919" t="s">
        <v>110</v>
      </c>
      <c r="C67" s="919" t="s">
        <v>108</v>
      </c>
      <c r="D67" s="870" t="s">
        <v>111</v>
      </c>
      <c r="E67" s="870" t="s">
        <v>153</v>
      </c>
      <c r="F67" s="870" t="s">
        <v>609</v>
      </c>
      <c r="G67" s="340">
        <v>194000</v>
      </c>
      <c r="H67" s="340">
        <v>142995</v>
      </c>
      <c r="I67" s="340">
        <v>0</v>
      </c>
      <c r="J67" s="340">
        <v>0</v>
      </c>
      <c r="K67" s="340">
        <v>0</v>
      </c>
      <c r="L67" s="340">
        <v>0</v>
      </c>
      <c r="M67" s="340">
        <f t="shared" si="20"/>
        <v>194000</v>
      </c>
      <c r="N67" s="358">
        <f t="shared" si="19"/>
        <v>142995</v>
      </c>
      <c r="O67" s="342">
        <f t="shared" si="2"/>
        <v>0.73708762886597934</v>
      </c>
    </row>
    <row r="68" spans="1:15" s="160" customFormat="1" ht="135" customHeight="1" x14ac:dyDescent="0.2">
      <c r="A68" s="913" t="s">
        <v>112</v>
      </c>
      <c r="B68" s="919" t="s">
        <v>113</v>
      </c>
      <c r="C68" s="919" t="s">
        <v>114</v>
      </c>
      <c r="D68" s="870" t="s">
        <v>115</v>
      </c>
      <c r="E68" s="870" t="s">
        <v>230</v>
      </c>
      <c r="F68" s="895" t="s">
        <v>645</v>
      </c>
      <c r="G68" s="340">
        <v>32750</v>
      </c>
      <c r="H68" s="340">
        <v>29200</v>
      </c>
      <c r="I68" s="340">
        <v>0</v>
      </c>
      <c r="J68" s="340">
        <v>0</v>
      </c>
      <c r="K68" s="340">
        <v>0</v>
      </c>
      <c r="L68" s="340">
        <v>0</v>
      </c>
      <c r="M68" s="340">
        <f t="shared" si="20"/>
        <v>32750</v>
      </c>
      <c r="N68" s="358">
        <f t="shared" si="19"/>
        <v>29200</v>
      </c>
      <c r="O68" s="333">
        <f t="shared" si="2"/>
        <v>0.89160305343511448</v>
      </c>
    </row>
    <row r="69" spans="1:15" s="160" customFormat="1" ht="130.15" customHeight="1" x14ac:dyDescent="0.2">
      <c r="A69" s="913" t="s">
        <v>116</v>
      </c>
      <c r="B69" s="919" t="s">
        <v>117</v>
      </c>
      <c r="C69" s="919" t="s">
        <v>114</v>
      </c>
      <c r="D69" s="870" t="s">
        <v>118</v>
      </c>
      <c r="E69" s="870" t="s">
        <v>230</v>
      </c>
      <c r="F69" s="895" t="s">
        <v>645</v>
      </c>
      <c r="G69" s="340">
        <v>1667729</v>
      </c>
      <c r="H69" s="340">
        <f>593844.71</f>
        <v>593844.71</v>
      </c>
      <c r="I69" s="340">
        <v>0</v>
      </c>
      <c r="J69" s="340">
        <v>0</v>
      </c>
      <c r="K69" s="340">
        <v>0</v>
      </c>
      <c r="L69" s="340">
        <v>0</v>
      </c>
      <c r="M69" s="340">
        <f t="shared" si="20"/>
        <v>1667729</v>
      </c>
      <c r="N69" s="358">
        <f t="shared" si="19"/>
        <v>593844.71</v>
      </c>
      <c r="O69" s="333">
        <f t="shared" si="2"/>
        <v>0.35607986069679182</v>
      </c>
    </row>
    <row r="70" spans="1:15" s="160" customFormat="1" ht="133.5" customHeight="1" x14ac:dyDescent="0.2">
      <c r="A70" s="913">
        <v>1015041</v>
      </c>
      <c r="B70" s="734">
        <v>5041</v>
      </c>
      <c r="C70" s="734" t="s">
        <v>114</v>
      </c>
      <c r="D70" s="323" t="s">
        <v>157</v>
      </c>
      <c r="E70" s="916" t="s">
        <v>230</v>
      </c>
      <c r="F70" s="895" t="s">
        <v>645</v>
      </c>
      <c r="G70" s="340">
        <v>28448040</v>
      </c>
      <c r="H70" s="340">
        <f>16986744.01</f>
        <v>16986744.010000002</v>
      </c>
      <c r="I70" s="340">
        <v>1594000</v>
      </c>
      <c r="J70" s="340">
        <f>I70</f>
        <v>1594000</v>
      </c>
      <c r="K70" s="340">
        <v>0</v>
      </c>
      <c r="L70" s="340">
        <v>0</v>
      </c>
      <c r="M70" s="340">
        <f>G70+I70</f>
        <v>30042040</v>
      </c>
      <c r="N70" s="358">
        <f>H70+K70</f>
        <v>16986744.010000002</v>
      </c>
      <c r="O70" s="333">
        <f t="shared" si="2"/>
        <v>0.56543244100600365</v>
      </c>
    </row>
    <row r="71" spans="1:15" s="160" customFormat="1" ht="150" x14ac:dyDescent="0.2">
      <c r="A71" s="913" t="s">
        <v>119</v>
      </c>
      <c r="B71" s="919" t="s">
        <v>120</v>
      </c>
      <c r="C71" s="919" t="s">
        <v>114</v>
      </c>
      <c r="D71" s="916" t="s">
        <v>121</v>
      </c>
      <c r="E71" s="916" t="s">
        <v>230</v>
      </c>
      <c r="F71" s="895" t="s">
        <v>645</v>
      </c>
      <c r="G71" s="340">
        <v>1190931</v>
      </c>
      <c r="H71" s="340">
        <f>572217.62</f>
        <v>572217.62</v>
      </c>
      <c r="I71" s="340">
        <v>0</v>
      </c>
      <c r="J71" s="340">
        <v>0</v>
      </c>
      <c r="K71" s="340">
        <v>0</v>
      </c>
      <c r="L71" s="340">
        <v>0</v>
      </c>
      <c r="M71" s="340">
        <f t="shared" si="20"/>
        <v>1190931</v>
      </c>
      <c r="N71" s="358">
        <f t="shared" si="19"/>
        <v>572217.62</v>
      </c>
      <c r="O71" s="333">
        <f t="shared" si="2"/>
        <v>0.48047923851171898</v>
      </c>
    </row>
    <row r="72" spans="1:15" s="160" customFormat="1" ht="134.44999999999999" customHeight="1" x14ac:dyDescent="0.2">
      <c r="A72" s="913" t="s">
        <v>122</v>
      </c>
      <c r="B72" s="919" t="s">
        <v>123</v>
      </c>
      <c r="C72" s="919" t="s">
        <v>114</v>
      </c>
      <c r="D72" s="870" t="s">
        <v>124</v>
      </c>
      <c r="E72" s="916" t="s">
        <v>230</v>
      </c>
      <c r="F72" s="895" t="s">
        <v>645</v>
      </c>
      <c r="G72" s="340">
        <v>438000</v>
      </c>
      <c r="H72" s="340">
        <v>328500</v>
      </c>
      <c r="I72" s="340">
        <v>0</v>
      </c>
      <c r="J72" s="340">
        <v>0</v>
      </c>
      <c r="K72" s="340">
        <v>0</v>
      </c>
      <c r="L72" s="340">
        <v>0</v>
      </c>
      <c r="M72" s="340">
        <f t="shared" si="20"/>
        <v>438000</v>
      </c>
      <c r="N72" s="358">
        <f t="shared" si="19"/>
        <v>328500</v>
      </c>
      <c r="O72" s="342">
        <f t="shared" si="2"/>
        <v>0.75</v>
      </c>
    </row>
    <row r="73" spans="1:15" s="160" customFormat="1" ht="140.44999999999999" customHeight="1" thickBot="1" x14ac:dyDescent="0.25">
      <c r="A73" s="929">
        <v>1018110</v>
      </c>
      <c r="B73" s="942">
        <v>8110</v>
      </c>
      <c r="C73" s="942" t="s">
        <v>231</v>
      </c>
      <c r="D73" s="943" t="s">
        <v>232</v>
      </c>
      <c r="E73" s="927" t="s">
        <v>233</v>
      </c>
      <c r="F73" s="896" t="s">
        <v>646</v>
      </c>
      <c r="G73" s="619">
        <v>102300</v>
      </c>
      <c r="H73" s="619">
        <v>1500</v>
      </c>
      <c r="I73" s="619">
        <v>0</v>
      </c>
      <c r="J73" s="619">
        <v>0</v>
      </c>
      <c r="K73" s="619">
        <v>0</v>
      </c>
      <c r="L73" s="619">
        <v>0</v>
      </c>
      <c r="M73" s="619">
        <f t="shared" si="20"/>
        <v>102300</v>
      </c>
      <c r="N73" s="620">
        <f t="shared" si="19"/>
        <v>1500</v>
      </c>
      <c r="O73" s="621">
        <f t="shared" si="2"/>
        <v>1.466275659824047E-2</v>
      </c>
    </row>
    <row r="74" spans="1:15" s="160" customFormat="1" ht="115.5" customHeight="1" thickBot="1" x14ac:dyDescent="0.25">
      <c r="A74" s="941" t="s">
        <v>125</v>
      </c>
      <c r="B74" s="932" t="s">
        <v>14</v>
      </c>
      <c r="C74" s="932" t="s">
        <v>14</v>
      </c>
      <c r="D74" s="934" t="s">
        <v>126</v>
      </c>
      <c r="E74" s="934" t="s">
        <v>14</v>
      </c>
      <c r="F74" s="934" t="s">
        <v>14</v>
      </c>
      <c r="G74" s="315">
        <f>G75</f>
        <v>67059606</v>
      </c>
      <c r="H74" s="315">
        <f t="shared" ref="H74:N74" si="21">H75</f>
        <v>33512736.080000002</v>
      </c>
      <c r="I74" s="315">
        <f t="shared" si="21"/>
        <v>5319600</v>
      </c>
      <c r="J74" s="315">
        <f t="shared" si="21"/>
        <v>4960000</v>
      </c>
      <c r="K74" s="315">
        <f t="shared" si="21"/>
        <v>174700</v>
      </c>
      <c r="L74" s="315">
        <f t="shared" si="21"/>
        <v>0</v>
      </c>
      <c r="M74" s="315">
        <f t="shared" si="21"/>
        <v>72379206</v>
      </c>
      <c r="N74" s="315">
        <f t="shared" si="21"/>
        <v>33687436.079999998</v>
      </c>
      <c r="O74" s="345">
        <f t="shared" si="2"/>
        <v>0.46542975450711627</v>
      </c>
    </row>
    <row r="75" spans="1:15" s="160" customFormat="1" ht="118.5" customHeight="1" thickBot="1" x14ac:dyDescent="0.25">
      <c r="A75" s="944">
        <v>1210000</v>
      </c>
      <c r="B75" s="320" t="s">
        <v>14</v>
      </c>
      <c r="C75" s="320" t="s">
        <v>14</v>
      </c>
      <c r="D75" s="936" t="s">
        <v>126</v>
      </c>
      <c r="E75" s="936" t="s">
        <v>14</v>
      </c>
      <c r="F75" s="936" t="s">
        <v>14</v>
      </c>
      <c r="G75" s="321">
        <f t="shared" ref="G75:L75" si="22">G76+G77+G78+G79+G80+G81+G82+G83+G85+G84</f>
        <v>67059606</v>
      </c>
      <c r="H75" s="321">
        <f t="shared" si="22"/>
        <v>33512736.080000002</v>
      </c>
      <c r="I75" s="321">
        <f t="shared" si="22"/>
        <v>5319600</v>
      </c>
      <c r="J75" s="321">
        <f t="shared" si="22"/>
        <v>4960000</v>
      </c>
      <c r="K75" s="321">
        <f t="shared" si="22"/>
        <v>174700</v>
      </c>
      <c r="L75" s="321">
        <f t="shared" si="22"/>
        <v>0</v>
      </c>
      <c r="M75" s="321">
        <f>G75+I75</f>
        <v>72379206</v>
      </c>
      <c r="N75" s="321">
        <f>H75+K75</f>
        <v>33687436.079999998</v>
      </c>
      <c r="O75" s="336">
        <f t="shared" si="2"/>
        <v>0.46542975450711627</v>
      </c>
    </row>
    <row r="76" spans="1:15" s="5" customFormat="1" ht="138" customHeight="1" x14ac:dyDescent="0.2">
      <c r="A76" s="967" t="s">
        <v>129</v>
      </c>
      <c r="B76" s="960" t="s">
        <v>130</v>
      </c>
      <c r="C76" s="960" t="s">
        <v>131</v>
      </c>
      <c r="D76" s="962" t="s">
        <v>132</v>
      </c>
      <c r="E76" s="962" t="s">
        <v>154</v>
      </c>
      <c r="F76" s="968" t="s">
        <v>647</v>
      </c>
      <c r="G76" s="969">
        <v>8474</v>
      </c>
      <c r="H76" s="969">
        <v>8311.74</v>
      </c>
      <c r="I76" s="969">
        <v>0</v>
      </c>
      <c r="J76" s="969">
        <v>0</v>
      </c>
      <c r="K76" s="969">
        <v>0</v>
      </c>
      <c r="L76" s="969">
        <v>0</v>
      </c>
      <c r="M76" s="969">
        <f>G76+I76</f>
        <v>8474</v>
      </c>
      <c r="N76" s="891">
        <f>H76+K76</f>
        <v>8311.74</v>
      </c>
      <c r="O76" s="894">
        <f>N76/M76</f>
        <v>0.98085201793721966</v>
      </c>
    </row>
    <row r="77" spans="1:15" s="5" customFormat="1" ht="132" customHeight="1" x14ac:dyDescent="0.2">
      <c r="A77" s="913">
        <v>1216012</v>
      </c>
      <c r="B77" s="919">
        <v>6012</v>
      </c>
      <c r="C77" s="914" t="s">
        <v>27</v>
      </c>
      <c r="D77" s="915" t="s">
        <v>236</v>
      </c>
      <c r="E77" s="870" t="s">
        <v>154</v>
      </c>
      <c r="F77" s="895" t="s">
        <v>647</v>
      </c>
      <c r="G77" s="339">
        <v>5671150</v>
      </c>
      <c r="H77" s="871">
        <v>0</v>
      </c>
      <c r="I77" s="339">
        <v>0</v>
      </c>
      <c r="J77" s="339">
        <v>0</v>
      </c>
      <c r="K77" s="339">
        <v>0</v>
      </c>
      <c r="L77" s="339">
        <v>0</v>
      </c>
      <c r="M77" s="339">
        <f>G77+I77</f>
        <v>5671150</v>
      </c>
      <c r="N77" s="329">
        <f>H77+K77</f>
        <v>0</v>
      </c>
      <c r="O77" s="342">
        <f>N77/M77</f>
        <v>0</v>
      </c>
    </row>
    <row r="78" spans="1:15" s="160" customFormat="1" ht="135" customHeight="1" x14ac:dyDescent="0.2">
      <c r="A78" s="913" t="s">
        <v>133</v>
      </c>
      <c r="B78" s="919" t="s">
        <v>134</v>
      </c>
      <c r="C78" s="919" t="s">
        <v>27</v>
      </c>
      <c r="D78" s="870" t="s">
        <v>135</v>
      </c>
      <c r="E78" s="870" t="s">
        <v>154</v>
      </c>
      <c r="F78" s="895" t="s">
        <v>647</v>
      </c>
      <c r="G78" s="339">
        <v>1231641</v>
      </c>
      <c r="H78" s="340">
        <v>966551.95</v>
      </c>
      <c r="I78" s="339">
        <v>0</v>
      </c>
      <c r="J78" s="339">
        <v>0</v>
      </c>
      <c r="K78" s="339">
        <v>0</v>
      </c>
      <c r="L78" s="339">
        <v>0</v>
      </c>
      <c r="M78" s="339">
        <f t="shared" ref="M78:M85" si="23">G78+I78</f>
        <v>1231641</v>
      </c>
      <c r="N78" s="329">
        <f t="shared" ref="N78:N86" si="24">H78+K78</f>
        <v>966551.95</v>
      </c>
      <c r="O78" s="333">
        <f t="shared" ref="O78:O89" si="25">N78/M78</f>
        <v>0.78476759867526324</v>
      </c>
    </row>
    <row r="79" spans="1:15" s="5" customFormat="1" ht="128.44999999999999" customHeight="1" x14ac:dyDescent="0.2">
      <c r="A79" s="913" t="s">
        <v>136</v>
      </c>
      <c r="B79" s="919" t="s">
        <v>26</v>
      </c>
      <c r="C79" s="919" t="s">
        <v>27</v>
      </c>
      <c r="D79" s="870" t="s">
        <v>28</v>
      </c>
      <c r="E79" s="870" t="s">
        <v>154</v>
      </c>
      <c r="F79" s="895" t="s">
        <v>647</v>
      </c>
      <c r="G79" s="339">
        <v>46763690</v>
      </c>
      <c r="H79" s="339">
        <f>26344103.26</f>
        <v>26344103.260000002</v>
      </c>
      <c r="I79" s="339">
        <f>0+4960000</f>
        <v>4960000</v>
      </c>
      <c r="J79" s="339">
        <f>I79</f>
        <v>4960000</v>
      </c>
      <c r="K79" s="339">
        <v>0</v>
      </c>
      <c r="L79" s="339">
        <f>K79</f>
        <v>0</v>
      </c>
      <c r="M79" s="339">
        <f>G79+I79</f>
        <v>51723690</v>
      </c>
      <c r="N79" s="329">
        <f>H79+K79</f>
        <v>26344103.260000002</v>
      </c>
      <c r="O79" s="333">
        <f t="shared" si="25"/>
        <v>0.50932374043692552</v>
      </c>
    </row>
    <row r="80" spans="1:15" s="5" customFormat="1" ht="168.75" x14ac:dyDescent="0.2">
      <c r="A80" s="897" t="s">
        <v>136</v>
      </c>
      <c r="B80" s="898" t="s">
        <v>26</v>
      </c>
      <c r="C80" s="898" t="s">
        <v>27</v>
      </c>
      <c r="D80" s="902" t="s">
        <v>28</v>
      </c>
      <c r="E80" s="895" t="s">
        <v>244</v>
      </c>
      <c r="F80" s="895" t="s">
        <v>648</v>
      </c>
      <c r="G80" s="339">
        <v>721500</v>
      </c>
      <c r="H80" s="339">
        <v>0</v>
      </c>
      <c r="I80" s="358">
        <v>0</v>
      </c>
      <c r="J80" s="339">
        <v>0</v>
      </c>
      <c r="K80" s="339">
        <v>0</v>
      </c>
      <c r="L80" s="339">
        <f t="shared" ref="L80:L81" si="26">K80</f>
        <v>0</v>
      </c>
      <c r="M80" s="339">
        <f t="shared" si="23"/>
        <v>721500</v>
      </c>
      <c r="N80" s="329">
        <f t="shared" si="24"/>
        <v>0</v>
      </c>
      <c r="O80" s="333">
        <f t="shared" si="25"/>
        <v>0</v>
      </c>
    </row>
    <row r="81" spans="1:15" s="5" customFormat="1" ht="131.25" x14ac:dyDescent="0.2">
      <c r="A81" s="897" t="s">
        <v>136</v>
      </c>
      <c r="B81" s="898" t="s">
        <v>26</v>
      </c>
      <c r="C81" s="898" t="s">
        <v>27</v>
      </c>
      <c r="D81" s="902" t="s">
        <v>28</v>
      </c>
      <c r="E81" s="895" t="s">
        <v>649</v>
      </c>
      <c r="F81" s="895" t="s">
        <v>650</v>
      </c>
      <c r="G81" s="339">
        <v>127967</v>
      </c>
      <c r="H81" s="339">
        <v>116597.94</v>
      </c>
      <c r="I81" s="358">
        <v>0</v>
      </c>
      <c r="J81" s="339">
        <v>0</v>
      </c>
      <c r="K81" s="339">
        <v>0</v>
      </c>
      <c r="L81" s="339">
        <f t="shared" si="26"/>
        <v>0</v>
      </c>
      <c r="M81" s="339">
        <f t="shared" si="23"/>
        <v>127967</v>
      </c>
      <c r="N81" s="329">
        <f t="shared" si="24"/>
        <v>116597.94</v>
      </c>
      <c r="O81" s="333">
        <f t="shared" si="25"/>
        <v>0.91115631373713535</v>
      </c>
    </row>
    <row r="82" spans="1:15" s="5" customFormat="1" ht="321" customHeight="1" x14ac:dyDescent="0.2">
      <c r="A82" s="924">
        <v>1216071</v>
      </c>
      <c r="B82" s="919">
        <v>6071</v>
      </c>
      <c r="C82" s="914" t="s">
        <v>268</v>
      </c>
      <c r="D82" s="916" t="s">
        <v>266</v>
      </c>
      <c r="E82" s="870" t="s">
        <v>154</v>
      </c>
      <c r="F82" s="895" t="s">
        <v>647</v>
      </c>
      <c r="G82" s="339">
        <v>8285369</v>
      </c>
      <c r="H82" s="339">
        <f>2949145.84</f>
        <v>2949145.84</v>
      </c>
      <c r="I82" s="329">
        <v>0</v>
      </c>
      <c r="J82" s="339">
        <v>0</v>
      </c>
      <c r="K82" s="339">
        <v>0</v>
      </c>
      <c r="L82" s="339">
        <v>0</v>
      </c>
      <c r="M82" s="339">
        <f t="shared" si="23"/>
        <v>8285369</v>
      </c>
      <c r="N82" s="329">
        <f t="shared" si="24"/>
        <v>2949145.84</v>
      </c>
      <c r="O82" s="333">
        <f t="shared" si="25"/>
        <v>0.35594622762124412</v>
      </c>
    </row>
    <row r="83" spans="1:15" s="5" customFormat="1" ht="138" customHeight="1" x14ac:dyDescent="0.2">
      <c r="A83" s="913" t="s">
        <v>137</v>
      </c>
      <c r="B83" s="919" t="s">
        <v>138</v>
      </c>
      <c r="C83" s="919" t="s">
        <v>139</v>
      </c>
      <c r="D83" s="870" t="s">
        <v>140</v>
      </c>
      <c r="E83" s="870" t="s">
        <v>154</v>
      </c>
      <c r="F83" s="895" t="s">
        <v>647</v>
      </c>
      <c r="G83" s="339">
        <v>3013221</v>
      </c>
      <c r="H83" s="339">
        <f>1989700.63</f>
        <v>1989700.63</v>
      </c>
      <c r="I83" s="358">
        <v>0</v>
      </c>
      <c r="J83" s="339">
        <v>0</v>
      </c>
      <c r="K83" s="339">
        <v>0</v>
      </c>
      <c r="L83" s="339">
        <v>0</v>
      </c>
      <c r="M83" s="339">
        <f>G83+I83</f>
        <v>3013221</v>
      </c>
      <c r="N83" s="329">
        <f t="shared" si="24"/>
        <v>1989700.63</v>
      </c>
      <c r="O83" s="333">
        <f t="shared" si="25"/>
        <v>0.66032349767906162</v>
      </c>
    </row>
    <row r="84" spans="1:15" s="5" customFormat="1" ht="132" customHeight="1" x14ac:dyDescent="0.2">
      <c r="A84" s="913">
        <v>1217693</v>
      </c>
      <c r="B84" s="919">
        <v>7693</v>
      </c>
      <c r="C84" s="945" t="s">
        <v>171</v>
      </c>
      <c r="D84" s="323" t="s">
        <v>520</v>
      </c>
      <c r="E84" s="870" t="s">
        <v>154</v>
      </c>
      <c r="F84" s="895" t="s">
        <v>647</v>
      </c>
      <c r="G84" s="339">
        <v>1236594</v>
      </c>
      <c r="H84" s="339">
        <v>1138324.72</v>
      </c>
      <c r="I84" s="358">
        <v>0</v>
      </c>
      <c r="J84" s="339">
        <v>0</v>
      </c>
      <c r="K84" s="339">
        <v>0</v>
      </c>
      <c r="L84" s="339">
        <v>0</v>
      </c>
      <c r="M84" s="339">
        <f>G84+I84</f>
        <v>1236594</v>
      </c>
      <c r="N84" s="329">
        <f t="shared" si="24"/>
        <v>1138324.72</v>
      </c>
      <c r="O84" s="333">
        <f t="shared" si="25"/>
        <v>0.92053230081983251</v>
      </c>
    </row>
    <row r="85" spans="1:15" s="330" customFormat="1" ht="136.9" customHeight="1" thickBot="1" x14ac:dyDescent="0.25">
      <c r="A85" s="929" t="s">
        <v>141</v>
      </c>
      <c r="B85" s="926" t="s">
        <v>142</v>
      </c>
      <c r="C85" s="926" t="s">
        <v>143</v>
      </c>
      <c r="D85" s="927" t="s">
        <v>144</v>
      </c>
      <c r="E85" s="927" t="s">
        <v>241</v>
      </c>
      <c r="F85" s="684" t="s">
        <v>651</v>
      </c>
      <c r="G85" s="349">
        <v>0</v>
      </c>
      <c r="H85" s="349">
        <v>0</v>
      </c>
      <c r="I85" s="349">
        <v>359600</v>
      </c>
      <c r="J85" s="349">
        <v>0</v>
      </c>
      <c r="K85" s="349">
        <v>174700</v>
      </c>
      <c r="L85" s="349">
        <v>0</v>
      </c>
      <c r="M85" s="349">
        <f t="shared" si="23"/>
        <v>359600</v>
      </c>
      <c r="N85" s="618">
        <f t="shared" si="24"/>
        <v>174700</v>
      </c>
      <c r="O85" s="621">
        <f t="shared" si="25"/>
        <v>0.48581757508342605</v>
      </c>
    </row>
    <row r="86" spans="1:15" s="330" customFormat="1" ht="74.25" customHeight="1" thickBot="1" x14ac:dyDescent="0.25">
      <c r="A86" s="941" t="s">
        <v>145</v>
      </c>
      <c r="B86" s="932" t="s">
        <v>14</v>
      </c>
      <c r="C86" s="932" t="s">
        <v>14</v>
      </c>
      <c r="D86" s="934" t="s">
        <v>146</v>
      </c>
      <c r="E86" s="934" t="s">
        <v>14</v>
      </c>
      <c r="F86" s="934" t="s">
        <v>14</v>
      </c>
      <c r="G86" s="315">
        <v>0</v>
      </c>
      <c r="H86" s="350">
        <v>0</v>
      </c>
      <c r="I86" s="350">
        <f>I87</f>
        <v>79712904</v>
      </c>
      <c r="J86" s="350">
        <f>J87</f>
        <v>79712904</v>
      </c>
      <c r="K86" s="350">
        <f>K87</f>
        <v>7643067.6500000004</v>
      </c>
      <c r="L86" s="350">
        <f>L87</f>
        <v>7643067.6500000004</v>
      </c>
      <c r="M86" s="315">
        <f>G86+I86</f>
        <v>79712904</v>
      </c>
      <c r="N86" s="350">
        <f t="shared" si="24"/>
        <v>7643067.6500000004</v>
      </c>
      <c r="O86" s="345">
        <f t="shared" si="25"/>
        <v>9.5882438933601016E-2</v>
      </c>
    </row>
    <row r="87" spans="1:15" s="5" customFormat="1" ht="72" customHeight="1" thickBot="1" x14ac:dyDescent="0.25">
      <c r="A87" s="946">
        <v>1510000</v>
      </c>
      <c r="B87" s="947" t="s">
        <v>14</v>
      </c>
      <c r="C87" s="947" t="s">
        <v>14</v>
      </c>
      <c r="D87" s="948" t="s">
        <v>146</v>
      </c>
      <c r="E87" s="948" t="s">
        <v>14</v>
      </c>
      <c r="F87" s="948" t="s">
        <v>14</v>
      </c>
      <c r="G87" s="874">
        <v>0</v>
      </c>
      <c r="H87" s="875">
        <v>0</v>
      </c>
      <c r="I87" s="874">
        <f>SUM(I88:I99)</f>
        <v>79712904</v>
      </c>
      <c r="J87" s="874">
        <f>SUM(J88:J99)</f>
        <v>79712904</v>
      </c>
      <c r="K87" s="874">
        <f>SUM(K88:K99)</f>
        <v>7643067.6500000004</v>
      </c>
      <c r="L87" s="874">
        <f>SUM(L88:L99)</f>
        <v>7643067.6500000004</v>
      </c>
      <c r="M87" s="874">
        <f>G87+I87</f>
        <v>79712904</v>
      </c>
      <c r="N87" s="876">
        <f>H87+K87</f>
        <v>7643067.6500000004</v>
      </c>
      <c r="O87" s="877">
        <f t="shared" si="25"/>
        <v>9.5882438933601016E-2</v>
      </c>
    </row>
    <row r="88" spans="1:15" s="5" customFormat="1" ht="150" x14ac:dyDescent="0.2">
      <c r="A88" s="949">
        <v>1511021</v>
      </c>
      <c r="B88" s="923">
        <v>1021</v>
      </c>
      <c r="C88" s="326" t="s">
        <v>51</v>
      </c>
      <c r="D88" s="854" t="s">
        <v>524</v>
      </c>
      <c r="E88" s="912" t="s">
        <v>305</v>
      </c>
      <c r="F88" s="896" t="s">
        <v>652</v>
      </c>
      <c r="G88" s="357">
        <v>0</v>
      </c>
      <c r="H88" s="343">
        <v>0</v>
      </c>
      <c r="I88" s="357">
        <v>33413313</v>
      </c>
      <c r="J88" s="357">
        <f>I88</f>
        <v>33413313</v>
      </c>
      <c r="K88" s="357">
        <v>1384730.76</v>
      </c>
      <c r="L88" s="357">
        <f>K88</f>
        <v>1384730.76</v>
      </c>
      <c r="M88" s="357">
        <f t="shared" ref="M88:M89" si="27">G88+I88</f>
        <v>33413313</v>
      </c>
      <c r="N88" s="862">
        <f t="shared" ref="N88:N89" si="28">H88+K88</f>
        <v>1384730.76</v>
      </c>
      <c r="O88" s="325">
        <f t="shared" si="25"/>
        <v>4.1442486113244741E-2</v>
      </c>
    </row>
    <row r="89" spans="1:15" s="5" customFormat="1" ht="150" x14ac:dyDescent="0.2">
      <c r="A89" s="924">
        <v>1512010</v>
      </c>
      <c r="B89" s="919">
        <v>2010</v>
      </c>
      <c r="C89" s="328" t="s">
        <v>20</v>
      </c>
      <c r="D89" s="870" t="s">
        <v>21</v>
      </c>
      <c r="E89" s="870" t="s">
        <v>305</v>
      </c>
      <c r="F89" s="896" t="s">
        <v>652</v>
      </c>
      <c r="G89" s="340">
        <v>0</v>
      </c>
      <c r="H89" s="339">
        <v>0</v>
      </c>
      <c r="I89" s="340">
        <v>103135</v>
      </c>
      <c r="J89" s="357">
        <f t="shared" ref="J89:J99" si="29">I89</f>
        <v>103135</v>
      </c>
      <c r="K89" s="340">
        <v>0</v>
      </c>
      <c r="L89" s="357">
        <f t="shared" ref="L89:L98" si="30">K89</f>
        <v>0</v>
      </c>
      <c r="M89" s="340">
        <f t="shared" si="27"/>
        <v>103135</v>
      </c>
      <c r="N89" s="358">
        <f t="shared" si="28"/>
        <v>0</v>
      </c>
      <c r="O89" s="333">
        <f t="shared" si="25"/>
        <v>0</v>
      </c>
    </row>
    <row r="90" spans="1:15" s="5" customFormat="1" ht="167.25" customHeight="1" x14ac:dyDescent="0.2">
      <c r="A90" s="950" t="s">
        <v>242</v>
      </c>
      <c r="B90" s="914" t="s">
        <v>105</v>
      </c>
      <c r="C90" s="914" t="s">
        <v>106</v>
      </c>
      <c r="D90" s="359" t="s">
        <v>243</v>
      </c>
      <c r="E90" s="870" t="s">
        <v>244</v>
      </c>
      <c r="F90" s="895" t="s">
        <v>648</v>
      </c>
      <c r="G90" s="329">
        <v>0</v>
      </c>
      <c r="H90" s="340">
        <v>0</v>
      </c>
      <c r="I90" s="340">
        <v>2478809</v>
      </c>
      <c r="J90" s="357">
        <f t="shared" si="29"/>
        <v>2478809</v>
      </c>
      <c r="K90" s="340">
        <v>2460071.23</v>
      </c>
      <c r="L90" s="357">
        <f t="shared" si="30"/>
        <v>2460071.23</v>
      </c>
      <c r="M90" s="340">
        <f t="shared" ref="M90:M110" si="31">G90+I90</f>
        <v>2478809</v>
      </c>
      <c r="N90" s="358">
        <f t="shared" ref="N90:N110" si="32">H90+K90</f>
        <v>2460071.23</v>
      </c>
      <c r="O90" s="342">
        <f t="shared" si="2"/>
        <v>0.99244081734413581</v>
      </c>
    </row>
    <row r="91" spans="1:15" s="5" customFormat="1" ht="131.25" x14ac:dyDescent="0.2">
      <c r="A91" s="332" t="s">
        <v>600</v>
      </c>
      <c r="B91" s="328" t="s">
        <v>601</v>
      </c>
      <c r="C91" s="328" t="s">
        <v>27</v>
      </c>
      <c r="D91" s="359" t="s">
        <v>236</v>
      </c>
      <c r="E91" s="870" t="s">
        <v>154</v>
      </c>
      <c r="F91" s="895" t="s">
        <v>647</v>
      </c>
      <c r="G91" s="329">
        <v>0</v>
      </c>
      <c r="H91" s="340">
        <v>0</v>
      </c>
      <c r="I91" s="340">
        <v>21380905</v>
      </c>
      <c r="J91" s="357">
        <f t="shared" si="29"/>
        <v>21380905</v>
      </c>
      <c r="K91" s="340">
        <v>1439077.06</v>
      </c>
      <c r="L91" s="357">
        <f t="shared" si="30"/>
        <v>1439077.06</v>
      </c>
      <c r="M91" s="340">
        <f t="shared" si="31"/>
        <v>21380905</v>
      </c>
      <c r="N91" s="358">
        <f t="shared" si="32"/>
        <v>1439077.06</v>
      </c>
      <c r="O91" s="342">
        <f t="shared" si="2"/>
        <v>6.7306648619410644E-2</v>
      </c>
    </row>
    <row r="92" spans="1:15" s="5" customFormat="1" ht="133.15" customHeight="1" x14ac:dyDescent="0.2">
      <c r="A92" s="970" t="s">
        <v>653</v>
      </c>
      <c r="B92" s="971" t="s">
        <v>134</v>
      </c>
      <c r="C92" s="972" t="s">
        <v>27</v>
      </c>
      <c r="D92" s="973" t="s">
        <v>654</v>
      </c>
      <c r="E92" s="895" t="s">
        <v>154</v>
      </c>
      <c r="F92" s="895" t="s">
        <v>647</v>
      </c>
      <c r="G92" s="329">
        <v>0</v>
      </c>
      <c r="H92" s="340">
        <v>0</v>
      </c>
      <c r="I92" s="340">
        <v>60000</v>
      </c>
      <c r="J92" s="340">
        <f t="shared" si="29"/>
        <v>60000</v>
      </c>
      <c r="K92" s="340">
        <v>0</v>
      </c>
      <c r="L92" s="340">
        <f t="shared" si="30"/>
        <v>0</v>
      </c>
      <c r="M92" s="340">
        <f t="shared" si="31"/>
        <v>60000</v>
      </c>
      <c r="N92" s="358">
        <f t="shared" si="32"/>
        <v>0</v>
      </c>
      <c r="O92" s="342">
        <f t="shared" si="2"/>
        <v>0</v>
      </c>
    </row>
    <row r="93" spans="1:15" s="5" customFormat="1" ht="133.15" customHeight="1" x14ac:dyDescent="0.2">
      <c r="A93" s="950" t="s">
        <v>489</v>
      </c>
      <c r="B93" s="914" t="s">
        <v>26</v>
      </c>
      <c r="C93" s="914" t="s">
        <v>27</v>
      </c>
      <c r="D93" s="323" t="s">
        <v>135</v>
      </c>
      <c r="E93" s="870" t="s">
        <v>154</v>
      </c>
      <c r="F93" s="895" t="s">
        <v>647</v>
      </c>
      <c r="G93" s="860">
        <v>0</v>
      </c>
      <c r="H93" s="861">
        <v>0</v>
      </c>
      <c r="I93" s="861">
        <v>6575279</v>
      </c>
      <c r="J93" s="357">
        <f t="shared" si="29"/>
        <v>6575279</v>
      </c>
      <c r="K93" s="861">
        <v>1181056.3799999999</v>
      </c>
      <c r="L93" s="357">
        <f t="shared" si="30"/>
        <v>1181056.3799999999</v>
      </c>
      <c r="M93" s="340">
        <f t="shared" si="31"/>
        <v>6575279</v>
      </c>
      <c r="N93" s="358">
        <f t="shared" si="32"/>
        <v>1181056.3799999999</v>
      </c>
      <c r="O93" s="342">
        <f t="shared" si="2"/>
        <v>0.17962072483920452</v>
      </c>
    </row>
    <row r="94" spans="1:15" s="5" customFormat="1" ht="150" x14ac:dyDescent="0.2">
      <c r="A94" s="913">
        <v>1516030</v>
      </c>
      <c r="B94" s="734">
        <v>6030</v>
      </c>
      <c r="C94" s="734">
        <v>620</v>
      </c>
      <c r="D94" s="323" t="s">
        <v>135</v>
      </c>
      <c r="E94" s="870" t="s">
        <v>305</v>
      </c>
      <c r="F94" s="896" t="s">
        <v>652</v>
      </c>
      <c r="G94" s="860">
        <v>0</v>
      </c>
      <c r="H94" s="861">
        <v>0</v>
      </c>
      <c r="I94" s="861">
        <v>406558</v>
      </c>
      <c r="J94" s="357">
        <f t="shared" si="29"/>
        <v>406558</v>
      </c>
      <c r="K94" s="861">
        <v>0</v>
      </c>
      <c r="L94" s="357">
        <f t="shared" si="30"/>
        <v>0</v>
      </c>
      <c r="M94" s="340">
        <f t="shared" si="31"/>
        <v>406558</v>
      </c>
      <c r="N94" s="358">
        <f t="shared" si="32"/>
        <v>0</v>
      </c>
      <c r="O94" s="342">
        <f t="shared" si="2"/>
        <v>0</v>
      </c>
    </row>
    <row r="95" spans="1:15" s="5" customFormat="1" ht="150" x14ac:dyDescent="0.2">
      <c r="A95" s="913" t="s">
        <v>300</v>
      </c>
      <c r="B95" s="734" t="s">
        <v>301</v>
      </c>
      <c r="C95" s="734" t="s">
        <v>302</v>
      </c>
      <c r="D95" s="323" t="s">
        <v>304</v>
      </c>
      <c r="E95" s="870" t="s">
        <v>305</v>
      </c>
      <c r="F95" s="896" t="s">
        <v>652</v>
      </c>
      <c r="G95" s="860">
        <v>0</v>
      </c>
      <c r="H95" s="861">
        <v>0</v>
      </c>
      <c r="I95" s="861">
        <v>3338727</v>
      </c>
      <c r="J95" s="357">
        <f t="shared" si="29"/>
        <v>3338727</v>
      </c>
      <c r="K95" s="861">
        <v>1178132.22</v>
      </c>
      <c r="L95" s="357">
        <f t="shared" si="30"/>
        <v>1178132.22</v>
      </c>
      <c r="M95" s="340">
        <f t="shared" si="31"/>
        <v>3338727</v>
      </c>
      <c r="N95" s="329">
        <f t="shared" si="32"/>
        <v>1178132.22</v>
      </c>
      <c r="O95" s="342">
        <f t="shared" si="2"/>
        <v>0.35286868917404746</v>
      </c>
    </row>
    <row r="96" spans="1:15" s="5" customFormat="1" ht="150" x14ac:dyDescent="0.2">
      <c r="A96" s="913">
        <v>1517324</v>
      </c>
      <c r="B96" s="919">
        <v>7324</v>
      </c>
      <c r="C96" s="914" t="s">
        <v>302</v>
      </c>
      <c r="D96" s="870" t="s">
        <v>602</v>
      </c>
      <c r="E96" s="870" t="s">
        <v>305</v>
      </c>
      <c r="F96" s="896" t="s">
        <v>652</v>
      </c>
      <c r="G96" s="860">
        <v>0</v>
      </c>
      <c r="H96" s="861">
        <v>0</v>
      </c>
      <c r="I96" s="861">
        <v>1501526</v>
      </c>
      <c r="J96" s="357">
        <f t="shared" si="29"/>
        <v>1501526</v>
      </c>
      <c r="K96" s="861">
        <v>0</v>
      </c>
      <c r="L96" s="357">
        <f t="shared" si="30"/>
        <v>0</v>
      </c>
      <c r="M96" s="340">
        <f t="shared" si="31"/>
        <v>1501526</v>
      </c>
      <c r="N96" s="329">
        <f t="shared" si="32"/>
        <v>0</v>
      </c>
      <c r="O96" s="342">
        <f t="shared" si="2"/>
        <v>0</v>
      </c>
    </row>
    <row r="97" spans="1:15" s="5" customFormat="1" ht="150" x14ac:dyDescent="0.2">
      <c r="A97" s="913">
        <v>1517330</v>
      </c>
      <c r="B97" s="734">
        <v>7330</v>
      </c>
      <c r="C97" s="945" t="s">
        <v>302</v>
      </c>
      <c r="D97" s="359" t="s">
        <v>603</v>
      </c>
      <c r="E97" s="870" t="s">
        <v>305</v>
      </c>
      <c r="F97" s="896" t="s">
        <v>652</v>
      </c>
      <c r="G97" s="860">
        <v>0</v>
      </c>
      <c r="H97" s="861">
        <v>0</v>
      </c>
      <c r="I97" s="861">
        <v>1264018</v>
      </c>
      <c r="J97" s="357">
        <f t="shared" si="29"/>
        <v>1264018</v>
      </c>
      <c r="K97" s="861">
        <v>0</v>
      </c>
      <c r="L97" s="357">
        <f t="shared" si="30"/>
        <v>0</v>
      </c>
      <c r="M97" s="340">
        <f t="shared" si="31"/>
        <v>1264018</v>
      </c>
      <c r="N97" s="329">
        <f t="shared" si="32"/>
        <v>0</v>
      </c>
      <c r="O97" s="342">
        <f t="shared" si="2"/>
        <v>0</v>
      </c>
    </row>
    <row r="98" spans="1:15" s="5" customFormat="1" ht="139.15" customHeight="1" x14ac:dyDescent="0.2">
      <c r="A98" s="913">
        <v>1517461</v>
      </c>
      <c r="B98" s="734">
        <v>7461</v>
      </c>
      <c r="C98" s="919" t="s">
        <v>139</v>
      </c>
      <c r="D98" s="870" t="s">
        <v>140</v>
      </c>
      <c r="E98" s="870" t="s">
        <v>154</v>
      </c>
      <c r="F98" s="895" t="s">
        <v>647</v>
      </c>
      <c r="G98" s="860">
        <v>0</v>
      </c>
      <c r="H98" s="861">
        <v>0</v>
      </c>
      <c r="I98" s="861">
        <v>7148634</v>
      </c>
      <c r="J98" s="340">
        <f t="shared" si="29"/>
        <v>7148634</v>
      </c>
      <c r="K98" s="861">
        <v>0</v>
      </c>
      <c r="L98" s="340">
        <f t="shared" si="30"/>
        <v>0</v>
      </c>
      <c r="M98" s="340">
        <f t="shared" si="31"/>
        <v>7148634</v>
      </c>
      <c r="N98" s="329">
        <f t="shared" si="32"/>
        <v>0</v>
      </c>
      <c r="O98" s="342">
        <f t="shared" si="2"/>
        <v>0</v>
      </c>
    </row>
    <row r="99" spans="1:15" s="5" customFormat="1" ht="142.9" customHeight="1" thickBot="1" x14ac:dyDescent="0.25">
      <c r="A99" s="903">
        <v>1518110</v>
      </c>
      <c r="B99" s="904">
        <v>8110</v>
      </c>
      <c r="C99" s="905" t="s">
        <v>231</v>
      </c>
      <c r="D99" s="906" t="s">
        <v>232</v>
      </c>
      <c r="E99" s="907" t="s">
        <v>233</v>
      </c>
      <c r="F99" s="907" t="s">
        <v>646</v>
      </c>
      <c r="G99" s="857">
        <v>0</v>
      </c>
      <c r="H99" s="858">
        <v>0</v>
      </c>
      <c r="I99" s="858">
        <v>2042000</v>
      </c>
      <c r="J99" s="859">
        <f t="shared" si="29"/>
        <v>2042000</v>
      </c>
      <c r="K99" s="858">
        <v>0</v>
      </c>
      <c r="L99" s="859">
        <v>0</v>
      </c>
      <c r="M99" s="859">
        <f t="shared" si="31"/>
        <v>2042000</v>
      </c>
      <c r="N99" s="853">
        <f t="shared" si="32"/>
        <v>0</v>
      </c>
      <c r="O99" s="354">
        <f t="shared" si="2"/>
        <v>0</v>
      </c>
    </row>
    <row r="100" spans="1:15" s="5" customFormat="1" ht="73.5" customHeight="1" thickBot="1" x14ac:dyDescent="0.25">
      <c r="A100" s="920" t="s">
        <v>199</v>
      </c>
      <c r="B100" s="951"/>
      <c r="C100" s="951"/>
      <c r="D100" s="313" t="s">
        <v>597</v>
      </c>
      <c r="E100" s="952"/>
      <c r="F100" s="952"/>
      <c r="G100" s="868">
        <f>G101</f>
        <v>145000</v>
      </c>
      <c r="H100" s="868">
        <f t="shared" ref="H100:L101" si="33">H101</f>
        <v>0</v>
      </c>
      <c r="I100" s="868">
        <f t="shared" si="33"/>
        <v>0</v>
      </c>
      <c r="J100" s="868">
        <f t="shared" si="33"/>
        <v>0</v>
      </c>
      <c r="K100" s="868">
        <f t="shared" si="33"/>
        <v>0</v>
      </c>
      <c r="L100" s="868">
        <f t="shared" si="33"/>
        <v>0</v>
      </c>
      <c r="M100" s="869">
        <f t="shared" si="31"/>
        <v>145000</v>
      </c>
      <c r="N100" s="428">
        <f t="shared" si="32"/>
        <v>0</v>
      </c>
      <c r="O100" s="427">
        <f t="shared" si="2"/>
        <v>0</v>
      </c>
    </row>
    <row r="101" spans="1:15" s="5" customFormat="1" ht="74.25" customHeight="1" thickBot="1" x14ac:dyDescent="0.25">
      <c r="A101" s="980">
        <v>1610000</v>
      </c>
      <c r="B101" s="981"/>
      <c r="C101" s="981"/>
      <c r="D101" s="319" t="s">
        <v>597</v>
      </c>
      <c r="E101" s="936"/>
      <c r="F101" s="936"/>
      <c r="G101" s="982">
        <f>G102</f>
        <v>145000</v>
      </c>
      <c r="H101" s="982">
        <f t="shared" si="33"/>
        <v>0</v>
      </c>
      <c r="I101" s="982">
        <f t="shared" si="33"/>
        <v>0</v>
      </c>
      <c r="J101" s="982">
        <f t="shared" si="33"/>
        <v>0</v>
      </c>
      <c r="K101" s="982">
        <f t="shared" si="33"/>
        <v>0</v>
      </c>
      <c r="L101" s="982">
        <f t="shared" si="33"/>
        <v>0</v>
      </c>
      <c r="M101" s="321">
        <f t="shared" si="31"/>
        <v>145000</v>
      </c>
      <c r="N101" s="983">
        <f t="shared" si="32"/>
        <v>0</v>
      </c>
      <c r="O101" s="353">
        <f t="shared" si="2"/>
        <v>0</v>
      </c>
    </row>
    <row r="102" spans="1:15" s="5" customFormat="1" ht="132" thickBot="1" x14ac:dyDescent="0.25">
      <c r="A102" s="937" t="s">
        <v>598</v>
      </c>
      <c r="B102" s="955">
        <v>6014</v>
      </c>
      <c r="C102" s="956" t="s">
        <v>27</v>
      </c>
      <c r="D102" s="957" t="s">
        <v>521</v>
      </c>
      <c r="E102" s="939" t="s">
        <v>154</v>
      </c>
      <c r="F102" s="895" t="s">
        <v>647</v>
      </c>
      <c r="G102" s="857">
        <v>145000</v>
      </c>
      <c r="H102" s="858">
        <v>0</v>
      </c>
      <c r="I102" s="858">
        <v>0</v>
      </c>
      <c r="J102" s="858">
        <v>0</v>
      </c>
      <c r="K102" s="858">
        <v>0</v>
      </c>
      <c r="L102" s="853">
        <v>0</v>
      </c>
      <c r="M102" s="859">
        <f t="shared" si="31"/>
        <v>145000</v>
      </c>
      <c r="N102" s="853">
        <f t="shared" si="32"/>
        <v>0</v>
      </c>
      <c r="O102" s="354">
        <f t="shared" si="2"/>
        <v>0</v>
      </c>
    </row>
    <row r="103" spans="1:15" s="5" customFormat="1" ht="78" customHeight="1" thickBot="1" x14ac:dyDescent="0.25">
      <c r="A103" s="920">
        <v>2700000</v>
      </c>
      <c r="B103" s="932"/>
      <c r="C103" s="932"/>
      <c r="D103" s="958" t="s">
        <v>204</v>
      </c>
      <c r="E103" s="934"/>
      <c r="F103" s="934"/>
      <c r="G103" s="855">
        <f>G104</f>
        <v>4620660</v>
      </c>
      <c r="H103" s="855">
        <f t="shared" ref="H103:K103" si="34">H104</f>
        <v>2848470</v>
      </c>
      <c r="I103" s="855">
        <f t="shared" si="34"/>
        <v>0</v>
      </c>
      <c r="J103" s="855">
        <f t="shared" si="34"/>
        <v>0</v>
      </c>
      <c r="K103" s="855">
        <f t="shared" si="34"/>
        <v>0</v>
      </c>
      <c r="L103" s="360">
        <f t="shared" ref="L103:L106" si="35">K103</f>
        <v>0</v>
      </c>
      <c r="M103" s="356">
        <f t="shared" si="31"/>
        <v>4620660</v>
      </c>
      <c r="N103" s="350">
        <f t="shared" si="32"/>
        <v>2848470</v>
      </c>
      <c r="O103" s="351">
        <f t="shared" si="2"/>
        <v>0.61646388178312184</v>
      </c>
    </row>
    <row r="104" spans="1:15" s="5" customFormat="1" ht="79.900000000000006" customHeight="1" thickBot="1" x14ac:dyDescent="0.25">
      <c r="A104" s="953">
        <v>2710000</v>
      </c>
      <c r="B104" s="947"/>
      <c r="C104" s="947"/>
      <c r="D104" s="954" t="s">
        <v>204</v>
      </c>
      <c r="E104" s="948"/>
      <c r="F104" s="948"/>
      <c r="G104" s="878">
        <f>G105+G106</f>
        <v>4620660</v>
      </c>
      <c r="H104" s="878">
        <f t="shared" ref="H104:L104" si="36">H105+H106</f>
        <v>2848470</v>
      </c>
      <c r="I104" s="878">
        <f t="shared" si="36"/>
        <v>0</v>
      </c>
      <c r="J104" s="878">
        <f t="shared" si="36"/>
        <v>0</v>
      </c>
      <c r="K104" s="878">
        <f t="shared" si="36"/>
        <v>0</v>
      </c>
      <c r="L104" s="878">
        <f t="shared" si="36"/>
        <v>0</v>
      </c>
      <c r="M104" s="874">
        <f t="shared" si="31"/>
        <v>4620660</v>
      </c>
      <c r="N104" s="879">
        <f t="shared" si="32"/>
        <v>2848470</v>
      </c>
      <c r="O104" s="880">
        <f t="shared" si="2"/>
        <v>0.61646388178312184</v>
      </c>
    </row>
    <row r="105" spans="1:15" s="5" customFormat="1" ht="150" x14ac:dyDescent="0.2">
      <c r="A105" s="959">
        <v>2717413</v>
      </c>
      <c r="B105" s="960">
        <v>7413</v>
      </c>
      <c r="C105" s="961" t="s">
        <v>239</v>
      </c>
      <c r="D105" s="962" t="s">
        <v>238</v>
      </c>
      <c r="E105" s="962" t="s">
        <v>237</v>
      </c>
      <c r="F105" s="962" t="s">
        <v>611</v>
      </c>
      <c r="G105" s="889">
        <v>4440660</v>
      </c>
      <c r="H105" s="890">
        <v>2668470</v>
      </c>
      <c r="I105" s="890">
        <v>0</v>
      </c>
      <c r="J105" s="890">
        <f>I105</f>
        <v>0</v>
      </c>
      <c r="K105" s="890">
        <v>0</v>
      </c>
      <c r="L105" s="891">
        <f t="shared" si="35"/>
        <v>0</v>
      </c>
      <c r="M105" s="892">
        <f t="shared" si="31"/>
        <v>4440660</v>
      </c>
      <c r="N105" s="893">
        <f t="shared" si="32"/>
        <v>2668470</v>
      </c>
      <c r="O105" s="894">
        <f t="shared" si="2"/>
        <v>0.6009174311926605</v>
      </c>
    </row>
    <row r="106" spans="1:15" s="5" customFormat="1" ht="85.9" customHeight="1" thickBot="1" x14ac:dyDescent="0.25">
      <c r="A106" s="908">
        <v>2719770</v>
      </c>
      <c r="B106" s="904">
        <v>9770</v>
      </c>
      <c r="C106" s="909" t="s">
        <v>219</v>
      </c>
      <c r="D106" s="910" t="s">
        <v>655</v>
      </c>
      <c r="E106" s="911" t="s">
        <v>656</v>
      </c>
      <c r="F106" s="907" t="s">
        <v>657</v>
      </c>
      <c r="G106" s="857">
        <v>180000</v>
      </c>
      <c r="H106" s="858">
        <v>180000</v>
      </c>
      <c r="I106" s="858">
        <v>0</v>
      </c>
      <c r="J106" s="858">
        <v>0</v>
      </c>
      <c r="K106" s="858">
        <v>0</v>
      </c>
      <c r="L106" s="324">
        <f t="shared" si="35"/>
        <v>0</v>
      </c>
      <c r="M106" s="357">
        <f t="shared" si="31"/>
        <v>180000</v>
      </c>
      <c r="N106" s="862">
        <f t="shared" si="32"/>
        <v>180000</v>
      </c>
      <c r="O106" s="331">
        <f t="shared" si="2"/>
        <v>1</v>
      </c>
    </row>
    <row r="107" spans="1:15" s="5" customFormat="1" ht="74.25" customHeight="1" thickBot="1" x14ac:dyDescent="0.25">
      <c r="A107" s="920">
        <v>3100000</v>
      </c>
      <c r="B107" s="963"/>
      <c r="C107" s="964"/>
      <c r="D107" s="313" t="s">
        <v>208</v>
      </c>
      <c r="E107" s="952"/>
      <c r="F107" s="952"/>
      <c r="G107" s="855">
        <f>G108</f>
        <v>226820</v>
      </c>
      <c r="H107" s="855">
        <f t="shared" ref="H107:L107" si="37">H108</f>
        <v>131680.01999999999</v>
      </c>
      <c r="I107" s="855">
        <f t="shared" si="37"/>
        <v>0</v>
      </c>
      <c r="J107" s="855">
        <f t="shared" si="37"/>
        <v>0</v>
      </c>
      <c r="K107" s="855">
        <f t="shared" si="37"/>
        <v>0</v>
      </c>
      <c r="L107" s="855">
        <f t="shared" si="37"/>
        <v>0</v>
      </c>
      <c r="M107" s="869">
        <f t="shared" si="31"/>
        <v>226820</v>
      </c>
      <c r="N107" s="426">
        <f t="shared" si="32"/>
        <v>131680.01999999999</v>
      </c>
      <c r="O107" s="351">
        <f t="shared" si="2"/>
        <v>0.5805485406930605</v>
      </c>
    </row>
    <row r="108" spans="1:15" s="5" customFormat="1" ht="77.25" customHeight="1" x14ac:dyDescent="0.2">
      <c r="A108" s="984">
        <v>3110000</v>
      </c>
      <c r="B108" s="985"/>
      <c r="C108" s="986"/>
      <c r="D108" s="987" t="s">
        <v>208</v>
      </c>
      <c r="E108" s="988"/>
      <c r="F108" s="988"/>
      <c r="G108" s="989">
        <f>G109+G110</f>
        <v>226820</v>
      </c>
      <c r="H108" s="989">
        <f t="shared" ref="H108:L108" si="38">H109+H110</f>
        <v>131680.01999999999</v>
      </c>
      <c r="I108" s="989">
        <f t="shared" si="38"/>
        <v>0</v>
      </c>
      <c r="J108" s="989">
        <f t="shared" si="38"/>
        <v>0</v>
      </c>
      <c r="K108" s="989">
        <f t="shared" si="38"/>
        <v>0</v>
      </c>
      <c r="L108" s="989">
        <f t="shared" si="38"/>
        <v>0</v>
      </c>
      <c r="M108" s="990">
        <f>G108+I108</f>
        <v>226820</v>
      </c>
      <c r="N108" s="991">
        <f>H108+K108</f>
        <v>131680.01999999999</v>
      </c>
      <c r="O108" s="992">
        <f t="shared" si="2"/>
        <v>0.5805485406930605</v>
      </c>
    </row>
    <row r="109" spans="1:15" s="5" customFormat="1" ht="304.89999999999998" customHeight="1" x14ac:dyDescent="0.2">
      <c r="A109" s="924">
        <v>3117693</v>
      </c>
      <c r="B109" s="919">
        <v>7693</v>
      </c>
      <c r="C109" s="914" t="s">
        <v>171</v>
      </c>
      <c r="D109" s="870" t="s">
        <v>520</v>
      </c>
      <c r="E109" s="870" t="s">
        <v>221</v>
      </c>
      <c r="F109" s="323" t="s">
        <v>599</v>
      </c>
      <c r="G109" s="860">
        <v>153500</v>
      </c>
      <c r="H109" s="861">
        <f>82800</f>
        <v>82800</v>
      </c>
      <c r="I109" s="861">
        <v>0</v>
      </c>
      <c r="J109" s="861">
        <v>0</v>
      </c>
      <c r="K109" s="861">
        <v>0</v>
      </c>
      <c r="L109" s="329">
        <v>0</v>
      </c>
      <c r="M109" s="340">
        <f t="shared" si="31"/>
        <v>153500</v>
      </c>
      <c r="N109" s="358">
        <f t="shared" si="32"/>
        <v>82800</v>
      </c>
      <c r="O109" s="342">
        <f t="shared" si="2"/>
        <v>0.539413680781759</v>
      </c>
    </row>
    <row r="110" spans="1:15" s="5" customFormat="1" ht="145.9" customHeight="1" thickBot="1" x14ac:dyDescent="0.25">
      <c r="A110" s="966">
        <v>3118110</v>
      </c>
      <c r="B110" s="926">
        <v>8110</v>
      </c>
      <c r="C110" s="942" t="s">
        <v>231</v>
      </c>
      <c r="D110" s="927" t="s">
        <v>232</v>
      </c>
      <c r="E110" s="927" t="s">
        <v>154</v>
      </c>
      <c r="F110" s="895" t="s">
        <v>647</v>
      </c>
      <c r="G110" s="856">
        <v>73320</v>
      </c>
      <c r="H110" s="617">
        <v>48880.02</v>
      </c>
      <c r="I110" s="617">
        <v>0</v>
      </c>
      <c r="J110" s="617">
        <v>0</v>
      </c>
      <c r="K110" s="617">
        <v>0</v>
      </c>
      <c r="L110" s="618">
        <v>0</v>
      </c>
      <c r="M110" s="619">
        <f t="shared" si="31"/>
        <v>73320</v>
      </c>
      <c r="N110" s="620">
        <f t="shared" si="32"/>
        <v>48880.02</v>
      </c>
      <c r="O110" s="621">
        <f t="shared" si="2"/>
        <v>0.66666693944353517</v>
      </c>
    </row>
    <row r="111" spans="1:15" s="361" customFormat="1" ht="24" customHeight="1" thickBot="1" x14ac:dyDescent="0.25">
      <c r="A111" s="317" t="s">
        <v>209</v>
      </c>
      <c r="B111" s="309" t="s">
        <v>297</v>
      </c>
      <c r="C111" s="312" t="s">
        <v>297</v>
      </c>
      <c r="D111" s="312" t="s">
        <v>148</v>
      </c>
      <c r="E111" s="863" t="s">
        <v>297</v>
      </c>
      <c r="F111" s="863" t="s">
        <v>297</v>
      </c>
      <c r="G111" s="360">
        <f>G18+G36+G48+G56+G59+G74+G86+G100+G103+G107</f>
        <v>226956116</v>
      </c>
      <c r="H111" s="360">
        <f>H18+H36+H48+H56+H59+H74+H86+H100+H103+H107</f>
        <v>143958497.38000003</v>
      </c>
      <c r="I111" s="360">
        <f>I18+I36+I48+I56+I59+I74+I86+I103</f>
        <v>127018048</v>
      </c>
      <c r="J111" s="360">
        <f>J18+J36+J48+J56+J59+J74+J86+J103</f>
        <v>125961668</v>
      </c>
      <c r="K111" s="360">
        <f>K18+K36+K48+K56+K59+K74+K86+K103</f>
        <v>37763242.649999999</v>
      </c>
      <c r="L111" s="360">
        <f>L18+L36+L48+L56+L59+L74+L86+L103</f>
        <v>37264208.649999999</v>
      </c>
      <c r="M111" s="360">
        <f>G111+I111</f>
        <v>353974164</v>
      </c>
      <c r="N111" s="350">
        <f>H111+K111</f>
        <v>181721740.03000003</v>
      </c>
      <c r="O111" s="345">
        <f t="shared" si="2"/>
        <v>0.51337571639833024</v>
      </c>
    </row>
    <row r="112" spans="1:15" s="5" customFormat="1" ht="15" customHeight="1" x14ac:dyDescent="0.2">
      <c r="A112" s="362"/>
      <c r="C112" s="214"/>
      <c r="D112" s="214"/>
      <c r="E112" s="363"/>
      <c r="F112" s="363"/>
      <c r="G112" s="364"/>
      <c r="H112" s="365"/>
      <c r="I112" s="364"/>
      <c r="J112" s="364"/>
      <c r="K112" s="366"/>
      <c r="L112" s="21"/>
      <c r="M112" s="21"/>
      <c r="N112" s="21"/>
      <c r="O112" s="367"/>
    </row>
    <row r="113" spans="1:256" s="369" customFormat="1" ht="49.5" customHeight="1" x14ac:dyDescent="0.3">
      <c r="A113" s="1292" t="s">
        <v>405</v>
      </c>
      <c r="B113" s="1292"/>
      <c r="C113" s="1292"/>
      <c r="D113" s="1292"/>
      <c r="E113" s="23"/>
      <c r="F113" s="23"/>
      <c r="G113" s="23"/>
      <c r="H113" s="23"/>
      <c r="I113" s="23"/>
      <c r="J113" s="23" t="s">
        <v>472</v>
      </c>
      <c r="K113" s="23"/>
      <c r="L113" s="368"/>
      <c r="M113" s="24"/>
      <c r="N113" s="23"/>
      <c r="O113" s="23"/>
      <c r="P113" s="25"/>
      <c r="Q113" s="26"/>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c r="FM113" s="27"/>
      <c r="FN113" s="27"/>
      <c r="FO113" s="27"/>
      <c r="FP113" s="27"/>
      <c r="FQ113" s="27"/>
      <c r="FR113" s="27"/>
      <c r="FS113" s="27"/>
      <c r="FT113" s="27"/>
      <c r="FU113" s="27"/>
      <c r="FV113" s="27"/>
      <c r="FW113" s="27"/>
      <c r="FX113" s="27"/>
      <c r="FY113" s="27"/>
      <c r="FZ113" s="27"/>
      <c r="GA113" s="27"/>
      <c r="GB113" s="27"/>
      <c r="GC113" s="27"/>
      <c r="GD113" s="27"/>
      <c r="GE113" s="27"/>
      <c r="GF113" s="27"/>
      <c r="GG113" s="27"/>
      <c r="GH113" s="27"/>
      <c r="GI113" s="27"/>
      <c r="GJ113" s="27"/>
      <c r="GK113" s="27"/>
      <c r="GL113" s="27"/>
      <c r="GM113" s="27"/>
      <c r="GN113" s="27"/>
      <c r="GO113" s="27"/>
      <c r="GP113" s="27"/>
      <c r="GQ113" s="27"/>
      <c r="GR113" s="27"/>
      <c r="GS113" s="27"/>
      <c r="GT113" s="27"/>
      <c r="GU113" s="27"/>
      <c r="GV113" s="27"/>
      <c r="GW113" s="27"/>
      <c r="GX113" s="27"/>
      <c r="GY113" s="27"/>
      <c r="GZ113" s="27"/>
      <c r="HA113" s="27"/>
      <c r="HB113" s="27"/>
      <c r="HC113" s="27"/>
      <c r="HD113" s="27"/>
      <c r="HE113" s="27"/>
      <c r="HF113" s="27"/>
      <c r="HG113" s="27"/>
      <c r="HH113" s="27"/>
      <c r="HI113" s="27"/>
      <c r="HJ113" s="27"/>
      <c r="HK113" s="27"/>
      <c r="HL113" s="27"/>
      <c r="HM113" s="27"/>
      <c r="HN113" s="27"/>
      <c r="HO113" s="27"/>
      <c r="HP113" s="27"/>
      <c r="HQ113" s="27"/>
      <c r="HR113" s="27"/>
      <c r="HS113" s="27"/>
      <c r="HT113" s="27"/>
      <c r="HU113" s="27"/>
      <c r="HV113" s="27"/>
      <c r="HW113" s="27"/>
      <c r="HX113" s="27"/>
      <c r="HY113" s="27"/>
      <c r="HZ113" s="27"/>
      <c r="IA113" s="27"/>
      <c r="IB113" s="27"/>
      <c r="IC113" s="27"/>
      <c r="ID113" s="27"/>
      <c r="IE113" s="27"/>
      <c r="IF113" s="27"/>
      <c r="IG113" s="27"/>
      <c r="IH113" s="27"/>
      <c r="II113" s="27"/>
      <c r="IJ113" s="27"/>
      <c r="IK113" s="27"/>
      <c r="IL113" s="27"/>
      <c r="IM113" s="27"/>
      <c r="IN113" s="27"/>
      <c r="IO113" s="27"/>
      <c r="IP113" s="27"/>
      <c r="IQ113" s="27"/>
      <c r="IR113" s="27"/>
      <c r="IS113" s="27"/>
      <c r="IT113" s="27"/>
      <c r="IU113" s="27"/>
      <c r="IV113" s="27"/>
    </row>
    <row r="114" spans="1:256" s="5" customFormat="1" ht="33" customHeight="1" x14ac:dyDescent="0.3">
      <c r="C114" s="214"/>
      <c r="D114" s="370"/>
      <c r="E114" s="23"/>
      <c r="F114" s="23"/>
      <c r="H114" s="364"/>
      <c r="I114" s="300"/>
      <c r="J114" s="364"/>
      <c r="K114" s="364"/>
      <c r="L114" s="371"/>
      <c r="M114" s="371"/>
      <c r="N114" s="21"/>
      <c r="O114" s="367"/>
    </row>
    <row r="115" spans="1:256" s="5" customFormat="1" ht="33" customHeight="1" x14ac:dyDescent="0.3">
      <c r="C115" s="214"/>
      <c r="D115" s="370"/>
      <c r="E115" s="23"/>
      <c r="F115" s="23"/>
      <c r="H115" s="300"/>
      <c r="I115" s="300"/>
      <c r="J115" s="364"/>
      <c r="K115" s="364"/>
      <c r="L115" s="371"/>
      <c r="M115" s="371"/>
      <c r="N115" s="21"/>
      <c r="O115" s="367"/>
    </row>
    <row r="116" spans="1:256" s="5" customFormat="1" x14ac:dyDescent="0.2">
      <c r="C116" s="4"/>
      <c r="G116" s="372"/>
      <c r="H116" s="300"/>
      <c r="I116" s="372"/>
      <c r="J116" s="372"/>
      <c r="K116" s="373"/>
      <c r="L116" s="372"/>
      <c r="M116" s="372"/>
      <c r="N116" s="366"/>
      <c r="O116" s="367"/>
    </row>
    <row r="117" spans="1:256" x14ac:dyDescent="0.2">
      <c r="A117" s="5"/>
      <c r="H117" s="300"/>
    </row>
    <row r="118" spans="1:256" x14ac:dyDescent="0.2">
      <c r="A118" s="5"/>
      <c r="G118" s="374"/>
      <c r="H118" s="372"/>
      <c r="I118" s="374"/>
      <c r="J118" s="374"/>
      <c r="K118" s="374"/>
      <c r="L118" s="374"/>
      <c r="N118" s="374"/>
    </row>
    <row r="120" spans="1:256" x14ac:dyDescent="0.2">
      <c r="G120" s="372"/>
      <c r="H120" s="374"/>
      <c r="I120" s="375"/>
    </row>
    <row r="121" spans="1:256" x14ac:dyDescent="0.2">
      <c r="I121" s="375"/>
    </row>
  </sheetData>
  <mergeCells count="14">
    <mergeCell ref="L6:M6"/>
    <mergeCell ref="I15:L15"/>
    <mergeCell ref="M15:O15"/>
    <mergeCell ref="A113:D113"/>
    <mergeCell ref="G10:I10"/>
    <mergeCell ref="A13:C13"/>
    <mergeCell ref="A14:C14"/>
    <mergeCell ref="A15:A16"/>
    <mergeCell ref="B15:B16"/>
    <mergeCell ref="C15:C16"/>
    <mergeCell ref="D15:D16"/>
    <mergeCell ref="E15:E16"/>
    <mergeCell ref="F15:F16"/>
    <mergeCell ref="G15:H15"/>
  </mergeCells>
  <pageMargins left="1.1811023622047245" right="0.39370078740157483" top="0.70866141732283472" bottom="0.70866141732283472" header="0.31496062992125984" footer="0.31496062992125984"/>
  <pageSetup paperSize="9" scale="50" orientation="landscape" r:id="rId1"/>
  <rowBreaks count="1" manualBreakCount="1">
    <brk id="106"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100"/>
  <sheetViews>
    <sheetView view="pageBreakPreview" topLeftCell="A13" zoomScale="50" zoomScaleNormal="50" zoomScaleSheetLayoutView="50" workbookViewId="0">
      <selection activeCell="B92" sqref="B92"/>
    </sheetView>
  </sheetViews>
  <sheetFormatPr defaultColWidth="9.28515625" defaultRowHeight="15" x14ac:dyDescent="0.25"/>
  <cols>
    <col min="1" max="1" width="14.5703125" style="72" customWidth="1"/>
    <col min="2" max="2" width="15.140625" style="73" customWidth="1"/>
    <col min="3" max="3" width="11" style="74" customWidth="1"/>
    <col min="4" max="4" width="51.42578125" style="75" customWidth="1"/>
    <col min="5" max="5" width="60.140625" style="76" customWidth="1"/>
    <col min="6" max="6" width="15.28515625" style="74" customWidth="1"/>
    <col min="7" max="7" width="18" style="120" customWidth="1"/>
    <col min="8" max="8" width="17.85546875" style="120" customWidth="1"/>
    <col min="9" max="9" width="13.85546875" style="120" customWidth="1"/>
    <col min="10" max="10" width="33.7109375" style="78" customWidth="1"/>
    <col min="11" max="11" width="29.85546875" style="78" customWidth="1"/>
    <col min="12" max="12" width="9.85546875" style="72" bestFit="1" customWidth="1"/>
    <col min="13" max="13" width="16.85546875" style="72" bestFit="1" customWidth="1"/>
    <col min="14" max="14" width="9.28515625" style="72"/>
    <col min="15" max="15" width="13.7109375" style="72" bestFit="1" customWidth="1"/>
    <col min="16" max="256" width="9.28515625" style="72"/>
    <col min="257" max="257" width="15" style="72" customWidth="1"/>
    <col min="258" max="258" width="12.7109375" style="72" customWidth="1"/>
    <col min="259" max="259" width="11.7109375" style="72" customWidth="1"/>
    <col min="260" max="260" width="44.85546875" style="72" customWidth="1"/>
    <col min="261" max="261" width="54.7109375" style="72" customWidth="1"/>
    <col min="262" max="262" width="15.28515625" style="72" customWidth="1"/>
    <col min="263" max="264" width="19.28515625" style="72" customWidth="1"/>
    <col min="265" max="265" width="13.85546875" style="72" customWidth="1"/>
    <col min="266" max="266" width="25.28515625" style="72" customWidth="1"/>
    <col min="267" max="267" width="16.28515625" style="72" customWidth="1"/>
    <col min="268" max="512" width="9.28515625" style="72"/>
    <col min="513" max="513" width="15" style="72" customWidth="1"/>
    <col min="514" max="514" width="12.7109375" style="72" customWidth="1"/>
    <col min="515" max="515" width="11.7109375" style="72" customWidth="1"/>
    <col min="516" max="516" width="44.85546875" style="72" customWidth="1"/>
    <col min="517" max="517" width="54.7109375" style="72" customWidth="1"/>
    <col min="518" max="518" width="15.28515625" style="72" customWidth="1"/>
    <col min="519" max="520" width="19.28515625" style="72" customWidth="1"/>
    <col min="521" max="521" width="13.85546875" style="72" customWidth="1"/>
    <col min="522" max="522" width="25.28515625" style="72" customWidth="1"/>
    <col min="523" max="523" width="16.28515625" style="72" customWidth="1"/>
    <col min="524" max="768" width="9.28515625" style="72"/>
    <col min="769" max="769" width="15" style="72" customWidth="1"/>
    <col min="770" max="770" width="12.7109375" style="72" customWidth="1"/>
    <col min="771" max="771" width="11.7109375" style="72" customWidth="1"/>
    <col min="772" max="772" width="44.85546875" style="72" customWidth="1"/>
    <col min="773" max="773" width="54.7109375" style="72" customWidth="1"/>
    <col min="774" max="774" width="15.28515625" style="72" customWidth="1"/>
    <col min="775" max="776" width="19.28515625" style="72" customWidth="1"/>
    <col min="777" max="777" width="13.85546875" style="72" customWidth="1"/>
    <col min="778" max="778" width="25.28515625" style="72" customWidth="1"/>
    <col min="779" max="779" width="16.28515625" style="72" customWidth="1"/>
    <col min="780" max="1024" width="9.28515625" style="72"/>
    <col min="1025" max="1025" width="15" style="72" customWidth="1"/>
    <col min="1026" max="1026" width="12.7109375" style="72" customWidth="1"/>
    <col min="1027" max="1027" width="11.7109375" style="72" customWidth="1"/>
    <col min="1028" max="1028" width="44.85546875" style="72" customWidth="1"/>
    <col min="1029" max="1029" width="54.7109375" style="72" customWidth="1"/>
    <col min="1030" max="1030" width="15.28515625" style="72" customWidth="1"/>
    <col min="1031" max="1032" width="19.28515625" style="72" customWidth="1"/>
    <col min="1033" max="1033" width="13.85546875" style="72" customWidth="1"/>
    <col min="1034" max="1034" width="25.28515625" style="72" customWidth="1"/>
    <col min="1035" max="1035" width="16.28515625" style="72" customWidth="1"/>
    <col min="1036" max="1280" width="9.28515625" style="72"/>
    <col min="1281" max="1281" width="15" style="72" customWidth="1"/>
    <col min="1282" max="1282" width="12.7109375" style="72" customWidth="1"/>
    <col min="1283" max="1283" width="11.7109375" style="72" customWidth="1"/>
    <col min="1284" max="1284" width="44.85546875" style="72" customWidth="1"/>
    <col min="1285" max="1285" width="54.7109375" style="72" customWidth="1"/>
    <col min="1286" max="1286" width="15.28515625" style="72" customWidth="1"/>
    <col min="1287" max="1288" width="19.28515625" style="72" customWidth="1"/>
    <col min="1289" max="1289" width="13.85546875" style="72" customWidth="1"/>
    <col min="1290" max="1290" width="25.28515625" style="72" customWidth="1"/>
    <col min="1291" max="1291" width="16.28515625" style="72" customWidth="1"/>
    <col min="1292" max="1536" width="9.28515625" style="72"/>
    <col min="1537" max="1537" width="15" style="72" customWidth="1"/>
    <col min="1538" max="1538" width="12.7109375" style="72" customWidth="1"/>
    <col min="1539" max="1539" width="11.7109375" style="72" customWidth="1"/>
    <col min="1540" max="1540" width="44.85546875" style="72" customWidth="1"/>
    <col min="1541" max="1541" width="54.7109375" style="72" customWidth="1"/>
    <col min="1542" max="1542" width="15.28515625" style="72" customWidth="1"/>
    <col min="1543" max="1544" width="19.28515625" style="72" customWidth="1"/>
    <col min="1545" max="1545" width="13.85546875" style="72" customWidth="1"/>
    <col min="1546" max="1546" width="25.28515625" style="72" customWidth="1"/>
    <col min="1547" max="1547" width="16.28515625" style="72" customWidth="1"/>
    <col min="1548" max="1792" width="9.28515625" style="72"/>
    <col min="1793" max="1793" width="15" style="72" customWidth="1"/>
    <col min="1794" max="1794" width="12.7109375" style="72" customWidth="1"/>
    <col min="1795" max="1795" width="11.7109375" style="72" customWidth="1"/>
    <col min="1796" max="1796" width="44.85546875" style="72" customWidth="1"/>
    <col min="1797" max="1797" width="54.7109375" style="72" customWidth="1"/>
    <col min="1798" max="1798" width="15.28515625" style="72" customWidth="1"/>
    <col min="1799" max="1800" width="19.28515625" style="72" customWidth="1"/>
    <col min="1801" max="1801" width="13.85546875" style="72" customWidth="1"/>
    <col min="1802" max="1802" width="25.28515625" style="72" customWidth="1"/>
    <col min="1803" max="1803" width="16.28515625" style="72" customWidth="1"/>
    <col min="1804" max="2048" width="9.28515625" style="72"/>
    <col min="2049" max="2049" width="15" style="72" customWidth="1"/>
    <col min="2050" max="2050" width="12.7109375" style="72" customWidth="1"/>
    <col min="2051" max="2051" width="11.7109375" style="72" customWidth="1"/>
    <col min="2052" max="2052" width="44.85546875" style="72" customWidth="1"/>
    <col min="2053" max="2053" width="54.7109375" style="72" customWidth="1"/>
    <col min="2054" max="2054" width="15.28515625" style="72" customWidth="1"/>
    <col min="2055" max="2056" width="19.28515625" style="72" customWidth="1"/>
    <col min="2057" max="2057" width="13.85546875" style="72" customWidth="1"/>
    <col min="2058" max="2058" width="25.28515625" style="72" customWidth="1"/>
    <col min="2059" max="2059" width="16.28515625" style="72" customWidth="1"/>
    <col min="2060" max="2304" width="9.28515625" style="72"/>
    <col min="2305" max="2305" width="15" style="72" customWidth="1"/>
    <col min="2306" max="2306" width="12.7109375" style="72" customWidth="1"/>
    <col min="2307" max="2307" width="11.7109375" style="72" customWidth="1"/>
    <col min="2308" max="2308" width="44.85546875" style="72" customWidth="1"/>
    <col min="2309" max="2309" width="54.7109375" style="72" customWidth="1"/>
    <col min="2310" max="2310" width="15.28515625" style="72" customWidth="1"/>
    <col min="2311" max="2312" width="19.28515625" style="72" customWidth="1"/>
    <col min="2313" max="2313" width="13.85546875" style="72" customWidth="1"/>
    <col min="2314" max="2314" width="25.28515625" style="72" customWidth="1"/>
    <col min="2315" max="2315" width="16.28515625" style="72" customWidth="1"/>
    <col min="2316" max="2560" width="9.28515625" style="72"/>
    <col min="2561" max="2561" width="15" style="72" customWidth="1"/>
    <col min="2562" max="2562" width="12.7109375" style="72" customWidth="1"/>
    <col min="2563" max="2563" width="11.7109375" style="72" customWidth="1"/>
    <col min="2564" max="2564" width="44.85546875" style="72" customWidth="1"/>
    <col min="2565" max="2565" width="54.7109375" style="72" customWidth="1"/>
    <col min="2566" max="2566" width="15.28515625" style="72" customWidth="1"/>
    <col min="2567" max="2568" width="19.28515625" style="72" customWidth="1"/>
    <col min="2569" max="2569" width="13.85546875" style="72" customWidth="1"/>
    <col min="2570" max="2570" width="25.28515625" style="72" customWidth="1"/>
    <col min="2571" max="2571" width="16.28515625" style="72" customWidth="1"/>
    <col min="2572" max="2816" width="9.28515625" style="72"/>
    <col min="2817" max="2817" width="15" style="72" customWidth="1"/>
    <col min="2818" max="2818" width="12.7109375" style="72" customWidth="1"/>
    <col min="2819" max="2819" width="11.7109375" style="72" customWidth="1"/>
    <col min="2820" max="2820" width="44.85546875" style="72" customWidth="1"/>
    <col min="2821" max="2821" width="54.7109375" style="72" customWidth="1"/>
    <col min="2822" max="2822" width="15.28515625" style="72" customWidth="1"/>
    <col min="2823" max="2824" width="19.28515625" style="72" customWidth="1"/>
    <col min="2825" max="2825" width="13.85546875" style="72" customWidth="1"/>
    <col min="2826" max="2826" width="25.28515625" style="72" customWidth="1"/>
    <col min="2827" max="2827" width="16.28515625" style="72" customWidth="1"/>
    <col min="2828" max="3072" width="9.28515625" style="72"/>
    <col min="3073" max="3073" width="15" style="72" customWidth="1"/>
    <col min="3074" max="3074" width="12.7109375" style="72" customWidth="1"/>
    <col min="3075" max="3075" width="11.7109375" style="72" customWidth="1"/>
    <col min="3076" max="3076" width="44.85546875" style="72" customWidth="1"/>
    <col min="3077" max="3077" width="54.7109375" style="72" customWidth="1"/>
    <col min="3078" max="3078" width="15.28515625" style="72" customWidth="1"/>
    <col min="3079" max="3080" width="19.28515625" style="72" customWidth="1"/>
    <col min="3081" max="3081" width="13.85546875" style="72" customWidth="1"/>
    <col min="3082" max="3082" width="25.28515625" style="72" customWidth="1"/>
    <col min="3083" max="3083" width="16.28515625" style="72" customWidth="1"/>
    <col min="3084" max="3328" width="9.28515625" style="72"/>
    <col min="3329" max="3329" width="15" style="72" customWidth="1"/>
    <col min="3330" max="3330" width="12.7109375" style="72" customWidth="1"/>
    <col min="3331" max="3331" width="11.7109375" style="72" customWidth="1"/>
    <col min="3332" max="3332" width="44.85546875" style="72" customWidth="1"/>
    <col min="3333" max="3333" width="54.7109375" style="72" customWidth="1"/>
    <col min="3334" max="3334" width="15.28515625" style="72" customWidth="1"/>
    <col min="3335" max="3336" width="19.28515625" style="72" customWidth="1"/>
    <col min="3337" max="3337" width="13.85546875" style="72" customWidth="1"/>
    <col min="3338" max="3338" width="25.28515625" style="72" customWidth="1"/>
    <col min="3339" max="3339" width="16.28515625" style="72" customWidth="1"/>
    <col min="3340" max="3584" width="9.28515625" style="72"/>
    <col min="3585" max="3585" width="15" style="72" customWidth="1"/>
    <col min="3586" max="3586" width="12.7109375" style="72" customWidth="1"/>
    <col min="3587" max="3587" width="11.7109375" style="72" customWidth="1"/>
    <col min="3588" max="3588" width="44.85546875" style="72" customWidth="1"/>
    <col min="3589" max="3589" width="54.7109375" style="72" customWidth="1"/>
    <col min="3590" max="3590" width="15.28515625" style="72" customWidth="1"/>
    <col min="3591" max="3592" width="19.28515625" style="72" customWidth="1"/>
    <col min="3593" max="3593" width="13.85546875" style="72" customWidth="1"/>
    <col min="3594" max="3594" width="25.28515625" style="72" customWidth="1"/>
    <col min="3595" max="3595" width="16.28515625" style="72" customWidth="1"/>
    <col min="3596" max="3840" width="9.28515625" style="72"/>
    <col min="3841" max="3841" width="15" style="72" customWidth="1"/>
    <col min="3842" max="3842" width="12.7109375" style="72" customWidth="1"/>
    <col min="3843" max="3843" width="11.7109375" style="72" customWidth="1"/>
    <col min="3844" max="3844" width="44.85546875" style="72" customWidth="1"/>
    <col min="3845" max="3845" width="54.7109375" style="72" customWidth="1"/>
    <col min="3846" max="3846" width="15.28515625" style="72" customWidth="1"/>
    <col min="3847" max="3848" width="19.28515625" style="72" customWidth="1"/>
    <col min="3849" max="3849" width="13.85546875" style="72" customWidth="1"/>
    <col min="3850" max="3850" width="25.28515625" style="72" customWidth="1"/>
    <col min="3851" max="3851" width="16.28515625" style="72" customWidth="1"/>
    <col min="3852" max="4096" width="9.28515625" style="72"/>
    <col min="4097" max="4097" width="15" style="72" customWidth="1"/>
    <col min="4098" max="4098" width="12.7109375" style="72" customWidth="1"/>
    <col min="4099" max="4099" width="11.7109375" style="72" customWidth="1"/>
    <col min="4100" max="4100" width="44.85546875" style="72" customWidth="1"/>
    <col min="4101" max="4101" width="54.7109375" style="72" customWidth="1"/>
    <col min="4102" max="4102" width="15.28515625" style="72" customWidth="1"/>
    <col min="4103" max="4104" width="19.28515625" style="72" customWidth="1"/>
    <col min="4105" max="4105" width="13.85546875" style="72" customWidth="1"/>
    <col min="4106" max="4106" width="25.28515625" style="72" customWidth="1"/>
    <col min="4107" max="4107" width="16.28515625" style="72" customWidth="1"/>
    <col min="4108" max="4352" width="9.28515625" style="72"/>
    <col min="4353" max="4353" width="15" style="72" customWidth="1"/>
    <col min="4354" max="4354" width="12.7109375" style="72" customWidth="1"/>
    <col min="4355" max="4355" width="11.7109375" style="72" customWidth="1"/>
    <col min="4356" max="4356" width="44.85546875" style="72" customWidth="1"/>
    <col min="4357" max="4357" width="54.7109375" style="72" customWidth="1"/>
    <col min="4358" max="4358" width="15.28515625" style="72" customWidth="1"/>
    <col min="4359" max="4360" width="19.28515625" style="72" customWidth="1"/>
    <col min="4361" max="4361" width="13.85546875" style="72" customWidth="1"/>
    <col min="4362" max="4362" width="25.28515625" style="72" customWidth="1"/>
    <col min="4363" max="4363" width="16.28515625" style="72" customWidth="1"/>
    <col min="4364" max="4608" width="9.28515625" style="72"/>
    <col min="4609" max="4609" width="15" style="72" customWidth="1"/>
    <col min="4610" max="4610" width="12.7109375" style="72" customWidth="1"/>
    <col min="4611" max="4611" width="11.7109375" style="72" customWidth="1"/>
    <col min="4612" max="4612" width="44.85546875" style="72" customWidth="1"/>
    <col min="4613" max="4613" width="54.7109375" style="72" customWidth="1"/>
    <col min="4614" max="4614" width="15.28515625" style="72" customWidth="1"/>
    <col min="4615" max="4616" width="19.28515625" style="72" customWidth="1"/>
    <col min="4617" max="4617" width="13.85546875" style="72" customWidth="1"/>
    <col min="4618" max="4618" width="25.28515625" style="72" customWidth="1"/>
    <col min="4619" max="4619" width="16.28515625" style="72" customWidth="1"/>
    <col min="4620" max="4864" width="9.28515625" style="72"/>
    <col min="4865" max="4865" width="15" style="72" customWidth="1"/>
    <col min="4866" max="4866" width="12.7109375" style="72" customWidth="1"/>
    <col min="4867" max="4867" width="11.7109375" style="72" customWidth="1"/>
    <col min="4868" max="4868" width="44.85546875" style="72" customWidth="1"/>
    <col min="4869" max="4869" width="54.7109375" style="72" customWidth="1"/>
    <col min="4870" max="4870" width="15.28515625" style="72" customWidth="1"/>
    <col min="4871" max="4872" width="19.28515625" style="72" customWidth="1"/>
    <col min="4873" max="4873" width="13.85546875" style="72" customWidth="1"/>
    <col min="4874" max="4874" width="25.28515625" style="72" customWidth="1"/>
    <col min="4875" max="4875" width="16.28515625" style="72" customWidth="1"/>
    <col min="4876" max="5120" width="9.28515625" style="72"/>
    <col min="5121" max="5121" width="15" style="72" customWidth="1"/>
    <col min="5122" max="5122" width="12.7109375" style="72" customWidth="1"/>
    <col min="5123" max="5123" width="11.7109375" style="72" customWidth="1"/>
    <col min="5124" max="5124" width="44.85546875" style="72" customWidth="1"/>
    <col min="5125" max="5125" width="54.7109375" style="72" customWidth="1"/>
    <col min="5126" max="5126" width="15.28515625" style="72" customWidth="1"/>
    <col min="5127" max="5128" width="19.28515625" style="72" customWidth="1"/>
    <col min="5129" max="5129" width="13.85546875" style="72" customWidth="1"/>
    <col min="5130" max="5130" width="25.28515625" style="72" customWidth="1"/>
    <col min="5131" max="5131" width="16.28515625" style="72" customWidth="1"/>
    <col min="5132" max="5376" width="9.28515625" style="72"/>
    <col min="5377" max="5377" width="15" style="72" customWidth="1"/>
    <col min="5378" max="5378" width="12.7109375" style="72" customWidth="1"/>
    <col min="5379" max="5379" width="11.7109375" style="72" customWidth="1"/>
    <col min="5380" max="5380" width="44.85546875" style="72" customWidth="1"/>
    <col min="5381" max="5381" width="54.7109375" style="72" customWidth="1"/>
    <col min="5382" max="5382" width="15.28515625" style="72" customWidth="1"/>
    <col min="5383" max="5384" width="19.28515625" style="72" customWidth="1"/>
    <col min="5385" max="5385" width="13.85546875" style="72" customWidth="1"/>
    <col min="5386" max="5386" width="25.28515625" style="72" customWidth="1"/>
    <col min="5387" max="5387" width="16.28515625" style="72" customWidth="1"/>
    <col min="5388" max="5632" width="9.28515625" style="72"/>
    <col min="5633" max="5633" width="15" style="72" customWidth="1"/>
    <col min="5634" max="5634" width="12.7109375" style="72" customWidth="1"/>
    <col min="5635" max="5635" width="11.7109375" style="72" customWidth="1"/>
    <col min="5636" max="5636" width="44.85546875" style="72" customWidth="1"/>
    <col min="5637" max="5637" width="54.7109375" style="72" customWidth="1"/>
    <col min="5638" max="5638" width="15.28515625" style="72" customWidth="1"/>
    <col min="5639" max="5640" width="19.28515625" style="72" customWidth="1"/>
    <col min="5641" max="5641" width="13.85546875" style="72" customWidth="1"/>
    <col min="5642" max="5642" width="25.28515625" style="72" customWidth="1"/>
    <col min="5643" max="5643" width="16.28515625" style="72" customWidth="1"/>
    <col min="5644" max="5888" width="9.28515625" style="72"/>
    <col min="5889" max="5889" width="15" style="72" customWidth="1"/>
    <col min="5890" max="5890" width="12.7109375" style="72" customWidth="1"/>
    <col min="5891" max="5891" width="11.7109375" style="72" customWidth="1"/>
    <col min="5892" max="5892" width="44.85546875" style="72" customWidth="1"/>
    <col min="5893" max="5893" width="54.7109375" style="72" customWidth="1"/>
    <col min="5894" max="5894" width="15.28515625" style="72" customWidth="1"/>
    <col min="5895" max="5896" width="19.28515625" style="72" customWidth="1"/>
    <col min="5897" max="5897" width="13.85546875" style="72" customWidth="1"/>
    <col min="5898" max="5898" width="25.28515625" style="72" customWidth="1"/>
    <col min="5899" max="5899" width="16.28515625" style="72" customWidth="1"/>
    <col min="5900" max="6144" width="9.28515625" style="72"/>
    <col min="6145" max="6145" width="15" style="72" customWidth="1"/>
    <col min="6146" max="6146" width="12.7109375" style="72" customWidth="1"/>
    <col min="6147" max="6147" width="11.7109375" style="72" customWidth="1"/>
    <col min="6148" max="6148" width="44.85546875" style="72" customWidth="1"/>
    <col min="6149" max="6149" width="54.7109375" style="72" customWidth="1"/>
    <col min="6150" max="6150" width="15.28515625" style="72" customWidth="1"/>
    <col min="6151" max="6152" width="19.28515625" style="72" customWidth="1"/>
    <col min="6153" max="6153" width="13.85546875" style="72" customWidth="1"/>
    <col min="6154" max="6154" width="25.28515625" style="72" customWidth="1"/>
    <col min="6155" max="6155" width="16.28515625" style="72" customWidth="1"/>
    <col min="6156" max="6400" width="9.28515625" style="72"/>
    <col min="6401" max="6401" width="15" style="72" customWidth="1"/>
    <col min="6402" max="6402" width="12.7109375" style="72" customWidth="1"/>
    <col min="6403" max="6403" width="11.7109375" style="72" customWidth="1"/>
    <col min="6404" max="6404" width="44.85546875" style="72" customWidth="1"/>
    <col min="6405" max="6405" width="54.7109375" style="72" customWidth="1"/>
    <col min="6406" max="6406" width="15.28515625" style="72" customWidth="1"/>
    <col min="6407" max="6408" width="19.28515625" style="72" customWidth="1"/>
    <col min="6409" max="6409" width="13.85546875" style="72" customWidth="1"/>
    <col min="6410" max="6410" width="25.28515625" style="72" customWidth="1"/>
    <col min="6411" max="6411" width="16.28515625" style="72" customWidth="1"/>
    <col min="6412" max="6656" width="9.28515625" style="72"/>
    <col min="6657" max="6657" width="15" style="72" customWidth="1"/>
    <col min="6658" max="6658" width="12.7109375" style="72" customWidth="1"/>
    <col min="6659" max="6659" width="11.7109375" style="72" customWidth="1"/>
    <col min="6660" max="6660" width="44.85546875" style="72" customWidth="1"/>
    <col min="6661" max="6661" width="54.7109375" style="72" customWidth="1"/>
    <col min="6662" max="6662" width="15.28515625" style="72" customWidth="1"/>
    <col min="6663" max="6664" width="19.28515625" style="72" customWidth="1"/>
    <col min="6665" max="6665" width="13.85546875" style="72" customWidth="1"/>
    <col min="6666" max="6666" width="25.28515625" style="72" customWidth="1"/>
    <col min="6667" max="6667" width="16.28515625" style="72" customWidth="1"/>
    <col min="6668" max="6912" width="9.28515625" style="72"/>
    <col min="6913" max="6913" width="15" style="72" customWidth="1"/>
    <col min="6914" max="6914" width="12.7109375" style="72" customWidth="1"/>
    <col min="6915" max="6915" width="11.7109375" style="72" customWidth="1"/>
    <col min="6916" max="6916" width="44.85546875" style="72" customWidth="1"/>
    <col min="6917" max="6917" width="54.7109375" style="72" customWidth="1"/>
    <col min="6918" max="6918" width="15.28515625" style="72" customWidth="1"/>
    <col min="6919" max="6920" width="19.28515625" style="72" customWidth="1"/>
    <col min="6921" max="6921" width="13.85546875" style="72" customWidth="1"/>
    <col min="6922" max="6922" width="25.28515625" style="72" customWidth="1"/>
    <col min="6923" max="6923" width="16.28515625" style="72" customWidth="1"/>
    <col min="6924" max="7168" width="9.28515625" style="72"/>
    <col min="7169" max="7169" width="15" style="72" customWidth="1"/>
    <col min="7170" max="7170" width="12.7109375" style="72" customWidth="1"/>
    <col min="7171" max="7171" width="11.7109375" style="72" customWidth="1"/>
    <col min="7172" max="7172" width="44.85546875" style="72" customWidth="1"/>
    <col min="7173" max="7173" width="54.7109375" style="72" customWidth="1"/>
    <col min="7174" max="7174" width="15.28515625" style="72" customWidth="1"/>
    <col min="7175" max="7176" width="19.28515625" style="72" customWidth="1"/>
    <col min="7177" max="7177" width="13.85546875" style="72" customWidth="1"/>
    <col min="7178" max="7178" width="25.28515625" style="72" customWidth="1"/>
    <col min="7179" max="7179" width="16.28515625" style="72" customWidth="1"/>
    <col min="7180" max="7424" width="9.28515625" style="72"/>
    <col min="7425" max="7425" width="15" style="72" customWidth="1"/>
    <col min="7426" max="7426" width="12.7109375" style="72" customWidth="1"/>
    <col min="7427" max="7427" width="11.7109375" style="72" customWidth="1"/>
    <col min="7428" max="7428" width="44.85546875" style="72" customWidth="1"/>
    <col min="7429" max="7429" width="54.7109375" style="72" customWidth="1"/>
    <col min="7430" max="7430" width="15.28515625" style="72" customWidth="1"/>
    <col min="7431" max="7432" width="19.28515625" style="72" customWidth="1"/>
    <col min="7433" max="7433" width="13.85546875" style="72" customWidth="1"/>
    <col min="7434" max="7434" width="25.28515625" style="72" customWidth="1"/>
    <col min="7435" max="7435" width="16.28515625" style="72" customWidth="1"/>
    <col min="7436" max="7680" width="9.28515625" style="72"/>
    <col min="7681" max="7681" width="15" style="72" customWidth="1"/>
    <col min="7682" max="7682" width="12.7109375" style="72" customWidth="1"/>
    <col min="7683" max="7683" width="11.7109375" style="72" customWidth="1"/>
    <col min="7684" max="7684" width="44.85546875" style="72" customWidth="1"/>
    <col min="7685" max="7685" width="54.7109375" style="72" customWidth="1"/>
    <col min="7686" max="7686" width="15.28515625" style="72" customWidth="1"/>
    <col min="7687" max="7688" width="19.28515625" style="72" customWidth="1"/>
    <col min="7689" max="7689" width="13.85546875" style="72" customWidth="1"/>
    <col min="7690" max="7690" width="25.28515625" style="72" customWidth="1"/>
    <col min="7691" max="7691" width="16.28515625" style="72" customWidth="1"/>
    <col min="7692" max="7936" width="9.28515625" style="72"/>
    <col min="7937" max="7937" width="15" style="72" customWidth="1"/>
    <col min="7938" max="7938" width="12.7109375" style="72" customWidth="1"/>
    <col min="7939" max="7939" width="11.7109375" style="72" customWidth="1"/>
    <col min="7940" max="7940" width="44.85546875" style="72" customWidth="1"/>
    <col min="7941" max="7941" width="54.7109375" style="72" customWidth="1"/>
    <col min="7942" max="7942" width="15.28515625" style="72" customWidth="1"/>
    <col min="7943" max="7944" width="19.28515625" style="72" customWidth="1"/>
    <col min="7945" max="7945" width="13.85546875" style="72" customWidth="1"/>
    <col min="7946" max="7946" width="25.28515625" style="72" customWidth="1"/>
    <col min="7947" max="7947" width="16.28515625" style="72" customWidth="1"/>
    <col min="7948" max="8192" width="9.28515625" style="72"/>
    <col min="8193" max="8193" width="15" style="72" customWidth="1"/>
    <col min="8194" max="8194" width="12.7109375" style="72" customWidth="1"/>
    <col min="8195" max="8195" width="11.7109375" style="72" customWidth="1"/>
    <col min="8196" max="8196" width="44.85546875" style="72" customWidth="1"/>
    <col min="8197" max="8197" width="54.7109375" style="72" customWidth="1"/>
    <col min="8198" max="8198" width="15.28515625" style="72" customWidth="1"/>
    <col min="8199" max="8200" width="19.28515625" style="72" customWidth="1"/>
    <col min="8201" max="8201" width="13.85546875" style="72" customWidth="1"/>
    <col min="8202" max="8202" width="25.28515625" style="72" customWidth="1"/>
    <col min="8203" max="8203" width="16.28515625" style="72" customWidth="1"/>
    <col min="8204" max="8448" width="9.28515625" style="72"/>
    <col min="8449" max="8449" width="15" style="72" customWidth="1"/>
    <col min="8450" max="8450" width="12.7109375" style="72" customWidth="1"/>
    <col min="8451" max="8451" width="11.7109375" style="72" customWidth="1"/>
    <col min="8452" max="8452" width="44.85546875" style="72" customWidth="1"/>
    <col min="8453" max="8453" width="54.7109375" style="72" customWidth="1"/>
    <col min="8454" max="8454" width="15.28515625" style="72" customWidth="1"/>
    <col min="8455" max="8456" width="19.28515625" style="72" customWidth="1"/>
    <col min="8457" max="8457" width="13.85546875" style="72" customWidth="1"/>
    <col min="8458" max="8458" width="25.28515625" style="72" customWidth="1"/>
    <col min="8459" max="8459" width="16.28515625" style="72" customWidth="1"/>
    <col min="8460" max="8704" width="9.28515625" style="72"/>
    <col min="8705" max="8705" width="15" style="72" customWidth="1"/>
    <col min="8706" max="8706" width="12.7109375" style="72" customWidth="1"/>
    <col min="8707" max="8707" width="11.7109375" style="72" customWidth="1"/>
    <col min="8708" max="8708" width="44.85546875" style="72" customWidth="1"/>
    <col min="8709" max="8709" width="54.7109375" style="72" customWidth="1"/>
    <col min="8710" max="8710" width="15.28515625" style="72" customWidth="1"/>
    <col min="8711" max="8712" width="19.28515625" style="72" customWidth="1"/>
    <col min="8713" max="8713" width="13.85546875" style="72" customWidth="1"/>
    <col min="8714" max="8714" width="25.28515625" style="72" customWidth="1"/>
    <col min="8715" max="8715" width="16.28515625" style="72" customWidth="1"/>
    <col min="8716" max="8960" width="9.28515625" style="72"/>
    <col min="8961" max="8961" width="15" style="72" customWidth="1"/>
    <col min="8962" max="8962" width="12.7109375" style="72" customWidth="1"/>
    <col min="8963" max="8963" width="11.7109375" style="72" customWidth="1"/>
    <col min="8964" max="8964" width="44.85546875" style="72" customWidth="1"/>
    <col min="8965" max="8965" width="54.7109375" style="72" customWidth="1"/>
    <col min="8966" max="8966" width="15.28515625" style="72" customWidth="1"/>
    <col min="8967" max="8968" width="19.28515625" style="72" customWidth="1"/>
    <col min="8969" max="8969" width="13.85546875" style="72" customWidth="1"/>
    <col min="8970" max="8970" width="25.28515625" style="72" customWidth="1"/>
    <col min="8971" max="8971" width="16.28515625" style="72" customWidth="1"/>
    <col min="8972" max="9216" width="9.28515625" style="72"/>
    <col min="9217" max="9217" width="15" style="72" customWidth="1"/>
    <col min="9218" max="9218" width="12.7109375" style="72" customWidth="1"/>
    <col min="9219" max="9219" width="11.7109375" style="72" customWidth="1"/>
    <col min="9220" max="9220" width="44.85546875" style="72" customWidth="1"/>
    <col min="9221" max="9221" width="54.7109375" style="72" customWidth="1"/>
    <col min="9222" max="9222" width="15.28515625" style="72" customWidth="1"/>
    <col min="9223" max="9224" width="19.28515625" style="72" customWidth="1"/>
    <col min="9225" max="9225" width="13.85546875" style="72" customWidth="1"/>
    <col min="9226" max="9226" width="25.28515625" style="72" customWidth="1"/>
    <col min="9227" max="9227" width="16.28515625" style="72" customWidth="1"/>
    <col min="9228" max="9472" width="9.28515625" style="72"/>
    <col min="9473" max="9473" width="15" style="72" customWidth="1"/>
    <col min="9474" max="9474" width="12.7109375" style="72" customWidth="1"/>
    <col min="9475" max="9475" width="11.7109375" style="72" customWidth="1"/>
    <col min="9476" max="9476" width="44.85546875" style="72" customWidth="1"/>
    <col min="9477" max="9477" width="54.7109375" style="72" customWidth="1"/>
    <col min="9478" max="9478" width="15.28515625" style="72" customWidth="1"/>
    <col min="9479" max="9480" width="19.28515625" style="72" customWidth="1"/>
    <col min="9481" max="9481" width="13.85546875" style="72" customWidth="1"/>
    <col min="9482" max="9482" width="25.28515625" style="72" customWidth="1"/>
    <col min="9483" max="9483" width="16.28515625" style="72" customWidth="1"/>
    <col min="9484" max="9728" width="9.28515625" style="72"/>
    <col min="9729" max="9729" width="15" style="72" customWidth="1"/>
    <col min="9730" max="9730" width="12.7109375" style="72" customWidth="1"/>
    <col min="9731" max="9731" width="11.7109375" style="72" customWidth="1"/>
    <col min="9732" max="9732" width="44.85546875" style="72" customWidth="1"/>
    <col min="9733" max="9733" width="54.7109375" style="72" customWidth="1"/>
    <col min="9734" max="9734" width="15.28515625" style="72" customWidth="1"/>
    <col min="9735" max="9736" width="19.28515625" style="72" customWidth="1"/>
    <col min="9737" max="9737" width="13.85546875" style="72" customWidth="1"/>
    <col min="9738" max="9738" width="25.28515625" style="72" customWidth="1"/>
    <col min="9739" max="9739" width="16.28515625" style="72" customWidth="1"/>
    <col min="9740" max="9984" width="9.28515625" style="72"/>
    <col min="9985" max="9985" width="15" style="72" customWidth="1"/>
    <col min="9986" max="9986" width="12.7109375" style="72" customWidth="1"/>
    <col min="9987" max="9987" width="11.7109375" style="72" customWidth="1"/>
    <col min="9988" max="9988" width="44.85546875" style="72" customWidth="1"/>
    <col min="9989" max="9989" width="54.7109375" style="72" customWidth="1"/>
    <col min="9990" max="9990" width="15.28515625" style="72" customWidth="1"/>
    <col min="9991" max="9992" width="19.28515625" style="72" customWidth="1"/>
    <col min="9993" max="9993" width="13.85546875" style="72" customWidth="1"/>
    <col min="9994" max="9994" width="25.28515625" style="72" customWidth="1"/>
    <col min="9995" max="9995" width="16.28515625" style="72" customWidth="1"/>
    <col min="9996" max="10240" width="9.28515625" style="72"/>
    <col min="10241" max="10241" width="15" style="72" customWidth="1"/>
    <col min="10242" max="10242" width="12.7109375" style="72" customWidth="1"/>
    <col min="10243" max="10243" width="11.7109375" style="72" customWidth="1"/>
    <col min="10244" max="10244" width="44.85546875" style="72" customWidth="1"/>
    <col min="10245" max="10245" width="54.7109375" style="72" customWidth="1"/>
    <col min="10246" max="10246" width="15.28515625" style="72" customWidth="1"/>
    <col min="10247" max="10248" width="19.28515625" style="72" customWidth="1"/>
    <col min="10249" max="10249" width="13.85546875" style="72" customWidth="1"/>
    <col min="10250" max="10250" width="25.28515625" style="72" customWidth="1"/>
    <col min="10251" max="10251" width="16.28515625" style="72" customWidth="1"/>
    <col min="10252" max="10496" width="9.28515625" style="72"/>
    <col min="10497" max="10497" width="15" style="72" customWidth="1"/>
    <col min="10498" max="10498" width="12.7109375" style="72" customWidth="1"/>
    <col min="10499" max="10499" width="11.7109375" style="72" customWidth="1"/>
    <col min="10500" max="10500" width="44.85546875" style="72" customWidth="1"/>
    <col min="10501" max="10501" width="54.7109375" style="72" customWidth="1"/>
    <col min="10502" max="10502" width="15.28515625" style="72" customWidth="1"/>
    <col min="10503" max="10504" width="19.28515625" style="72" customWidth="1"/>
    <col min="10505" max="10505" width="13.85546875" style="72" customWidth="1"/>
    <col min="10506" max="10506" width="25.28515625" style="72" customWidth="1"/>
    <col min="10507" max="10507" width="16.28515625" style="72" customWidth="1"/>
    <col min="10508" max="10752" width="9.28515625" style="72"/>
    <col min="10753" max="10753" width="15" style="72" customWidth="1"/>
    <col min="10754" max="10754" width="12.7109375" style="72" customWidth="1"/>
    <col min="10755" max="10755" width="11.7109375" style="72" customWidth="1"/>
    <col min="10756" max="10756" width="44.85546875" style="72" customWidth="1"/>
    <col min="10757" max="10757" width="54.7109375" style="72" customWidth="1"/>
    <col min="10758" max="10758" width="15.28515625" style="72" customWidth="1"/>
    <col min="10759" max="10760" width="19.28515625" style="72" customWidth="1"/>
    <col min="10761" max="10761" width="13.85546875" style="72" customWidth="1"/>
    <col min="10762" max="10762" width="25.28515625" style="72" customWidth="1"/>
    <col min="10763" max="10763" width="16.28515625" style="72" customWidth="1"/>
    <col min="10764" max="11008" width="9.28515625" style="72"/>
    <col min="11009" max="11009" width="15" style="72" customWidth="1"/>
    <col min="11010" max="11010" width="12.7109375" style="72" customWidth="1"/>
    <col min="11011" max="11011" width="11.7109375" style="72" customWidth="1"/>
    <col min="11012" max="11012" width="44.85546875" style="72" customWidth="1"/>
    <col min="11013" max="11013" width="54.7109375" style="72" customWidth="1"/>
    <col min="11014" max="11014" width="15.28515625" style="72" customWidth="1"/>
    <col min="11015" max="11016" width="19.28515625" style="72" customWidth="1"/>
    <col min="11017" max="11017" width="13.85546875" style="72" customWidth="1"/>
    <col min="11018" max="11018" width="25.28515625" style="72" customWidth="1"/>
    <col min="11019" max="11019" width="16.28515625" style="72" customWidth="1"/>
    <col min="11020" max="11264" width="9.28515625" style="72"/>
    <col min="11265" max="11265" width="15" style="72" customWidth="1"/>
    <col min="11266" max="11266" width="12.7109375" style="72" customWidth="1"/>
    <col min="11267" max="11267" width="11.7109375" style="72" customWidth="1"/>
    <col min="11268" max="11268" width="44.85546875" style="72" customWidth="1"/>
    <col min="11269" max="11269" width="54.7109375" style="72" customWidth="1"/>
    <col min="11270" max="11270" width="15.28515625" style="72" customWidth="1"/>
    <col min="11271" max="11272" width="19.28515625" style="72" customWidth="1"/>
    <col min="11273" max="11273" width="13.85546875" style="72" customWidth="1"/>
    <col min="11274" max="11274" width="25.28515625" style="72" customWidth="1"/>
    <col min="11275" max="11275" width="16.28515625" style="72" customWidth="1"/>
    <col min="11276" max="11520" width="9.28515625" style="72"/>
    <col min="11521" max="11521" width="15" style="72" customWidth="1"/>
    <col min="11522" max="11522" width="12.7109375" style="72" customWidth="1"/>
    <col min="11523" max="11523" width="11.7109375" style="72" customWidth="1"/>
    <col min="11524" max="11524" width="44.85546875" style="72" customWidth="1"/>
    <col min="11525" max="11525" width="54.7109375" style="72" customWidth="1"/>
    <col min="11526" max="11526" width="15.28515625" style="72" customWidth="1"/>
    <col min="11527" max="11528" width="19.28515625" style="72" customWidth="1"/>
    <col min="11529" max="11529" width="13.85546875" style="72" customWidth="1"/>
    <col min="11530" max="11530" width="25.28515625" style="72" customWidth="1"/>
    <col min="11531" max="11531" width="16.28515625" style="72" customWidth="1"/>
    <col min="11532" max="11776" width="9.28515625" style="72"/>
    <col min="11777" max="11777" width="15" style="72" customWidth="1"/>
    <col min="11778" max="11778" width="12.7109375" style="72" customWidth="1"/>
    <col min="11779" max="11779" width="11.7109375" style="72" customWidth="1"/>
    <col min="11780" max="11780" width="44.85546875" style="72" customWidth="1"/>
    <col min="11781" max="11781" width="54.7109375" style="72" customWidth="1"/>
    <col min="11782" max="11782" width="15.28515625" style="72" customWidth="1"/>
    <col min="11783" max="11784" width="19.28515625" style="72" customWidth="1"/>
    <col min="11785" max="11785" width="13.85546875" style="72" customWidth="1"/>
    <col min="11786" max="11786" width="25.28515625" style="72" customWidth="1"/>
    <col min="11787" max="11787" width="16.28515625" style="72" customWidth="1"/>
    <col min="11788" max="12032" width="9.28515625" style="72"/>
    <col min="12033" max="12033" width="15" style="72" customWidth="1"/>
    <col min="12034" max="12034" width="12.7109375" style="72" customWidth="1"/>
    <col min="12035" max="12035" width="11.7109375" style="72" customWidth="1"/>
    <col min="12036" max="12036" width="44.85546875" style="72" customWidth="1"/>
    <col min="12037" max="12037" width="54.7109375" style="72" customWidth="1"/>
    <col min="12038" max="12038" width="15.28515625" style="72" customWidth="1"/>
    <col min="12039" max="12040" width="19.28515625" style="72" customWidth="1"/>
    <col min="12041" max="12041" width="13.85546875" style="72" customWidth="1"/>
    <col min="12042" max="12042" width="25.28515625" style="72" customWidth="1"/>
    <col min="12043" max="12043" width="16.28515625" style="72" customWidth="1"/>
    <col min="12044" max="12288" width="9.28515625" style="72"/>
    <col min="12289" max="12289" width="15" style="72" customWidth="1"/>
    <col min="12290" max="12290" width="12.7109375" style="72" customWidth="1"/>
    <col min="12291" max="12291" width="11.7109375" style="72" customWidth="1"/>
    <col min="12292" max="12292" width="44.85546875" style="72" customWidth="1"/>
    <col min="12293" max="12293" width="54.7109375" style="72" customWidth="1"/>
    <col min="12294" max="12294" width="15.28515625" style="72" customWidth="1"/>
    <col min="12295" max="12296" width="19.28515625" style="72" customWidth="1"/>
    <col min="12297" max="12297" width="13.85546875" style="72" customWidth="1"/>
    <col min="12298" max="12298" width="25.28515625" style="72" customWidth="1"/>
    <col min="12299" max="12299" width="16.28515625" style="72" customWidth="1"/>
    <col min="12300" max="12544" width="9.28515625" style="72"/>
    <col min="12545" max="12545" width="15" style="72" customWidth="1"/>
    <col min="12546" max="12546" width="12.7109375" style="72" customWidth="1"/>
    <col min="12547" max="12547" width="11.7109375" style="72" customWidth="1"/>
    <col min="12548" max="12548" width="44.85546875" style="72" customWidth="1"/>
    <col min="12549" max="12549" width="54.7109375" style="72" customWidth="1"/>
    <col min="12550" max="12550" width="15.28515625" style="72" customWidth="1"/>
    <col min="12551" max="12552" width="19.28515625" style="72" customWidth="1"/>
    <col min="12553" max="12553" width="13.85546875" style="72" customWidth="1"/>
    <col min="12554" max="12554" width="25.28515625" style="72" customWidth="1"/>
    <col min="12555" max="12555" width="16.28515625" style="72" customWidth="1"/>
    <col min="12556" max="12800" width="9.28515625" style="72"/>
    <col min="12801" max="12801" width="15" style="72" customWidth="1"/>
    <col min="12802" max="12802" width="12.7109375" style="72" customWidth="1"/>
    <col min="12803" max="12803" width="11.7109375" style="72" customWidth="1"/>
    <col min="12804" max="12804" width="44.85546875" style="72" customWidth="1"/>
    <col min="12805" max="12805" width="54.7109375" style="72" customWidth="1"/>
    <col min="12806" max="12806" width="15.28515625" style="72" customWidth="1"/>
    <col min="12807" max="12808" width="19.28515625" style="72" customWidth="1"/>
    <col min="12809" max="12809" width="13.85546875" style="72" customWidth="1"/>
    <col min="12810" max="12810" width="25.28515625" style="72" customWidth="1"/>
    <col min="12811" max="12811" width="16.28515625" style="72" customWidth="1"/>
    <col min="12812" max="13056" width="9.28515625" style="72"/>
    <col min="13057" max="13057" width="15" style="72" customWidth="1"/>
    <col min="13058" max="13058" width="12.7109375" style="72" customWidth="1"/>
    <col min="13059" max="13059" width="11.7109375" style="72" customWidth="1"/>
    <col min="13060" max="13060" width="44.85546875" style="72" customWidth="1"/>
    <col min="13061" max="13061" width="54.7109375" style="72" customWidth="1"/>
    <col min="13062" max="13062" width="15.28515625" style="72" customWidth="1"/>
    <col min="13063" max="13064" width="19.28515625" style="72" customWidth="1"/>
    <col min="13065" max="13065" width="13.85546875" style="72" customWidth="1"/>
    <col min="13066" max="13066" width="25.28515625" style="72" customWidth="1"/>
    <col min="13067" max="13067" width="16.28515625" style="72" customWidth="1"/>
    <col min="13068" max="13312" width="9.28515625" style="72"/>
    <col min="13313" max="13313" width="15" style="72" customWidth="1"/>
    <col min="13314" max="13314" width="12.7109375" style="72" customWidth="1"/>
    <col min="13315" max="13315" width="11.7109375" style="72" customWidth="1"/>
    <col min="13316" max="13316" width="44.85546875" style="72" customWidth="1"/>
    <col min="13317" max="13317" width="54.7109375" style="72" customWidth="1"/>
    <col min="13318" max="13318" width="15.28515625" style="72" customWidth="1"/>
    <col min="13319" max="13320" width="19.28515625" style="72" customWidth="1"/>
    <col min="13321" max="13321" width="13.85546875" style="72" customWidth="1"/>
    <col min="13322" max="13322" width="25.28515625" style="72" customWidth="1"/>
    <col min="13323" max="13323" width="16.28515625" style="72" customWidth="1"/>
    <col min="13324" max="13568" width="9.28515625" style="72"/>
    <col min="13569" max="13569" width="15" style="72" customWidth="1"/>
    <col min="13570" max="13570" width="12.7109375" style="72" customWidth="1"/>
    <col min="13571" max="13571" width="11.7109375" style="72" customWidth="1"/>
    <col min="13572" max="13572" width="44.85546875" style="72" customWidth="1"/>
    <col min="13573" max="13573" width="54.7109375" style="72" customWidth="1"/>
    <col min="13574" max="13574" width="15.28515625" style="72" customWidth="1"/>
    <col min="13575" max="13576" width="19.28515625" style="72" customWidth="1"/>
    <col min="13577" max="13577" width="13.85546875" style="72" customWidth="1"/>
    <col min="13578" max="13578" width="25.28515625" style="72" customWidth="1"/>
    <col min="13579" max="13579" width="16.28515625" style="72" customWidth="1"/>
    <col min="13580" max="13824" width="9.28515625" style="72"/>
    <col min="13825" max="13825" width="15" style="72" customWidth="1"/>
    <col min="13826" max="13826" width="12.7109375" style="72" customWidth="1"/>
    <col min="13827" max="13827" width="11.7109375" style="72" customWidth="1"/>
    <col min="13828" max="13828" width="44.85546875" style="72" customWidth="1"/>
    <col min="13829" max="13829" width="54.7109375" style="72" customWidth="1"/>
    <col min="13830" max="13830" width="15.28515625" style="72" customWidth="1"/>
    <col min="13831" max="13832" width="19.28515625" style="72" customWidth="1"/>
    <col min="13833" max="13833" width="13.85546875" style="72" customWidth="1"/>
    <col min="13834" max="13834" width="25.28515625" style="72" customWidth="1"/>
    <col min="13835" max="13835" width="16.28515625" style="72" customWidth="1"/>
    <col min="13836" max="14080" width="9.28515625" style="72"/>
    <col min="14081" max="14081" width="15" style="72" customWidth="1"/>
    <col min="14082" max="14082" width="12.7109375" style="72" customWidth="1"/>
    <col min="14083" max="14083" width="11.7109375" style="72" customWidth="1"/>
    <col min="14084" max="14084" width="44.85546875" style="72" customWidth="1"/>
    <col min="14085" max="14085" width="54.7109375" style="72" customWidth="1"/>
    <col min="14086" max="14086" width="15.28515625" style="72" customWidth="1"/>
    <col min="14087" max="14088" width="19.28515625" style="72" customWidth="1"/>
    <col min="14089" max="14089" width="13.85546875" style="72" customWidth="1"/>
    <col min="14090" max="14090" width="25.28515625" style="72" customWidth="1"/>
    <col min="14091" max="14091" width="16.28515625" style="72" customWidth="1"/>
    <col min="14092" max="14336" width="9.28515625" style="72"/>
    <col min="14337" max="14337" width="15" style="72" customWidth="1"/>
    <col min="14338" max="14338" width="12.7109375" style="72" customWidth="1"/>
    <col min="14339" max="14339" width="11.7109375" style="72" customWidth="1"/>
    <col min="14340" max="14340" width="44.85546875" style="72" customWidth="1"/>
    <col min="14341" max="14341" width="54.7109375" style="72" customWidth="1"/>
    <col min="14342" max="14342" width="15.28515625" style="72" customWidth="1"/>
    <col min="14343" max="14344" width="19.28515625" style="72" customWidth="1"/>
    <col min="14345" max="14345" width="13.85546875" style="72" customWidth="1"/>
    <col min="14346" max="14346" width="25.28515625" style="72" customWidth="1"/>
    <col min="14347" max="14347" width="16.28515625" style="72" customWidth="1"/>
    <col min="14348" max="14592" width="9.28515625" style="72"/>
    <col min="14593" max="14593" width="15" style="72" customWidth="1"/>
    <col min="14594" max="14594" width="12.7109375" style="72" customWidth="1"/>
    <col min="14595" max="14595" width="11.7109375" style="72" customWidth="1"/>
    <col min="14596" max="14596" width="44.85546875" style="72" customWidth="1"/>
    <col min="14597" max="14597" width="54.7109375" style="72" customWidth="1"/>
    <col min="14598" max="14598" width="15.28515625" style="72" customWidth="1"/>
    <col min="14599" max="14600" width="19.28515625" style="72" customWidth="1"/>
    <col min="14601" max="14601" width="13.85546875" style="72" customWidth="1"/>
    <col min="14602" max="14602" width="25.28515625" style="72" customWidth="1"/>
    <col min="14603" max="14603" width="16.28515625" style="72" customWidth="1"/>
    <col min="14604" max="14848" width="9.28515625" style="72"/>
    <col min="14849" max="14849" width="15" style="72" customWidth="1"/>
    <col min="14850" max="14850" width="12.7109375" style="72" customWidth="1"/>
    <col min="14851" max="14851" width="11.7109375" style="72" customWidth="1"/>
    <col min="14852" max="14852" width="44.85546875" style="72" customWidth="1"/>
    <col min="14853" max="14853" width="54.7109375" style="72" customWidth="1"/>
    <col min="14854" max="14854" width="15.28515625" style="72" customWidth="1"/>
    <col min="14855" max="14856" width="19.28515625" style="72" customWidth="1"/>
    <col min="14857" max="14857" width="13.85546875" style="72" customWidth="1"/>
    <col min="14858" max="14858" width="25.28515625" style="72" customWidth="1"/>
    <col min="14859" max="14859" width="16.28515625" style="72" customWidth="1"/>
    <col min="14860" max="15104" width="9.28515625" style="72"/>
    <col min="15105" max="15105" width="15" style="72" customWidth="1"/>
    <col min="15106" max="15106" width="12.7109375" style="72" customWidth="1"/>
    <col min="15107" max="15107" width="11.7109375" style="72" customWidth="1"/>
    <col min="15108" max="15108" width="44.85546875" style="72" customWidth="1"/>
    <col min="15109" max="15109" width="54.7109375" style="72" customWidth="1"/>
    <col min="15110" max="15110" width="15.28515625" style="72" customWidth="1"/>
    <col min="15111" max="15112" width="19.28515625" style="72" customWidth="1"/>
    <col min="15113" max="15113" width="13.85546875" style="72" customWidth="1"/>
    <col min="15114" max="15114" width="25.28515625" style="72" customWidth="1"/>
    <col min="15115" max="15115" width="16.28515625" style="72" customWidth="1"/>
    <col min="15116" max="15360" width="9.28515625" style="72"/>
    <col min="15361" max="15361" width="15" style="72" customWidth="1"/>
    <col min="15362" max="15362" width="12.7109375" style="72" customWidth="1"/>
    <col min="15363" max="15363" width="11.7109375" style="72" customWidth="1"/>
    <col min="15364" max="15364" width="44.85546875" style="72" customWidth="1"/>
    <col min="15365" max="15365" width="54.7109375" style="72" customWidth="1"/>
    <col min="15366" max="15366" width="15.28515625" style="72" customWidth="1"/>
    <col min="15367" max="15368" width="19.28515625" style="72" customWidth="1"/>
    <col min="15369" max="15369" width="13.85546875" style="72" customWidth="1"/>
    <col min="15370" max="15370" width="25.28515625" style="72" customWidth="1"/>
    <col min="15371" max="15371" width="16.28515625" style="72" customWidth="1"/>
    <col min="15372" max="15616" width="9.28515625" style="72"/>
    <col min="15617" max="15617" width="15" style="72" customWidth="1"/>
    <col min="15618" max="15618" width="12.7109375" style="72" customWidth="1"/>
    <col min="15619" max="15619" width="11.7109375" style="72" customWidth="1"/>
    <col min="15620" max="15620" width="44.85546875" style="72" customWidth="1"/>
    <col min="15621" max="15621" width="54.7109375" style="72" customWidth="1"/>
    <col min="15622" max="15622" width="15.28515625" style="72" customWidth="1"/>
    <col min="15623" max="15624" width="19.28515625" style="72" customWidth="1"/>
    <col min="15625" max="15625" width="13.85546875" style="72" customWidth="1"/>
    <col min="15626" max="15626" width="25.28515625" style="72" customWidth="1"/>
    <col min="15627" max="15627" width="16.28515625" style="72" customWidth="1"/>
    <col min="15628" max="15872" width="9.28515625" style="72"/>
    <col min="15873" max="15873" width="15" style="72" customWidth="1"/>
    <col min="15874" max="15874" width="12.7109375" style="72" customWidth="1"/>
    <col min="15875" max="15875" width="11.7109375" style="72" customWidth="1"/>
    <col min="15876" max="15876" width="44.85546875" style="72" customWidth="1"/>
    <col min="15877" max="15877" width="54.7109375" style="72" customWidth="1"/>
    <col min="15878" max="15878" width="15.28515625" style="72" customWidth="1"/>
    <col min="15879" max="15880" width="19.28515625" style="72" customWidth="1"/>
    <col min="15881" max="15881" width="13.85546875" style="72" customWidth="1"/>
    <col min="15882" max="15882" width="25.28515625" style="72" customWidth="1"/>
    <col min="15883" max="15883" width="16.28515625" style="72" customWidth="1"/>
    <col min="15884" max="16128" width="9.28515625" style="72"/>
    <col min="16129" max="16129" width="15" style="72" customWidth="1"/>
    <col min="16130" max="16130" width="12.7109375" style="72" customWidth="1"/>
    <col min="16131" max="16131" width="11.7109375" style="72" customWidth="1"/>
    <col min="16132" max="16132" width="44.85546875" style="72" customWidth="1"/>
    <col min="16133" max="16133" width="54.7109375" style="72" customWidth="1"/>
    <col min="16134" max="16134" width="15.28515625" style="72" customWidth="1"/>
    <col min="16135" max="16136" width="19.28515625" style="72" customWidth="1"/>
    <col min="16137" max="16137" width="13.85546875" style="72" customWidth="1"/>
    <col min="16138" max="16138" width="25.28515625" style="72" customWidth="1"/>
    <col min="16139" max="16139" width="16.28515625" style="72" customWidth="1"/>
    <col min="16140" max="16384" width="9.28515625" style="72"/>
  </cols>
  <sheetData>
    <row r="1" spans="1:12" x14ac:dyDescent="0.25">
      <c r="L1" s="78"/>
    </row>
    <row r="2" spans="1:12" ht="15.75" x14ac:dyDescent="0.25">
      <c r="I2" s="1100" t="s">
        <v>493</v>
      </c>
      <c r="J2" s="4"/>
      <c r="K2" s="4"/>
      <c r="L2" s="78"/>
    </row>
    <row r="3" spans="1:12" ht="15.75" x14ac:dyDescent="0.25">
      <c r="I3" s="196" t="s">
        <v>491</v>
      </c>
      <c r="J3" s="4"/>
      <c r="K3" s="4"/>
      <c r="L3" s="78"/>
    </row>
    <row r="4" spans="1:12" ht="15.75" x14ac:dyDescent="0.25">
      <c r="I4" s="6" t="s">
        <v>705</v>
      </c>
      <c r="J4" s="7"/>
      <c r="K4" s="4"/>
      <c r="L4" s="78"/>
    </row>
    <row r="5" spans="1:12" ht="15.75" x14ac:dyDescent="0.25">
      <c r="I5" s="6" t="s">
        <v>704</v>
      </c>
      <c r="J5" s="71"/>
      <c r="K5" s="4"/>
      <c r="L5" s="78"/>
    </row>
    <row r="6" spans="1:12" ht="15.75" x14ac:dyDescent="0.25">
      <c r="I6" s="1158"/>
      <c r="J6" s="1158"/>
      <c r="K6" s="994"/>
      <c r="L6" s="78"/>
    </row>
    <row r="7" spans="1:12" ht="15.75" x14ac:dyDescent="0.25">
      <c r="G7" s="76"/>
      <c r="H7" s="76"/>
      <c r="I7" s="121"/>
    </row>
    <row r="8" spans="1:12" s="77" customFormat="1" ht="15.75" x14ac:dyDescent="0.25">
      <c r="A8" s="72"/>
      <c r="B8" s="73"/>
      <c r="C8" s="74"/>
      <c r="D8" s="75"/>
      <c r="E8" s="76"/>
      <c r="F8" s="74"/>
      <c r="G8" s="76"/>
      <c r="H8" s="76"/>
      <c r="I8" s="76"/>
      <c r="L8" s="80"/>
    </row>
    <row r="9" spans="1:12" ht="27" customHeight="1" x14ac:dyDescent="0.25">
      <c r="A9" s="1330" t="s">
        <v>664</v>
      </c>
      <c r="B9" s="1330"/>
      <c r="C9" s="1330"/>
      <c r="D9" s="1330"/>
      <c r="E9" s="1330"/>
      <c r="F9" s="1330"/>
      <c r="G9" s="1330"/>
      <c r="H9" s="1330"/>
      <c r="I9" s="1330"/>
      <c r="J9" s="1330"/>
      <c r="K9" s="1330"/>
      <c r="L9" s="1330"/>
    </row>
    <row r="10" spans="1:12" ht="28.35" customHeight="1" x14ac:dyDescent="0.25">
      <c r="A10" s="1294">
        <v>1559100000</v>
      </c>
      <c r="B10" s="1294"/>
      <c r="C10" s="1294"/>
      <c r="D10" s="1337"/>
      <c r="E10" s="1337"/>
      <c r="F10" s="1337"/>
      <c r="G10" s="1337"/>
      <c r="H10" s="1337"/>
      <c r="I10" s="1337"/>
      <c r="J10" s="1337"/>
      <c r="K10" s="1337"/>
    </row>
    <row r="11" spans="1:12" ht="22.15" customHeight="1" thickBot="1" x14ac:dyDescent="0.3">
      <c r="A11" s="1295" t="s">
        <v>0</v>
      </c>
      <c r="B11" s="1295"/>
      <c r="C11" s="1295"/>
      <c r="D11" s="997"/>
      <c r="E11" s="997"/>
      <c r="F11" s="81"/>
      <c r="G11" s="997"/>
      <c r="H11" s="997"/>
      <c r="I11" s="997"/>
      <c r="J11" s="997"/>
      <c r="K11" s="82" t="s">
        <v>269</v>
      </c>
    </row>
    <row r="12" spans="1:12" s="77" customFormat="1" ht="77.25" customHeight="1" x14ac:dyDescent="0.25">
      <c r="A12" s="1333" t="s">
        <v>8</v>
      </c>
      <c r="B12" s="1300" t="s">
        <v>9</v>
      </c>
      <c r="C12" s="1335" t="s">
        <v>270</v>
      </c>
      <c r="D12" s="1300" t="s">
        <v>271</v>
      </c>
      <c r="E12" s="1335" t="s">
        <v>272</v>
      </c>
      <c r="F12" s="1300" t="s">
        <v>273</v>
      </c>
      <c r="G12" s="1335" t="s">
        <v>274</v>
      </c>
      <c r="H12" s="1313" t="s">
        <v>275</v>
      </c>
      <c r="I12" s="1300" t="s">
        <v>276</v>
      </c>
      <c r="J12" s="1313" t="s">
        <v>277</v>
      </c>
      <c r="K12" s="1313" t="s">
        <v>615</v>
      </c>
      <c r="L12" s="1331" t="s">
        <v>278</v>
      </c>
    </row>
    <row r="13" spans="1:12" s="77" customFormat="1" ht="157.9" customHeight="1" thickBot="1" x14ac:dyDescent="0.3">
      <c r="A13" s="1334"/>
      <c r="B13" s="1301"/>
      <c r="C13" s="1336"/>
      <c r="D13" s="1301"/>
      <c r="E13" s="1336"/>
      <c r="F13" s="1301"/>
      <c r="G13" s="1336"/>
      <c r="H13" s="1314"/>
      <c r="I13" s="1301"/>
      <c r="J13" s="1314"/>
      <c r="K13" s="1314"/>
      <c r="L13" s="1332"/>
    </row>
    <row r="14" spans="1:12" s="84" customFormat="1" ht="24" customHeight="1" thickBot="1" x14ac:dyDescent="0.3">
      <c r="A14" s="1001" t="s">
        <v>279</v>
      </c>
      <c r="B14" s="83" t="s">
        <v>280</v>
      </c>
      <c r="C14" s="1002" t="s">
        <v>281</v>
      </c>
      <c r="D14" s="83" t="s">
        <v>456</v>
      </c>
      <c r="E14" s="83" t="s">
        <v>282</v>
      </c>
      <c r="F14" s="83" t="s">
        <v>283</v>
      </c>
      <c r="G14" s="83" t="s">
        <v>284</v>
      </c>
      <c r="H14" s="1002" t="s">
        <v>285</v>
      </c>
      <c r="I14" s="1002" t="s">
        <v>286</v>
      </c>
      <c r="J14" s="1003">
        <v>10</v>
      </c>
      <c r="K14" s="1004">
        <v>11</v>
      </c>
      <c r="L14" s="1005">
        <v>12</v>
      </c>
    </row>
    <row r="15" spans="1:12" s="84" customFormat="1" ht="57" thickBot="1" x14ac:dyDescent="0.3">
      <c r="A15" s="626" t="s">
        <v>13</v>
      </c>
      <c r="B15" s="627"/>
      <c r="C15" s="628"/>
      <c r="D15" s="314" t="s">
        <v>287</v>
      </c>
      <c r="E15" s="85"/>
      <c r="F15" s="86"/>
      <c r="G15" s="629"/>
      <c r="H15" s="630"/>
      <c r="I15" s="630"/>
      <c r="J15" s="631">
        <f>J16</f>
        <v>40106664</v>
      </c>
      <c r="K15" s="631">
        <f>K16</f>
        <v>29815075</v>
      </c>
      <c r="L15" s="632"/>
    </row>
    <row r="16" spans="1:12" s="84" customFormat="1" ht="60" customHeight="1" x14ac:dyDescent="0.25">
      <c r="A16" s="633" t="s">
        <v>16</v>
      </c>
      <c r="B16" s="634"/>
      <c r="C16" s="634"/>
      <c r="D16" s="635" t="s">
        <v>287</v>
      </c>
      <c r="E16" s="636"/>
      <c r="F16" s="637"/>
      <c r="G16" s="638"/>
      <c r="H16" s="639"/>
      <c r="I16" s="639"/>
      <c r="J16" s="640">
        <f>SUM(J17:J24)</f>
        <v>40106664</v>
      </c>
      <c r="K16" s="640">
        <f>SUM(K17:K24)</f>
        <v>29815075</v>
      </c>
      <c r="L16" s="641"/>
    </row>
    <row r="17" spans="1:12" s="84" customFormat="1" ht="115.5" customHeight="1" x14ac:dyDescent="0.25">
      <c r="A17" s="87" t="s">
        <v>166</v>
      </c>
      <c r="B17" s="88" t="s">
        <v>167</v>
      </c>
      <c r="C17" s="88" t="s">
        <v>17</v>
      </c>
      <c r="D17" s="919" t="s">
        <v>168</v>
      </c>
      <c r="E17" s="90" t="s">
        <v>288</v>
      </c>
      <c r="F17" s="91"/>
      <c r="G17" s="92"/>
      <c r="H17" s="92"/>
      <c r="I17" s="92"/>
      <c r="J17" s="93">
        <f>338000</f>
        <v>338000</v>
      </c>
      <c r="K17" s="642">
        <v>193934</v>
      </c>
      <c r="L17" s="94"/>
    </row>
    <row r="18" spans="1:12" s="84" customFormat="1" ht="115.5" customHeight="1" x14ac:dyDescent="0.25">
      <c r="A18" s="87" t="s">
        <v>18</v>
      </c>
      <c r="B18" s="1006" t="s">
        <v>19</v>
      </c>
      <c r="C18" s="1006" t="s">
        <v>20</v>
      </c>
      <c r="D18" s="1007" t="s">
        <v>21</v>
      </c>
      <c r="E18" s="90" t="s">
        <v>665</v>
      </c>
      <c r="F18" s="91"/>
      <c r="G18" s="92"/>
      <c r="H18" s="92"/>
      <c r="I18" s="92"/>
      <c r="J18" s="93">
        <v>2173600</v>
      </c>
      <c r="K18" s="642"/>
      <c r="L18" s="94"/>
    </row>
    <row r="19" spans="1:12" s="84" customFormat="1" ht="115.5" customHeight="1" x14ac:dyDescent="0.25">
      <c r="A19" s="95" t="s">
        <v>22</v>
      </c>
      <c r="B19" s="96" t="s">
        <v>23</v>
      </c>
      <c r="C19" s="96" t="s">
        <v>24</v>
      </c>
      <c r="D19" s="1008" t="s">
        <v>25</v>
      </c>
      <c r="E19" s="90" t="s">
        <v>288</v>
      </c>
      <c r="F19" s="91"/>
      <c r="G19" s="92"/>
      <c r="H19" s="92"/>
      <c r="I19" s="92"/>
      <c r="J19" s="93">
        <v>372400</v>
      </c>
      <c r="K19" s="642">
        <v>372377</v>
      </c>
      <c r="L19" s="94"/>
    </row>
    <row r="20" spans="1:12" s="84" customFormat="1" ht="115.5" customHeight="1" x14ac:dyDescent="0.25">
      <c r="A20" s="1129" t="s">
        <v>29</v>
      </c>
      <c r="B20" s="1130" t="s">
        <v>30</v>
      </c>
      <c r="C20" s="1130" t="s">
        <v>31</v>
      </c>
      <c r="D20" s="1008" t="s">
        <v>528</v>
      </c>
      <c r="E20" s="90" t="s">
        <v>288</v>
      </c>
      <c r="F20" s="91"/>
      <c r="G20" s="92"/>
      <c r="H20" s="92"/>
      <c r="I20" s="92"/>
      <c r="J20" s="93">
        <v>53364</v>
      </c>
      <c r="K20" s="642">
        <v>53364</v>
      </c>
      <c r="L20" s="94"/>
    </row>
    <row r="21" spans="1:12" s="84" customFormat="1" ht="115.5" customHeight="1" x14ac:dyDescent="0.25">
      <c r="A21" s="1129" t="s">
        <v>247</v>
      </c>
      <c r="B21" s="1130">
        <v>7650</v>
      </c>
      <c r="C21" s="1130" t="s">
        <v>171</v>
      </c>
      <c r="D21" s="1008" t="s">
        <v>248</v>
      </c>
      <c r="E21" s="90" t="s">
        <v>289</v>
      </c>
      <c r="F21" s="91"/>
      <c r="G21" s="92"/>
      <c r="H21" s="92"/>
      <c r="I21" s="92"/>
      <c r="J21" s="93">
        <v>57000</v>
      </c>
      <c r="K21" s="642"/>
      <c r="L21" s="94"/>
    </row>
    <row r="22" spans="1:12" s="84" customFormat="1" ht="120" customHeight="1" x14ac:dyDescent="0.25">
      <c r="A22" s="1129" t="s">
        <v>249</v>
      </c>
      <c r="B22" s="1130" t="s">
        <v>250</v>
      </c>
      <c r="C22" s="1130" t="s">
        <v>171</v>
      </c>
      <c r="D22" s="1008" t="s">
        <v>251</v>
      </c>
      <c r="E22" s="90" t="s">
        <v>289</v>
      </c>
      <c r="F22" s="91"/>
      <c r="G22" s="92"/>
      <c r="H22" s="92"/>
      <c r="I22" s="92"/>
      <c r="J22" s="93">
        <v>16900</v>
      </c>
      <c r="K22" s="642"/>
      <c r="L22" s="94"/>
    </row>
    <row r="23" spans="1:12" s="84" customFormat="1" ht="84.6" customHeight="1" x14ac:dyDescent="0.25">
      <c r="A23" s="1129" t="s">
        <v>155</v>
      </c>
      <c r="B23" s="1130" t="s">
        <v>173</v>
      </c>
      <c r="C23" s="1130" t="s">
        <v>35</v>
      </c>
      <c r="D23" s="1007" t="s">
        <v>156</v>
      </c>
      <c r="E23" s="90" t="s">
        <v>665</v>
      </c>
      <c r="F23" s="91"/>
      <c r="G23" s="92"/>
      <c r="H23" s="92"/>
      <c r="I23" s="92"/>
      <c r="J23" s="93">
        <v>900000</v>
      </c>
      <c r="K23" s="642"/>
      <c r="L23" s="94"/>
    </row>
    <row r="24" spans="1:12" s="84" customFormat="1" ht="97.15" customHeight="1" thickBot="1" x14ac:dyDescent="0.3">
      <c r="A24" s="1151" t="s">
        <v>511</v>
      </c>
      <c r="B24" s="998" t="s">
        <v>529</v>
      </c>
      <c r="C24" s="998" t="s">
        <v>219</v>
      </c>
      <c r="D24" s="1008" t="s">
        <v>512</v>
      </c>
      <c r="E24" s="643" t="s">
        <v>530</v>
      </c>
      <c r="F24" s="644"/>
      <c r="G24" s="645"/>
      <c r="H24" s="645"/>
      <c r="I24" s="645"/>
      <c r="J24" s="646">
        <f>0+1000000+150000+2937000+26000+310400+1500000+4000000+3000000+5000000+1300000+4572000+4000000-4000000+5000000+3000000+1000000+2500000+900000</f>
        <v>36195400</v>
      </c>
      <c r="K24" s="647">
        <f>9000000+1450000+2937000+26000+310400+3000000+1000000+4572000+5000000+1000000+900000</f>
        <v>29195400</v>
      </c>
      <c r="L24" s="648"/>
    </row>
    <row r="25" spans="1:12" s="84" customFormat="1" ht="66" customHeight="1" thickBot="1" x14ac:dyDescent="0.3">
      <c r="A25" s="649" t="s">
        <v>68</v>
      </c>
      <c r="B25" s="650" t="s">
        <v>14</v>
      </c>
      <c r="C25" s="650" t="s">
        <v>14</v>
      </c>
      <c r="D25" s="651" t="s">
        <v>69</v>
      </c>
      <c r="E25" s="652"/>
      <c r="F25" s="653"/>
      <c r="G25" s="654"/>
      <c r="H25" s="654"/>
      <c r="I25" s="654"/>
      <c r="J25" s="655">
        <f>J26</f>
        <v>2291282</v>
      </c>
      <c r="K25" s="655">
        <f>K26</f>
        <v>2283651</v>
      </c>
      <c r="L25" s="656"/>
    </row>
    <row r="26" spans="1:12" s="84" customFormat="1" ht="56.25" x14ac:dyDescent="0.25">
      <c r="A26" s="657" t="s">
        <v>70</v>
      </c>
      <c r="B26" s="658" t="s">
        <v>14</v>
      </c>
      <c r="C26" s="658" t="s">
        <v>14</v>
      </c>
      <c r="D26" s="659" t="s">
        <v>69</v>
      </c>
      <c r="E26" s="660"/>
      <c r="F26" s="661"/>
      <c r="G26" s="662"/>
      <c r="H26" s="662"/>
      <c r="I26" s="662"/>
      <c r="J26" s="663">
        <f>J27+J28+J29</f>
        <v>2291282</v>
      </c>
      <c r="K26" s="663">
        <f>K27+K28+K29</f>
        <v>2283651</v>
      </c>
      <c r="L26" s="664"/>
    </row>
    <row r="27" spans="1:12" s="84" customFormat="1" ht="83.45" customHeight="1" x14ac:dyDescent="0.25">
      <c r="A27" s="95" t="s">
        <v>181</v>
      </c>
      <c r="B27" s="96" t="s">
        <v>44</v>
      </c>
      <c r="C27" s="96" t="s">
        <v>17</v>
      </c>
      <c r="D27" s="1008" t="s">
        <v>175</v>
      </c>
      <c r="E27" s="90" t="s">
        <v>288</v>
      </c>
      <c r="F27" s="91"/>
      <c r="G27" s="92"/>
      <c r="H27" s="92"/>
      <c r="I27" s="92"/>
      <c r="J27" s="93">
        <v>46000</v>
      </c>
      <c r="K27" s="642">
        <v>46000</v>
      </c>
      <c r="L27" s="94"/>
    </row>
    <row r="28" spans="1:12" s="84" customFormat="1" ht="76.150000000000006" customHeight="1" x14ac:dyDescent="0.25">
      <c r="A28" s="97" t="s">
        <v>182</v>
      </c>
      <c r="B28" s="98" t="s">
        <v>183</v>
      </c>
      <c r="C28" s="98" t="s">
        <v>46</v>
      </c>
      <c r="D28" s="1009" t="s">
        <v>184</v>
      </c>
      <c r="E28" s="99" t="s">
        <v>288</v>
      </c>
      <c r="F28" s="644"/>
      <c r="G28" s="645"/>
      <c r="H28" s="645"/>
      <c r="I28" s="645"/>
      <c r="J28" s="646">
        <v>80500</v>
      </c>
      <c r="K28" s="647">
        <v>72869</v>
      </c>
      <c r="L28" s="648"/>
    </row>
    <row r="29" spans="1:12" s="84" customFormat="1" ht="409.15" customHeight="1" thickBot="1" x14ac:dyDescent="0.3">
      <c r="A29" s="1010" t="s">
        <v>666</v>
      </c>
      <c r="B29" s="1150" t="s">
        <v>658</v>
      </c>
      <c r="C29" s="1150" t="s">
        <v>661</v>
      </c>
      <c r="D29" s="729" t="s">
        <v>667</v>
      </c>
      <c r="E29" s="89" t="s">
        <v>668</v>
      </c>
      <c r="F29" s="91"/>
      <c r="G29" s="92"/>
      <c r="H29" s="92"/>
      <c r="I29" s="92"/>
      <c r="J29" s="93">
        <v>2164782</v>
      </c>
      <c r="K29" s="93">
        <v>2164782</v>
      </c>
      <c r="L29" s="94"/>
    </row>
    <row r="30" spans="1:12" s="84" customFormat="1" ht="82.5" customHeight="1" thickBot="1" x14ac:dyDescent="0.3">
      <c r="A30" s="649" t="s">
        <v>88</v>
      </c>
      <c r="B30" s="650" t="s">
        <v>14</v>
      </c>
      <c r="C30" s="650" t="s">
        <v>14</v>
      </c>
      <c r="D30" s="1011" t="s">
        <v>89</v>
      </c>
      <c r="E30" s="1012"/>
      <c r="F30" s="1013"/>
      <c r="G30" s="1014"/>
      <c r="H30" s="1014"/>
      <c r="I30" s="1014"/>
      <c r="J30" s="1015">
        <f>J31</f>
        <v>1744299</v>
      </c>
      <c r="K30" s="1015">
        <f>K31</f>
        <v>150298</v>
      </c>
      <c r="L30" s="1016"/>
    </row>
    <row r="31" spans="1:12" s="84" customFormat="1" ht="75" x14ac:dyDescent="0.25">
      <c r="A31" s="657" t="s">
        <v>90</v>
      </c>
      <c r="B31" s="658" t="s">
        <v>14</v>
      </c>
      <c r="C31" s="658" t="s">
        <v>14</v>
      </c>
      <c r="D31" s="659" t="s">
        <v>89</v>
      </c>
      <c r="E31" s="665"/>
      <c r="F31" s="666"/>
      <c r="G31" s="667"/>
      <c r="H31" s="667"/>
      <c r="I31" s="667"/>
      <c r="J31" s="663">
        <f>J32+J33+J34+J35+J36</f>
        <v>1744299</v>
      </c>
      <c r="K31" s="663">
        <f>K32+K33+K34+K35+K36</f>
        <v>150298</v>
      </c>
      <c r="L31" s="668"/>
    </row>
    <row r="32" spans="1:12" s="84" customFormat="1" ht="55.15" customHeight="1" x14ac:dyDescent="0.25">
      <c r="A32" s="95" t="s">
        <v>91</v>
      </c>
      <c r="B32" s="96" t="s">
        <v>92</v>
      </c>
      <c r="C32" s="96" t="s">
        <v>55</v>
      </c>
      <c r="D32" s="1008" t="s">
        <v>93</v>
      </c>
      <c r="E32" s="90" t="s">
        <v>288</v>
      </c>
      <c r="F32" s="100"/>
      <c r="G32" s="101"/>
      <c r="H32" s="101"/>
      <c r="I32" s="101"/>
      <c r="J32" s="93">
        <v>27000</v>
      </c>
      <c r="K32" s="642">
        <v>27000</v>
      </c>
      <c r="L32" s="102"/>
    </row>
    <row r="33" spans="1:12" s="84" customFormat="1" ht="52.9" customHeight="1" x14ac:dyDescent="0.25">
      <c r="A33" s="95" t="s">
        <v>97</v>
      </c>
      <c r="B33" s="96" t="s">
        <v>98</v>
      </c>
      <c r="C33" s="96" t="s">
        <v>99</v>
      </c>
      <c r="D33" s="1008" t="s">
        <v>100</v>
      </c>
      <c r="E33" s="90" t="s">
        <v>288</v>
      </c>
      <c r="F33" s="100"/>
      <c r="G33" s="101"/>
      <c r="H33" s="101"/>
      <c r="I33" s="101"/>
      <c r="J33" s="93">
        <v>50000</v>
      </c>
      <c r="K33" s="642">
        <v>50000</v>
      </c>
      <c r="L33" s="102"/>
    </row>
    <row r="34" spans="1:12" s="84" customFormat="1" ht="49.9" customHeight="1" x14ac:dyDescent="0.25">
      <c r="A34" s="95" t="s">
        <v>101</v>
      </c>
      <c r="B34" s="96" t="s">
        <v>102</v>
      </c>
      <c r="C34" s="96" t="s">
        <v>99</v>
      </c>
      <c r="D34" s="1008" t="s">
        <v>103</v>
      </c>
      <c r="E34" s="90" t="s">
        <v>288</v>
      </c>
      <c r="F34" s="100"/>
      <c r="G34" s="101"/>
      <c r="H34" s="101"/>
      <c r="I34" s="101"/>
      <c r="J34" s="93">
        <v>50299</v>
      </c>
      <c r="K34" s="642">
        <v>50298</v>
      </c>
      <c r="L34" s="102"/>
    </row>
    <row r="35" spans="1:12" s="84" customFormat="1" ht="51.6" customHeight="1" x14ac:dyDescent="0.25">
      <c r="A35" s="95" t="s">
        <v>193</v>
      </c>
      <c r="B35" s="96" t="s">
        <v>194</v>
      </c>
      <c r="C35" s="96" t="s">
        <v>108</v>
      </c>
      <c r="D35" s="1009" t="s">
        <v>195</v>
      </c>
      <c r="E35" s="99" t="s">
        <v>288</v>
      </c>
      <c r="F35" s="100"/>
      <c r="G35" s="101"/>
      <c r="H35" s="101"/>
      <c r="I35" s="101"/>
      <c r="J35" s="93">
        <v>23000</v>
      </c>
      <c r="K35" s="642">
        <v>23000</v>
      </c>
      <c r="L35" s="102"/>
    </row>
    <row r="36" spans="1:12" s="84" customFormat="1" ht="45.6" customHeight="1" thickBot="1" x14ac:dyDescent="0.35">
      <c r="A36" s="97">
        <v>1015041</v>
      </c>
      <c r="B36" s="98">
        <v>5041</v>
      </c>
      <c r="C36" s="1017" t="s">
        <v>114</v>
      </c>
      <c r="D36" s="1018" t="s">
        <v>157</v>
      </c>
      <c r="E36" s="1019" t="s">
        <v>665</v>
      </c>
      <c r="F36" s="1020"/>
      <c r="G36" s="669"/>
      <c r="H36" s="669"/>
      <c r="I36" s="669"/>
      <c r="J36" s="670">
        <v>1594000</v>
      </c>
      <c r="K36" s="671"/>
      <c r="L36" s="672"/>
    </row>
    <row r="37" spans="1:12" s="84" customFormat="1" ht="72.599999999999994" customHeight="1" thickBot="1" x14ac:dyDescent="0.3">
      <c r="A37" s="673" t="s">
        <v>125</v>
      </c>
      <c r="B37" s="627"/>
      <c r="C37" s="627"/>
      <c r="D37" s="674" t="s">
        <v>290</v>
      </c>
      <c r="E37" s="675"/>
      <c r="F37" s="86"/>
      <c r="G37" s="676"/>
      <c r="H37" s="676"/>
      <c r="I37" s="676"/>
      <c r="J37" s="677">
        <f>J38</f>
        <v>4983000</v>
      </c>
      <c r="K37" s="677">
        <f>K38</f>
        <v>23000</v>
      </c>
      <c r="L37" s="632"/>
    </row>
    <row r="38" spans="1:12" s="84" customFormat="1" ht="77.25" customHeight="1" x14ac:dyDescent="0.25">
      <c r="A38" s="678" t="s">
        <v>127</v>
      </c>
      <c r="B38" s="679"/>
      <c r="C38" s="679"/>
      <c r="D38" s="680" t="s">
        <v>290</v>
      </c>
      <c r="E38" s="681"/>
      <c r="F38" s="103"/>
      <c r="G38" s="682"/>
      <c r="H38" s="682"/>
      <c r="I38" s="682"/>
      <c r="J38" s="683">
        <f>SUM(J39:J40)</f>
        <v>4983000</v>
      </c>
      <c r="K38" s="683">
        <f>SUM(K39:K40)</f>
        <v>23000</v>
      </c>
      <c r="L38" s="104"/>
    </row>
    <row r="39" spans="1:12" s="84" customFormat="1" ht="60.75" customHeight="1" x14ac:dyDescent="0.25">
      <c r="A39" s="87" t="s">
        <v>128</v>
      </c>
      <c r="B39" s="88" t="s">
        <v>44</v>
      </c>
      <c r="C39" s="88" t="s">
        <v>17</v>
      </c>
      <c r="D39" s="919" t="s">
        <v>291</v>
      </c>
      <c r="E39" s="90" t="s">
        <v>288</v>
      </c>
      <c r="F39" s="429"/>
      <c r="G39" s="1021"/>
      <c r="H39" s="1021"/>
      <c r="I39" s="1021"/>
      <c r="J39" s="93">
        <v>23000</v>
      </c>
      <c r="K39" s="642">
        <v>23000</v>
      </c>
      <c r="L39" s="1022"/>
    </row>
    <row r="40" spans="1:12" s="84" customFormat="1" ht="60.75" customHeight="1" thickBot="1" x14ac:dyDescent="0.3">
      <c r="A40" s="1023" t="s">
        <v>136</v>
      </c>
      <c r="B40" s="1024" t="s">
        <v>26</v>
      </c>
      <c r="C40" s="1024" t="s">
        <v>27</v>
      </c>
      <c r="D40" s="1025" t="s">
        <v>28</v>
      </c>
      <c r="E40" s="1026" t="s">
        <v>665</v>
      </c>
      <c r="F40" s="1027"/>
      <c r="G40" s="1028"/>
      <c r="H40" s="1028"/>
      <c r="I40" s="1028"/>
      <c r="J40" s="646">
        <v>4960000</v>
      </c>
      <c r="K40" s="647"/>
      <c r="L40" s="1029"/>
    </row>
    <row r="41" spans="1:12" s="1036" customFormat="1" ht="64.5" customHeight="1" thickBot="1" x14ac:dyDescent="0.3">
      <c r="A41" s="1030" t="s">
        <v>145</v>
      </c>
      <c r="B41" s="1031"/>
      <c r="C41" s="1031"/>
      <c r="D41" s="855" t="s">
        <v>292</v>
      </c>
      <c r="E41" s="1032"/>
      <c r="F41" s="1031"/>
      <c r="G41" s="1033"/>
      <c r="H41" s="1033"/>
      <c r="I41" s="1033"/>
      <c r="J41" s="1034">
        <f>J42</f>
        <v>79911654</v>
      </c>
      <c r="K41" s="1034">
        <f>K42</f>
        <v>7643067.6500000013</v>
      </c>
      <c r="L41" s="1035"/>
    </row>
    <row r="42" spans="1:12" s="84" customFormat="1" ht="57.75" customHeight="1" x14ac:dyDescent="0.25">
      <c r="A42" s="678" t="s">
        <v>147</v>
      </c>
      <c r="B42" s="661"/>
      <c r="C42" s="666"/>
      <c r="D42" s="686" t="s">
        <v>292</v>
      </c>
      <c r="E42" s="687"/>
      <c r="F42" s="688"/>
      <c r="G42" s="689"/>
      <c r="H42" s="689"/>
      <c r="I42" s="689"/>
      <c r="J42" s="689">
        <f>J44+J47+J49+J53+J55+J58+J66+J71+J74+J76+J77+J80+J81+J82+J50+J52+J60+J62+J73+J78+J83+J43+J64+J65+J69+J70+J86+J87</f>
        <v>79911654</v>
      </c>
      <c r="K42" s="689">
        <f>K44+K47+K49+K53+K55+K58+K66+K71+K74+K76+K77+K80+K81+K82+K50+K52+K60+K62+K73+K78+K83+K43+K64+K65+K69+K70+K86+K87</f>
        <v>7643067.6500000013</v>
      </c>
      <c r="L42" s="690"/>
    </row>
    <row r="43" spans="1:12" s="84" customFormat="1" ht="69.599999999999994" customHeight="1" x14ac:dyDescent="0.25">
      <c r="A43" s="1023" t="s">
        <v>198</v>
      </c>
      <c r="B43" s="644" t="s">
        <v>44</v>
      </c>
      <c r="C43" s="644" t="s">
        <v>17</v>
      </c>
      <c r="D43" s="1008" t="s">
        <v>175</v>
      </c>
      <c r="E43" s="90" t="s">
        <v>288</v>
      </c>
      <c r="F43" s="688"/>
      <c r="G43" s="689"/>
      <c r="H43" s="689"/>
      <c r="I43" s="689"/>
      <c r="J43" s="1037">
        <v>198750</v>
      </c>
      <c r="K43" s="1038"/>
      <c r="L43" s="690"/>
    </row>
    <row r="44" spans="1:12" s="84" customFormat="1" ht="234" customHeight="1" x14ac:dyDescent="0.25">
      <c r="A44" s="1317" t="s">
        <v>531</v>
      </c>
      <c r="B44" s="1311" t="s">
        <v>50</v>
      </c>
      <c r="C44" s="1311" t="s">
        <v>51</v>
      </c>
      <c r="D44" s="1321" t="s">
        <v>524</v>
      </c>
      <c r="E44" s="1039" t="s">
        <v>669</v>
      </c>
      <c r="F44" s="1324" t="s">
        <v>535</v>
      </c>
      <c r="G44" s="698">
        <v>16389490</v>
      </c>
      <c r="H44" s="125">
        <v>11185952</v>
      </c>
      <c r="I44" s="693">
        <f>(H44/G44)*100%</f>
        <v>0.68250763141501047</v>
      </c>
      <c r="J44" s="698">
        <v>5203538</v>
      </c>
      <c r="K44" s="697">
        <f>K46</f>
        <v>183418.46</v>
      </c>
      <c r="L44" s="695">
        <f>(K44+H44)/G44*100%</f>
        <v>0.69369885579111989</v>
      </c>
    </row>
    <row r="45" spans="1:12" s="107" customFormat="1" ht="24" customHeight="1" x14ac:dyDescent="0.25">
      <c r="A45" s="1318"/>
      <c r="B45" s="1312"/>
      <c r="C45" s="1312"/>
      <c r="D45" s="1322"/>
      <c r="E45" s="1040" t="s">
        <v>295</v>
      </c>
      <c r="F45" s="1324"/>
      <c r="G45" s="1041">
        <v>276327</v>
      </c>
      <c r="H45" s="1042">
        <v>276327</v>
      </c>
      <c r="I45" s="1043">
        <v>1</v>
      </c>
      <c r="J45" s="736"/>
      <c r="K45" s="1042"/>
      <c r="L45" s="704">
        <v>1</v>
      </c>
    </row>
    <row r="46" spans="1:12" s="107" customFormat="1" ht="29.45" customHeight="1" x14ac:dyDescent="0.25">
      <c r="A46" s="1319"/>
      <c r="B46" s="1320"/>
      <c r="C46" s="1320"/>
      <c r="D46" s="1323"/>
      <c r="E46" s="1044" t="s">
        <v>670</v>
      </c>
      <c r="F46" s="1324"/>
      <c r="G46" s="1045">
        <v>587560</v>
      </c>
      <c r="H46" s="1046">
        <v>379945</v>
      </c>
      <c r="I46" s="1043">
        <v>0.65</v>
      </c>
      <c r="J46" s="736">
        <v>183500</v>
      </c>
      <c r="K46" s="1042">
        <v>183418.46</v>
      </c>
      <c r="L46" s="704">
        <v>1</v>
      </c>
    </row>
    <row r="47" spans="1:12" s="84" customFormat="1" ht="233.45" customHeight="1" x14ac:dyDescent="0.25">
      <c r="A47" s="1317" t="s">
        <v>531</v>
      </c>
      <c r="B47" s="1311" t="s">
        <v>50</v>
      </c>
      <c r="C47" s="1311" t="s">
        <v>51</v>
      </c>
      <c r="D47" s="1321" t="s">
        <v>524</v>
      </c>
      <c r="E47" s="696" t="s">
        <v>532</v>
      </c>
      <c r="F47" s="1328" t="s">
        <v>533</v>
      </c>
      <c r="G47" s="697">
        <v>23825333</v>
      </c>
      <c r="H47" s="125">
        <f>H48</f>
        <v>274112.37</v>
      </c>
      <c r="I47" s="693">
        <f>H47/G47</f>
        <v>1.150508032773351E-2</v>
      </c>
      <c r="J47" s="125">
        <f>15000000+1205842-5000000+12345379</f>
        <v>23551221</v>
      </c>
      <c r="K47" s="694">
        <f>K48</f>
        <v>1201312.3</v>
      </c>
      <c r="L47" s="695">
        <f>(K47+H47)/G47*100%</f>
        <v>6.1926717666443525E-2</v>
      </c>
    </row>
    <row r="48" spans="1:12" s="84" customFormat="1" ht="32.450000000000003" customHeight="1" x14ac:dyDescent="0.25">
      <c r="A48" s="1325"/>
      <c r="B48" s="1326"/>
      <c r="C48" s="1326"/>
      <c r="D48" s="1327"/>
      <c r="E48" s="699" t="s">
        <v>295</v>
      </c>
      <c r="F48" s="1329"/>
      <c r="G48" s="700">
        <v>1675846</v>
      </c>
      <c r="H48" s="701">
        <v>274112.37</v>
      </c>
      <c r="I48" s="702">
        <f>H48/G48</f>
        <v>0.16356656279872972</v>
      </c>
      <c r="J48" s="703">
        <v>1205842</v>
      </c>
      <c r="K48" s="701">
        <v>1201312.3</v>
      </c>
      <c r="L48" s="704">
        <v>1</v>
      </c>
    </row>
    <row r="49" spans="1:12" s="84" customFormat="1" ht="312" customHeight="1" x14ac:dyDescent="0.25">
      <c r="A49" s="1317" t="s">
        <v>531</v>
      </c>
      <c r="B49" s="1311" t="s">
        <v>50</v>
      </c>
      <c r="C49" s="1311" t="s">
        <v>51</v>
      </c>
      <c r="D49" s="1321" t="s">
        <v>524</v>
      </c>
      <c r="E49" s="1047" t="s">
        <v>671</v>
      </c>
      <c r="F49" s="1338" t="s">
        <v>294</v>
      </c>
      <c r="G49" s="698">
        <v>4900988</v>
      </c>
      <c r="H49" s="125">
        <v>0</v>
      </c>
      <c r="I49" s="693">
        <v>0</v>
      </c>
      <c r="J49" s="698">
        <v>4658554</v>
      </c>
      <c r="K49" s="697"/>
      <c r="L49" s="695">
        <v>0</v>
      </c>
    </row>
    <row r="50" spans="1:12" s="84" customFormat="1" ht="204" hidden="1" customHeight="1" x14ac:dyDescent="0.25">
      <c r="A50" s="1318"/>
      <c r="B50" s="1312"/>
      <c r="C50" s="1312"/>
      <c r="D50" s="1322"/>
      <c r="E50" s="89" t="s">
        <v>536</v>
      </c>
      <c r="F50" s="1339"/>
      <c r="G50" s="698">
        <v>874564</v>
      </c>
      <c r="H50" s="125">
        <v>0</v>
      </c>
      <c r="I50" s="693">
        <v>0</v>
      </c>
      <c r="J50" s="698">
        <f>874564-874564</f>
        <v>0</v>
      </c>
      <c r="K50" s="697"/>
      <c r="L50" s="695">
        <v>1</v>
      </c>
    </row>
    <row r="51" spans="1:12" s="84" customFormat="1" ht="41.45" customHeight="1" x14ac:dyDescent="0.25">
      <c r="A51" s="1319"/>
      <c r="B51" s="1320"/>
      <c r="C51" s="1320"/>
      <c r="D51" s="1323"/>
      <c r="E51" s="724" t="s">
        <v>543</v>
      </c>
      <c r="F51" s="1340"/>
      <c r="G51" s="736">
        <v>268825</v>
      </c>
      <c r="H51" s="716">
        <v>0</v>
      </c>
      <c r="I51" s="1043">
        <v>0</v>
      </c>
      <c r="J51" s="736">
        <v>242435</v>
      </c>
      <c r="K51" s="1042"/>
      <c r="L51" s="704">
        <v>0</v>
      </c>
    </row>
    <row r="52" spans="1:12" s="84" customFormat="1" ht="157.15" customHeight="1" x14ac:dyDescent="0.25">
      <c r="A52" s="1135" t="s">
        <v>537</v>
      </c>
      <c r="B52" s="1132" t="s">
        <v>19</v>
      </c>
      <c r="C52" s="1132" t="s">
        <v>20</v>
      </c>
      <c r="D52" s="1048" t="s">
        <v>21</v>
      </c>
      <c r="E52" s="706" t="s">
        <v>538</v>
      </c>
      <c r="F52" s="1147" t="s">
        <v>298</v>
      </c>
      <c r="G52" s="698">
        <v>1463482</v>
      </c>
      <c r="H52" s="125">
        <v>1264348</v>
      </c>
      <c r="I52" s="693">
        <f>(H52/G52)*100%</f>
        <v>0.86393136369289136</v>
      </c>
      <c r="J52" s="698">
        <v>103135</v>
      </c>
      <c r="K52" s="697"/>
      <c r="L52" s="695">
        <f>H52/G52*100%</f>
        <v>0.86393136369289136</v>
      </c>
    </row>
    <row r="53" spans="1:12" s="84" customFormat="1" ht="118.9" customHeight="1" x14ac:dyDescent="0.25">
      <c r="A53" s="1341">
        <v>1514060</v>
      </c>
      <c r="B53" s="1342">
        <v>4060</v>
      </c>
      <c r="C53" s="1343" t="s">
        <v>106</v>
      </c>
      <c r="D53" s="1344" t="s">
        <v>107</v>
      </c>
      <c r="E53" s="130" t="s">
        <v>293</v>
      </c>
      <c r="F53" s="1345" t="s">
        <v>294</v>
      </c>
      <c r="G53" s="105">
        <v>6058427</v>
      </c>
      <c r="H53" s="124">
        <v>2726948.29</v>
      </c>
      <c r="I53" s="707">
        <f>H53/G53</f>
        <v>0.45010830203945679</v>
      </c>
      <c r="J53" s="131">
        <f>2295144-694188-1600956+3169264-690455</f>
        <v>2478809</v>
      </c>
      <c r="K53" s="708">
        <v>2460071.23</v>
      </c>
      <c r="L53" s="709">
        <v>1</v>
      </c>
    </row>
    <row r="54" spans="1:12" s="107" customFormat="1" ht="28.15" customHeight="1" x14ac:dyDescent="0.25">
      <c r="A54" s="1341"/>
      <c r="B54" s="1342"/>
      <c r="C54" s="1343"/>
      <c r="D54" s="1344"/>
      <c r="E54" s="132" t="s">
        <v>295</v>
      </c>
      <c r="F54" s="1345"/>
      <c r="G54" s="106">
        <v>181142</v>
      </c>
      <c r="H54" s="126">
        <v>178959.68</v>
      </c>
      <c r="I54" s="710">
        <v>1</v>
      </c>
      <c r="J54" s="131"/>
      <c r="K54" s="708"/>
      <c r="L54" s="430">
        <v>1</v>
      </c>
    </row>
    <row r="55" spans="1:12" s="84" customFormat="1" ht="149.44999999999999" customHeight="1" x14ac:dyDescent="0.25">
      <c r="A55" s="1346">
        <v>1516012</v>
      </c>
      <c r="B55" s="1349">
        <v>6012</v>
      </c>
      <c r="C55" s="1311" t="s">
        <v>27</v>
      </c>
      <c r="D55" s="1352" t="s">
        <v>236</v>
      </c>
      <c r="E55" s="711" t="s">
        <v>672</v>
      </c>
      <c r="F55" s="1349" t="s">
        <v>539</v>
      </c>
      <c r="G55" s="692">
        <v>15864964</v>
      </c>
      <c r="H55" s="125">
        <f>H56+H57</f>
        <v>549821.11</v>
      </c>
      <c r="I55" s="712">
        <f>H55/G55</f>
        <v>3.4656309967044364E-2</v>
      </c>
      <c r="J55" s="109">
        <f>1444539-1444539+752140+1183600+182148+8935634</f>
        <v>11053522</v>
      </c>
      <c r="K55" s="713">
        <v>1439077.06</v>
      </c>
      <c r="L55" s="714">
        <f>(K55+H55)/G55*100%</f>
        <v>0.12536417794581822</v>
      </c>
    </row>
    <row r="56" spans="1:12" s="84" customFormat="1" ht="20.25" x14ac:dyDescent="0.25">
      <c r="A56" s="1347"/>
      <c r="B56" s="1350"/>
      <c r="C56" s="1312"/>
      <c r="D56" s="1353"/>
      <c r="E56" s="715" t="s">
        <v>540</v>
      </c>
      <c r="F56" s="1350"/>
      <c r="G56" s="716">
        <f>280375.62</f>
        <v>280375.62</v>
      </c>
      <c r="H56" s="716">
        <f>280375.62</f>
        <v>280375.62</v>
      </c>
      <c r="I56" s="717">
        <v>1</v>
      </c>
      <c r="J56" s="126"/>
      <c r="K56" s="718"/>
      <c r="L56" s="719">
        <v>1</v>
      </c>
    </row>
    <row r="57" spans="1:12" s="84" customFormat="1" ht="20.25" x14ac:dyDescent="0.25">
      <c r="A57" s="1348"/>
      <c r="B57" s="1351"/>
      <c r="C57" s="1320"/>
      <c r="D57" s="1354"/>
      <c r="E57" s="715" t="s">
        <v>296</v>
      </c>
      <c r="F57" s="1351"/>
      <c r="G57" s="1049">
        <v>269445</v>
      </c>
      <c r="H57" s="716">
        <v>269445.49</v>
      </c>
      <c r="I57" s="717">
        <v>1</v>
      </c>
      <c r="J57" s="126"/>
      <c r="K57" s="718"/>
      <c r="L57" s="719">
        <v>1</v>
      </c>
    </row>
    <row r="58" spans="1:12" s="84" customFormat="1" ht="138.6" customHeight="1" x14ac:dyDescent="0.25">
      <c r="A58" s="1346">
        <v>1516012</v>
      </c>
      <c r="B58" s="1349">
        <v>6012</v>
      </c>
      <c r="C58" s="1311" t="s">
        <v>27</v>
      </c>
      <c r="D58" s="1352" t="s">
        <v>236</v>
      </c>
      <c r="E58" s="89" t="s">
        <v>673</v>
      </c>
      <c r="F58" s="1355" t="s">
        <v>534</v>
      </c>
      <c r="G58" s="108">
        <v>18595843</v>
      </c>
      <c r="H58" s="705">
        <v>0</v>
      </c>
      <c r="I58" s="720">
        <v>0</v>
      </c>
      <c r="J58" s="692">
        <f>1497526+4000000</f>
        <v>5497526</v>
      </c>
      <c r="K58" s="731"/>
      <c r="L58" s="709">
        <v>0</v>
      </c>
    </row>
    <row r="59" spans="1:12" s="84" customFormat="1" ht="31.15" customHeight="1" x14ac:dyDescent="0.25">
      <c r="A59" s="1348"/>
      <c r="B59" s="1351"/>
      <c r="C59" s="1320"/>
      <c r="D59" s="1354"/>
      <c r="E59" s="722" t="s">
        <v>543</v>
      </c>
      <c r="F59" s="1356"/>
      <c r="G59" s="106">
        <v>1497526</v>
      </c>
      <c r="H59" s="122"/>
      <c r="I59" s="123">
        <v>0</v>
      </c>
      <c r="J59" s="111">
        <v>1497526</v>
      </c>
      <c r="K59" s="723"/>
      <c r="L59" s="430">
        <v>0</v>
      </c>
    </row>
    <row r="60" spans="1:12" s="84" customFormat="1" ht="145.15" customHeight="1" x14ac:dyDescent="0.25">
      <c r="A60" s="1346">
        <v>1516012</v>
      </c>
      <c r="B60" s="1349">
        <v>6012</v>
      </c>
      <c r="C60" s="1311" t="s">
        <v>27</v>
      </c>
      <c r="D60" s="1352" t="s">
        <v>236</v>
      </c>
      <c r="E60" s="89" t="s">
        <v>541</v>
      </c>
      <c r="F60" s="1355" t="s">
        <v>294</v>
      </c>
      <c r="G60" s="108">
        <v>2011948</v>
      </c>
      <c r="H60" s="705">
        <v>218940</v>
      </c>
      <c r="I60" s="720">
        <f>(H60/G60)*100%</f>
        <v>0.10881990985850529</v>
      </c>
      <c r="J60" s="124">
        <v>1748351</v>
      </c>
      <c r="K60" s="721"/>
      <c r="L60" s="709">
        <v>0</v>
      </c>
    </row>
    <row r="61" spans="1:12" s="107" customFormat="1" ht="31.9" customHeight="1" x14ac:dyDescent="0.25">
      <c r="A61" s="1348"/>
      <c r="B61" s="1351"/>
      <c r="C61" s="1320"/>
      <c r="D61" s="1354"/>
      <c r="E61" s="722" t="s">
        <v>295</v>
      </c>
      <c r="F61" s="1356"/>
      <c r="G61" s="106">
        <v>263597</v>
      </c>
      <c r="H61" s="122">
        <v>218940</v>
      </c>
      <c r="I61" s="123">
        <v>1</v>
      </c>
      <c r="J61" s="111"/>
      <c r="K61" s="723"/>
      <c r="L61" s="430">
        <v>1</v>
      </c>
    </row>
    <row r="62" spans="1:12" s="84" customFormat="1" ht="155.44999999999999" customHeight="1" x14ac:dyDescent="0.25">
      <c r="A62" s="1346">
        <v>1516012</v>
      </c>
      <c r="B62" s="1349">
        <v>6012</v>
      </c>
      <c r="C62" s="1311" t="s">
        <v>27</v>
      </c>
      <c r="D62" s="1352" t="s">
        <v>236</v>
      </c>
      <c r="E62" s="706" t="s">
        <v>542</v>
      </c>
      <c r="F62" s="1357" t="s">
        <v>534</v>
      </c>
      <c r="G62" s="108">
        <v>3262468</v>
      </c>
      <c r="H62" s="705">
        <v>0</v>
      </c>
      <c r="I62" s="720">
        <v>0</v>
      </c>
      <c r="J62" s="124">
        <v>2894056</v>
      </c>
      <c r="K62" s="721"/>
      <c r="L62" s="709">
        <v>0</v>
      </c>
    </row>
    <row r="63" spans="1:12" s="107" customFormat="1" ht="34.15" customHeight="1" x14ac:dyDescent="0.25">
      <c r="A63" s="1348"/>
      <c r="B63" s="1351"/>
      <c r="C63" s="1320"/>
      <c r="D63" s="1354"/>
      <c r="E63" s="724" t="s">
        <v>543</v>
      </c>
      <c r="F63" s="1357"/>
      <c r="G63" s="1050">
        <v>49800</v>
      </c>
      <c r="H63" s="135"/>
      <c r="I63" s="1051"/>
      <c r="J63" s="126">
        <v>49800</v>
      </c>
      <c r="K63" s="718"/>
      <c r="L63" s="430">
        <v>0</v>
      </c>
    </row>
    <row r="64" spans="1:12" s="107" customFormat="1" ht="160.9" customHeight="1" x14ac:dyDescent="0.25">
      <c r="A64" s="1142">
        <v>1516012</v>
      </c>
      <c r="B64" s="1143">
        <v>6012</v>
      </c>
      <c r="C64" s="1133" t="s">
        <v>27</v>
      </c>
      <c r="D64" s="1144" t="s">
        <v>674</v>
      </c>
      <c r="E64" s="1052" t="s">
        <v>675</v>
      </c>
      <c r="F64" s="1145" t="s">
        <v>294</v>
      </c>
      <c r="G64" s="108">
        <v>187450</v>
      </c>
      <c r="H64" s="705"/>
      <c r="I64" s="720">
        <v>0</v>
      </c>
      <c r="J64" s="692">
        <v>187450</v>
      </c>
      <c r="K64" s="731"/>
      <c r="L64" s="709">
        <v>0</v>
      </c>
    </row>
    <row r="65" spans="1:12" s="107" customFormat="1" ht="147" customHeight="1" x14ac:dyDescent="0.25">
      <c r="A65" s="1138">
        <v>1516013</v>
      </c>
      <c r="B65" s="1139">
        <v>6013</v>
      </c>
      <c r="C65" s="1053" t="s">
        <v>27</v>
      </c>
      <c r="D65" s="1054" t="s">
        <v>135</v>
      </c>
      <c r="E65" s="1055" t="s">
        <v>676</v>
      </c>
      <c r="F65" s="1056" t="s">
        <v>534</v>
      </c>
      <c r="G65" s="108">
        <v>60000</v>
      </c>
      <c r="H65" s="705"/>
      <c r="I65" s="720">
        <v>0</v>
      </c>
      <c r="J65" s="692">
        <v>60000</v>
      </c>
      <c r="K65" s="731"/>
      <c r="L65" s="709">
        <v>0</v>
      </c>
    </row>
    <row r="66" spans="1:12" s="84" customFormat="1" ht="96" customHeight="1" x14ac:dyDescent="0.25">
      <c r="A66" s="1346">
        <v>1516030</v>
      </c>
      <c r="B66" s="1349">
        <v>6030</v>
      </c>
      <c r="C66" s="1311" t="s">
        <v>27</v>
      </c>
      <c r="D66" s="1352" t="s">
        <v>28</v>
      </c>
      <c r="E66" s="89" t="s">
        <v>544</v>
      </c>
      <c r="F66" s="1355" t="s">
        <v>298</v>
      </c>
      <c r="G66" s="108">
        <v>3777567</v>
      </c>
      <c r="H66" s="133">
        <f>1516531+H68</f>
        <v>1640341.91</v>
      </c>
      <c r="I66" s="134">
        <f>H66/G66</f>
        <v>0.43423238025956917</v>
      </c>
      <c r="J66" s="124">
        <f>1011118+1104357</f>
        <v>2115475</v>
      </c>
      <c r="K66" s="721">
        <v>1026896.4</v>
      </c>
      <c r="L66" s="714">
        <f>(K66+H66)/G66*100%</f>
        <v>0.70607306501777467</v>
      </c>
    </row>
    <row r="67" spans="1:12" s="84" customFormat="1" ht="20.25" customHeight="1" x14ac:dyDescent="0.25">
      <c r="A67" s="1347"/>
      <c r="B67" s="1350"/>
      <c r="C67" s="1312"/>
      <c r="D67" s="1353"/>
      <c r="E67" s="132" t="s">
        <v>308</v>
      </c>
      <c r="F67" s="1358"/>
      <c r="G67" s="106">
        <v>49800</v>
      </c>
      <c r="H67" s="135">
        <v>49763</v>
      </c>
      <c r="I67" s="725">
        <v>1</v>
      </c>
      <c r="J67" s="124"/>
      <c r="K67" s="721"/>
      <c r="L67" s="102">
        <v>1</v>
      </c>
    </row>
    <row r="68" spans="1:12" s="84" customFormat="1" ht="40.5" x14ac:dyDescent="0.25">
      <c r="A68" s="1348"/>
      <c r="B68" s="1351"/>
      <c r="C68" s="1320"/>
      <c r="D68" s="1354"/>
      <c r="E68" s="132" t="s">
        <v>303</v>
      </c>
      <c r="F68" s="1356"/>
      <c r="G68" s="111">
        <v>140204</v>
      </c>
      <c r="H68" s="111">
        <v>123810.91</v>
      </c>
      <c r="I68" s="725">
        <v>1</v>
      </c>
      <c r="J68" s="124"/>
      <c r="K68" s="721"/>
      <c r="L68" s="102">
        <v>1</v>
      </c>
    </row>
    <row r="69" spans="1:12" s="84" customFormat="1" ht="101.25" x14ac:dyDescent="0.25">
      <c r="A69" s="1138">
        <v>1516030</v>
      </c>
      <c r="B69" s="1139">
        <v>6030</v>
      </c>
      <c r="C69" s="1140" t="s">
        <v>27</v>
      </c>
      <c r="D69" s="1141" t="s">
        <v>28</v>
      </c>
      <c r="E69" s="1057" t="s">
        <v>677</v>
      </c>
      <c r="F69" s="1147" t="s">
        <v>534</v>
      </c>
      <c r="G69" s="124">
        <v>49800</v>
      </c>
      <c r="H69" s="124"/>
      <c r="I69" s="727">
        <v>0</v>
      </c>
      <c r="J69" s="124">
        <v>49800</v>
      </c>
      <c r="K69" s="721"/>
      <c r="L69" s="94">
        <v>0</v>
      </c>
    </row>
    <row r="70" spans="1:12" s="84" customFormat="1" ht="101.25" x14ac:dyDescent="0.25">
      <c r="A70" s="1138">
        <v>1516030</v>
      </c>
      <c r="B70" s="1139">
        <v>6030</v>
      </c>
      <c r="C70" s="1140" t="s">
        <v>27</v>
      </c>
      <c r="D70" s="1141" t="s">
        <v>28</v>
      </c>
      <c r="E70" s="1057" t="s">
        <v>678</v>
      </c>
      <c r="F70" s="1148" t="s">
        <v>534</v>
      </c>
      <c r="G70" s="124">
        <v>500000</v>
      </c>
      <c r="H70" s="124"/>
      <c r="I70" s="727">
        <v>0</v>
      </c>
      <c r="J70" s="124">
        <v>500000</v>
      </c>
      <c r="K70" s="721"/>
      <c r="L70" s="94">
        <v>0</v>
      </c>
    </row>
    <row r="71" spans="1:12" s="84" customFormat="1" ht="116.25" customHeight="1" x14ac:dyDescent="0.25">
      <c r="A71" s="1359">
        <v>1516030</v>
      </c>
      <c r="B71" s="1311">
        <v>6030</v>
      </c>
      <c r="C71" s="1311" t="s">
        <v>27</v>
      </c>
      <c r="D71" s="1352" t="s">
        <v>28</v>
      </c>
      <c r="E71" s="726" t="s">
        <v>545</v>
      </c>
      <c r="F71" s="1355" t="s">
        <v>546</v>
      </c>
      <c r="G71" s="124">
        <v>3910004</v>
      </c>
      <c r="H71" s="124">
        <v>0</v>
      </c>
      <c r="I71" s="720">
        <v>0</v>
      </c>
      <c r="J71" s="124">
        <f>4003149-93145</f>
        <v>3910004</v>
      </c>
      <c r="K71" s="721">
        <f>K72</f>
        <v>154159.98000000001</v>
      </c>
      <c r="L71" s="94">
        <f>K71/G71*100%</f>
        <v>3.9427064524742178E-2</v>
      </c>
    </row>
    <row r="72" spans="1:12" s="84" customFormat="1" ht="20.25" x14ac:dyDescent="0.25">
      <c r="A72" s="1360"/>
      <c r="B72" s="1320"/>
      <c r="C72" s="1320"/>
      <c r="D72" s="1354"/>
      <c r="E72" s="132" t="s">
        <v>295</v>
      </c>
      <c r="F72" s="1356"/>
      <c r="G72" s="111">
        <v>174543</v>
      </c>
      <c r="H72" s="111">
        <v>0</v>
      </c>
      <c r="I72" s="725">
        <v>0</v>
      </c>
      <c r="J72" s="111">
        <v>174543</v>
      </c>
      <c r="K72" s="723">
        <v>154159.98000000001</v>
      </c>
      <c r="L72" s="102">
        <v>1</v>
      </c>
    </row>
    <row r="73" spans="1:12" s="84" customFormat="1" ht="188.45" customHeight="1" x14ac:dyDescent="0.25">
      <c r="A73" s="1149">
        <v>1516030</v>
      </c>
      <c r="B73" s="1136" t="s">
        <v>26</v>
      </c>
      <c r="C73" s="1136" t="s">
        <v>27</v>
      </c>
      <c r="D73" s="1144" t="s">
        <v>28</v>
      </c>
      <c r="E73" s="1058" t="s">
        <v>679</v>
      </c>
      <c r="F73" s="1148" t="s">
        <v>534</v>
      </c>
      <c r="G73" s="124">
        <v>406558</v>
      </c>
      <c r="H73" s="124">
        <v>0</v>
      </c>
      <c r="I73" s="727">
        <v>0</v>
      </c>
      <c r="J73" s="124">
        <v>406558</v>
      </c>
      <c r="K73" s="721"/>
      <c r="L73" s="94">
        <v>0</v>
      </c>
    </row>
    <row r="74" spans="1:12" s="84" customFormat="1" ht="141.75" x14ac:dyDescent="0.25">
      <c r="A74" s="1307" t="s">
        <v>300</v>
      </c>
      <c r="B74" s="1361" t="s">
        <v>301</v>
      </c>
      <c r="C74" s="1361" t="s">
        <v>302</v>
      </c>
      <c r="D74" s="1362" t="s">
        <v>304</v>
      </c>
      <c r="E74" s="89" t="s">
        <v>307</v>
      </c>
      <c r="F74" s="1355" t="s">
        <v>294</v>
      </c>
      <c r="G74" s="108">
        <v>6435596</v>
      </c>
      <c r="H74" s="133">
        <v>3693192</v>
      </c>
      <c r="I74" s="134">
        <f>H74/G74</f>
        <v>0.57386945979828441</v>
      </c>
      <c r="J74" s="124">
        <v>2138727</v>
      </c>
      <c r="K74" s="721">
        <v>1178132.22</v>
      </c>
      <c r="L74" s="709">
        <f>(K74+H74)/G74*100%</f>
        <v>0.75693443466619093</v>
      </c>
    </row>
    <row r="75" spans="1:12" s="84" customFormat="1" ht="20.25" x14ac:dyDescent="0.25">
      <c r="A75" s="1307"/>
      <c r="B75" s="1361"/>
      <c r="C75" s="1361"/>
      <c r="D75" s="1363"/>
      <c r="E75" s="728" t="s">
        <v>299</v>
      </c>
      <c r="F75" s="1356"/>
      <c r="G75" s="106">
        <v>169440</v>
      </c>
      <c r="H75" s="135">
        <v>167500</v>
      </c>
      <c r="I75" s="123">
        <v>1</v>
      </c>
      <c r="J75" s="124"/>
      <c r="K75" s="721"/>
      <c r="L75" s="430">
        <v>1</v>
      </c>
    </row>
    <row r="76" spans="1:12" s="84" customFormat="1" ht="162.75" customHeight="1" x14ac:dyDescent="0.25">
      <c r="A76" s="1129" t="s">
        <v>300</v>
      </c>
      <c r="B76" s="1150" t="s">
        <v>301</v>
      </c>
      <c r="C76" s="1150" t="s">
        <v>302</v>
      </c>
      <c r="D76" s="729" t="s">
        <v>304</v>
      </c>
      <c r="E76" s="429" t="s">
        <v>547</v>
      </c>
      <c r="F76" s="1140" t="s">
        <v>534</v>
      </c>
      <c r="G76" s="692">
        <v>49800</v>
      </c>
      <c r="H76" s="692">
        <v>0</v>
      </c>
      <c r="I76" s="730">
        <v>0</v>
      </c>
      <c r="J76" s="109">
        <v>49800</v>
      </c>
      <c r="K76" s="713"/>
      <c r="L76" s="714">
        <v>0</v>
      </c>
    </row>
    <row r="77" spans="1:12" s="84" customFormat="1" ht="164.45" customHeight="1" x14ac:dyDescent="0.25">
      <c r="A77" s="1129" t="s">
        <v>300</v>
      </c>
      <c r="B77" s="1150" t="s">
        <v>301</v>
      </c>
      <c r="C77" s="1150" t="s">
        <v>302</v>
      </c>
      <c r="D77" s="729" t="s">
        <v>304</v>
      </c>
      <c r="E77" s="429" t="s">
        <v>548</v>
      </c>
      <c r="F77" s="1140" t="s">
        <v>534</v>
      </c>
      <c r="G77" s="692">
        <v>1600000</v>
      </c>
      <c r="H77" s="692">
        <v>0</v>
      </c>
      <c r="I77" s="730">
        <v>0</v>
      </c>
      <c r="J77" s="692">
        <f>1550200-400000</f>
        <v>1150200</v>
      </c>
      <c r="K77" s="731"/>
      <c r="L77" s="714">
        <v>0</v>
      </c>
    </row>
    <row r="78" spans="1:12" s="84" customFormat="1" ht="100.9" customHeight="1" x14ac:dyDescent="0.25">
      <c r="A78" s="1315" t="s">
        <v>549</v>
      </c>
      <c r="B78" s="1365" t="s">
        <v>550</v>
      </c>
      <c r="C78" s="1365" t="s">
        <v>302</v>
      </c>
      <c r="D78" s="1367" t="s">
        <v>551</v>
      </c>
      <c r="E78" s="1059" t="s">
        <v>680</v>
      </c>
      <c r="F78" s="1311" t="s">
        <v>552</v>
      </c>
      <c r="G78" s="692">
        <v>1630569</v>
      </c>
      <c r="H78" s="692">
        <v>120891</v>
      </c>
      <c r="I78" s="730">
        <f>(H78/G78)*100%</f>
        <v>7.4140376764184779E-2</v>
      </c>
      <c r="J78" s="692">
        <v>1501526</v>
      </c>
      <c r="K78" s="731"/>
      <c r="L78" s="714">
        <f>H78/G78*100%</f>
        <v>7.4140376764184779E-2</v>
      </c>
    </row>
    <row r="79" spans="1:12" s="107" customFormat="1" ht="44.45" customHeight="1" x14ac:dyDescent="0.25">
      <c r="A79" s="1364"/>
      <c r="B79" s="1366"/>
      <c r="C79" s="1366"/>
      <c r="D79" s="1368"/>
      <c r="E79" s="732" t="s">
        <v>303</v>
      </c>
      <c r="F79" s="1320"/>
      <c r="G79" s="126">
        <v>129043</v>
      </c>
      <c r="H79" s="126">
        <v>120891</v>
      </c>
      <c r="I79" s="733">
        <v>1</v>
      </c>
      <c r="J79" s="126"/>
      <c r="K79" s="718"/>
      <c r="L79" s="719">
        <v>1</v>
      </c>
    </row>
    <row r="80" spans="1:12" s="84" customFormat="1" ht="201" customHeight="1" x14ac:dyDescent="0.25">
      <c r="A80" s="1135" t="s">
        <v>553</v>
      </c>
      <c r="B80" s="1132" t="s">
        <v>554</v>
      </c>
      <c r="C80" s="1132" t="s">
        <v>302</v>
      </c>
      <c r="D80" s="1137" t="s">
        <v>555</v>
      </c>
      <c r="E80" s="691" t="s">
        <v>556</v>
      </c>
      <c r="F80" s="1140" t="s">
        <v>534</v>
      </c>
      <c r="G80" s="125">
        <v>1477980</v>
      </c>
      <c r="H80" s="125">
        <v>0</v>
      </c>
      <c r="I80" s="712">
        <v>0</v>
      </c>
      <c r="J80" s="125">
        <f>1477980-213962</f>
        <v>1264018</v>
      </c>
      <c r="K80" s="694"/>
      <c r="L80" s="695">
        <v>0</v>
      </c>
    </row>
    <row r="81" spans="1:16" s="84" customFormat="1" ht="67.5" hidden="1" customHeight="1" x14ac:dyDescent="0.25">
      <c r="A81" s="1135" t="s">
        <v>553</v>
      </c>
      <c r="B81" s="1132" t="s">
        <v>554</v>
      </c>
      <c r="C81" s="1132" t="s">
        <v>302</v>
      </c>
      <c r="D81" s="1137" t="s">
        <v>555</v>
      </c>
      <c r="E81" s="429" t="s">
        <v>557</v>
      </c>
      <c r="F81" s="1140" t="s">
        <v>534</v>
      </c>
      <c r="G81" s="125">
        <f>J81</f>
        <v>0</v>
      </c>
      <c r="H81" s="125">
        <v>0</v>
      </c>
      <c r="I81" s="712">
        <v>0</v>
      </c>
      <c r="J81" s="125">
        <v>0</v>
      </c>
      <c r="K81" s="694"/>
      <c r="L81" s="695">
        <v>1</v>
      </c>
    </row>
    <row r="82" spans="1:16" s="84" customFormat="1" ht="111" hidden="1" customHeight="1" x14ac:dyDescent="0.25">
      <c r="A82" s="1129" t="s">
        <v>558</v>
      </c>
      <c r="B82" s="1130" t="s">
        <v>559</v>
      </c>
      <c r="C82" s="1130" t="s">
        <v>171</v>
      </c>
      <c r="D82" s="734" t="s">
        <v>520</v>
      </c>
      <c r="E82" s="711" t="s">
        <v>560</v>
      </c>
      <c r="F82" s="1140" t="s">
        <v>534</v>
      </c>
      <c r="G82" s="125">
        <f t="shared" ref="G82" si="0">J82</f>
        <v>0</v>
      </c>
      <c r="H82" s="692">
        <v>0</v>
      </c>
      <c r="I82" s="712">
        <v>0</v>
      </c>
      <c r="J82" s="692">
        <v>0</v>
      </c>
      <c r="K82" s="731"/>
      <c r="L82" s="714">
        <v>1</v>
      </c>
    </row>
    <row r="83" spans="1:16" s="1036" customFormat="1" ht="118.9" customHeight="1" x14ac:dyDescent="0.25">
      <c r="A83" s="1307" t="s">
        <v>561</v>
      </c>
      <c r="B83" s="1308" t="s">
        <v>138</v>
      </c>
      <c r="C83" s="1308" t="s">
        <v>139</v>
      </c>
      <c r="D83" s="1309" t="s">
        <v>140</v>
      </c>
      <c r="E83" s="735" t="s">
        <v>681</v>
      </c>
      <c r="F83" s="1311" t="s">
        <v>562</v>
      </c>
      <c r="G83" s="125">
        <v>39553452</v>
      </c>
      <c r="H83" s="692">
        <v>2753824</v>
      </c>
      <c r="I83" s="712">
        <v>7.0000000000000007E-2</v>
      </c>
      <c r="J83" s="692">
        <f>6418944-478735-5940209+7000000</f>
        <v>7000000</v>
      </c>
      <c r="K83" s="731"/>
      <c r="L83" s="714">
        <f>(H83)/G83*100%</f>
        <v>6.9622848594858427E-2</v>
      </c>
    </row>
    <row r="84" spans="1:16" s="1036" customFormat="1" ht="35.450000000000003" customHeight="1" x14ac:dyDescent="0.25">
      <c r="A84" s="1307"/>
      <c r="B84" s="1308"/>
      <c r="C84" s="1308"/>
      <c r="D84" s="1309"/>
      <c r="E84" s="739" t="s">
        <v>295</v>
      </c>
      <c r="F84" s="1312"/>
      <c r="G84" s="716">
        <v>169781</v>
      </c>
      <c r="H84" s="126">
        <v>169781</v>
      </c>
      <c r="I84" s="740">
        <v>1</v>
      </c>
      <c r="J84" s="126"/>
      <c r="K84" s="718"/>
      <c r="L84" s="719">
        <v>1</v>
      </c>
    </row>
    <row r="85" spans="1:16" s="1036" customFormat="1" ht="43.5" customHeight="1" x14ac:dyDescent="0.25">
      <c r="A85" s="1315"/>
      <c r="B85" s="1316"/>
      <c r="C85" s="1316"/>
      <c r="D85" s="1310"/>
      <c r="E85" s="1060" t="s">
        <v>303</v>
      </c>
      <c r="F85" s="1312"/>
      <c r="G85" s="736">
        <v>1003085</v>
      </c>
      <c r="H85" s="737">
        <v>1003085</v>
      </c>
      <c r="I85" s="738">
        <v>1</v>
      </c>
      <c r="J85" s="737"/>
      <c r="K85" s="1046"/>
      <c r="L85" s="1061">
        <v>1</v>
      </c>
    </row>
    <row r="86" spans="1:16" s="1036" customFormat="1" ht="150" customHeight="1" x14ac:dyDescent="0.25">
      <c r="A86" s="1129" t="s">
        <v>561</v>
      </c>
      <c r="B86" s="1130" t="s">
        <v>138</v>
      </c>
      <c r="C86" s="1130" t="s">
        <v>139</v>
      </c>
      <c r="D86" s="1131" t="s">
        <v>140</v>
      </c>
      <c r="E86" s="1039" t="s">
        <v>682</v>
      </c>
      <c r="F86" s="1140" t="s">
        <v>534</v>
      </c>
      <c r="G86" s="125">
        <v>148634</v>
      </c>
      <c r="H86" s="692"/>
      <c r="I86" s="712">
        <v>0</v>
      </c>
      <c r="J86" s="692">
        <v>148634</v>
      </c>
      <c r="K86" s="731"/>
      <c r="L86" s="714">
        <v>0</v>
      </c>
    </row>
    <row r="87" spans="1:16" s="1036" customFormat="1" ht="114.6" customHeight="1" x14ac:dyDescent="0.25">
      <c r="A87" s="1307" t="s">
        <v>683</v>
      </c>
      <c r="B87" s="1308" t="s">
        <v>684</v>
      </c>
      <c r="C87" s="1308" t="s">
        <v>231</v>
      </c>
      <c r="D87" s="1309" t="s">
        <v>232</v>
      </c>
      <c r="E87" s="1058" t="s">
        <v>685</v>
      </c>
      <c r="F87" s="1311" t="s">
        <v>534</v>
      </c>
      <c r="G87" s="125">
        <v>4335000</v>
      </c>
      <c r="H87" s="692"/>
      <c r="I87" s="712">
        <v>0</v>
      </c>
      <c r="J87" s="692">
        <v>2042000</v>
      </c>
      <c r="K87" s="731"/>
      <c r="L87" s="714">
        <v>0</v>
      </c>
    </row>
    <row r="88" spans="1:16" s="1036" customFormat="1" ht="27" customHeight="1" thickBot="1" x14ac:dyDescent="0.3">
      <c r="A88" s="1307"/>
      <c r="B88" s="1308"/>
      <c r="C88" s="1308"/>
      <c r="D88" s="1310"/>
      <c r="E88" s="1060" t="s">
        <v>543</v>
      </c>
      <c r="F88" s="1312"/>
      <c r="G88" s="736">
        <v>96000</v>
      </c>
      <c r="H88" s="737"/>
      <c r="I88" s="738">
        <v>0</v>
      </c>
      <c r="J88" s="737">
        <v>96000</v>
      </c>
      <c r="K88" s="1046"/>
      <c r="L88" s="1061">
        <v>0</v>
      </c>
    </row>
    <row r="89" spans="1:16" s="84" customFormat="1" ht="61.5" customHeight="1" thickBot="1" x14ac:dyDescent="0.3">
      <c r="A89" s="649" t="s">
        <v>207</v>
      </c>
      <c r="B89" s="650" t="s">
        <v>14</v>
      </c>
      <c r="C89" s="1062" t="s">
        <v>14</v>
      </c>
      <c r="D89" s="1063" t="s">
        <v>208</v>
      </c>
      <c r="E89" s="741"/>
      <c r="F89" s="742"/>
      <c r="G89" s="743"/>
      <c r="H89" s="744"/>
      <c r="I89" s="745"/>
      <c r="J89" s="685">
        <f>J90</f>
        <v>323000</v>
      </c>
      <c r="K89" s="685">
        <f>K90</f>
        <v>23000</v>
      </c>
      <c r="L89" s="746"/>
    </row>
    <row r="90" spans="1:16" s="84" customFormat="1" ht="60" customHeight="1" x14ac:dyDescent="0.25">
      <c r="A90" s="657" t="s">
        <v>209</v>
      </c>
      <c r="B90" s="658" t="s">
        <v>14</v>
      </c>
      <c r="C90" s="658" t="s">
        <v>14</v>
      </c>
      <c r="D90" s="1064" t="s">
        <v>208</v>
      </c>
      <c r="E90" s="747"/>
      <c r="F90" s="1146"/>
      <c r="G90" s="748"/>
      <c r="H90" s="749"/>
      <c r="I90" s="750"/>
      <c r="J90" s="689">
        <f>J91+J92</f>
        <v>323000</v>
      </c>
      <c r="K90" s="689">
        <f>K91+K92</f>
        <v>23000</v>
      </c>
      <c r="L90" s="751"/>
    </row>
    <row r="91" spans="1:16" s="84" customFormat="1" ht="57.75" customHeight="1" x14ac:dyDescent="0.25">
      <c r="A91" s="97" t="s">
        <v>210</v>
      </c>
      <c r="B91" s="98" t="s">
        <v>44</v>
      </c>
      <c r="C91" s="98" t="s">
        <v>17</v>
      </c>
      <c r="D91" s="1009" t="s">
        <v>175</v>
      </c>
      <c r="E91" s="99" t="s">
        <v>288</v>
      </c>
      <c r="F91" s="1145"/>
      <c r="G91" s="112"/>
      <c r="H91" s="110"/>
      <c r="I91" s="113"/>
      <c r="J91" s="114">
        <v>23000</v>
      </c>
      <c r="K91" s="752">
        <v>23000</v>
      </c>
      <c r="L91" s="753"/>
    </row>
    <row r="92" spans="1:16" s="84" customFormat="1" ht="243" customHeight="1" thickBot="1" x14ac:dyDescent="0.3">
      <c r="A92" s="97">
        <v>3118311</v>
      </c>
      <c r="B92" s="98">
        <v>8311</v>
      </c>
      <c r="C92" s="1134" t="s">
        <v>663</v>
      </c>
      <c r="D92" s="1009" t="s">
        <v>662</v>
      </c>
      <c r="E92" s="99" t="s">
        <v>686</v>
      </c>
      <c r="F92" s="1145"/>
      <c r="G92" s="112"/>
      <c r="H92" s="110"/>
      <c r="I92" s="113"/>
      <c r="J92" s="114">
        <v>300000</v>
      </c>
      <c r="K92" s="752"/>
      <c r="L92" s="753"/>
    </row>
    <row r="93" spans="1:16" ht="54" customHeight="1" thickBot="1" x14ac:dyDescent="0.3">
      <c r="A93" s="754" t="s">
        <v>297</v>
      </c>
      <c r="B93" s="1065" t="s">
        <v>297</v>
      </c>
      <c r="C93" s="86" t="s">
        <v>297</v>
      </c>
      <c r="D93" s="85" t="s">
        <v>148</v>
      </c>
      <c r="E93" s="115" t="s">
        <v>297</v>
      </c>
      <c r="F93" s="116" t="s">
        <v>297</v>
      </c>
      <c r="G93" s="117" t="s">
        <v>297</v>
      </c>
      <c r="H93" s="117" t="s">
        <v>297</v>
      </c>
      <c r="I93" s="117" t="s">
        <v>297</v>
      </c>
      <c r="J93" s="1066">
        <f>J15+J25+J30+J37+J41+J89</f>
        <v>129359899</v>
      </c>
      <c r="K93" s="118">
        <f>K15+K25+K30+K37+K41+K89</f>
        <v>39938091.649999999</v>
      </c>
      <c r="L93" s="1067" t="s">
        <v>297</v>
      </c>
      <c r="N93" s="119"/>
    </row>
    <row r="94" spans="1:16" s="27" customFormat="1" ht="58.5" customHeight="1" x14ac:dyDescent="0.3">
      <c r="A94" s="1306" t="s">
        <v>563</v>
      </c>
      <c r="B94" s="1306"/>
      <c r="C94" s="1306"/>
      <c r="D94" s="1306"/>
      <c r="E94" s="1306"/>
      <c r="F94" s="1306"/>
      <c r="G94" s="1306"/>
      <c r="H94" s="1306"/>
      <c r="I94" s="1306"/>
      <c r="J94" s="1306"/>
      <c r="K94" s="996"/>
      <c r="L94" s="24"/>
      <c r="M94" s="996"/>
      <c r="N94" s="996"/>
      <c r="O94" s="25"/>
      <c r="P94" s="26"/>
    </row>
    <row r="96" spans="1:16" s="20" customFormat="1" ht="20.25" x14ac:dyDescent="0.3">
      <c r="A96" s="1068"/>
      <c r="B96" s="1068"/>
      <c r="G96" s="1069"/>
      <c r="J96" s="1070"/>
    </row>
    <row r="97" spans="1:11" s="1072" customFormat="1" ht="21" x14ac:dyDescent="0.35">
      <c r="A97" s="1071"/>
      <c r="B97" s="1071"/>
    </row>
    <row r="98" spans="1:11" s="802" customFormat="1" ht="20.25" x14ac:dyDescent="0.3">
      <c r="B98" s="1073"/>
      <c r="C98" s="1074"/>
      <c r="E98" s="1075"/>
      <c r="F98" s="1074"/>
      <c r="G98" s="1069"/>
      <c r="H98" s="1069"/>
      <c r="I98" s="1069"/>
      <c r="J98" s="1076"/>
      <c r="K98" s="1076"/>
    </row>
    <row r="99" spans="1:11" x14ac:dyDescent="0.25">
      <c r="B99" s="72"/>
      <c r="C99" s="72"/>
      <c r="D99" s="72"/>
      <c r="E99" s="72"/>
      <c r="F99" s="72"/>
      <c r="G99" s="72"/>
      <c r="H99" s="72"/>
      <c r="I99" s="72"/>
      <c r="J99" s="72"/>
      <c r="K99" s="72"/>
    </row>
    <row r="100" spans="1:11" x14ac:dyDescent="0.25">
      <c r="B100" s="72"/>
      <c r="C100" s="72"/>
      <c r="D100" s="72"/>
      <c r="E100" s="72"/>
      <c r="F100" s="72"/>
      <c r="G100" s="72"/>
      <c r="H100" s="72"/>
      <c r="I100" s="72"/>
      <c r="J100" s="72"/>
      <c r="K100" s="72"/>
    </row>
  </sheetData>
  <mergeCells count="88">
    <mergeCell ref="A78:A79"/>
    <mergeCell ref="B78:B79"/>
    <mergeCell ref="C78:C79"/>
    <mergeCell ref="D78:D79"/>
    <mergeCell ref="F78:F79"/>
    <mergeCell ref="A74:A75"/>
    <mergeCell ref="B74:B75"/>
    <mergeCell ref="C74:C75"/>
    <mergeCell ref="D74:D75"/>
    <mergeCell ref="F74:F75"/>
    <mergeCell ref="A71:A72"/>
    <mergeCell ref="B71:B72"/>
    <mergeCell ref="C71:C72"/>
    <mergeCell ref="D71:D72"/>
    <mergeCell ref="F71:F72"/>
    <mergeCell ref="A66:A68"/>
    <mergeCell ref="B66:B68"/>
    <mergeCell ref="C66:C68"/>
    <mergeCell ref="D66:D68"/>
    <mergeCell ref="F66:F68"/>
    <mergeCell ref="A62:A63"/>
    <mergeCell ref="B62:B63"/>
    <mergeCell ref="C62:C63"/>
    <mergeCell ref="D62:D63"/>
    <mergeCell ref="F62:F63"/>
    <mergeCell ref="A60:A61"/>
    <mergeCell ref="B60:B61"/>
    <mergeCell ref="C60:C61"/>
    <mergeCell ref="D60:D61"/>
    <mergeCell ref="F60:F61"/>
    <mergeCell ref="A58:A59"/>
    <mergeCell ref="B58:B59"/>
    <mergeCell ref="C58:C59"/>
    <mergeCell ref="D58:D59"/>
    <mergeCell ref="F58:F59"/>
    <mergeCell ref="A55:A57"/>
    <mergeCell ref="B55:B57"/>
    <mergeCell ref="C55:C57"/>
    <mergeCell ref="D55:D57"/>
    <mergeCell ref="F55:F57"/>
    <mergeCell ref="A53:A54"/>
    <mergeCell ref="B53:B54"/>
    <mergeCell ref="C53:C54"/>
    <mergeCell ref="D53:D54"/>
    <mergeCell ref="F53:F54"/>
    <mergeCell ref="A49:A51"/>
    <mergeCell ref="B49:B51"/>
    <mergeCell ref="C49:C51"/>
    <mergeCell ref="D49:D51"/>
    <mergeCell ref="F49:F51"/>
    <mergeCell ref="I6:J6"/>
    <mergeCell ref="A9:L9"/>
    <mergeCell ref="A10:C10"/>
    <mergeCell ref="A11:C11"/>
    <mergeCell ref="L12:L13"/>
    <mergeCell ref="A12:A13"/>
    <mergeCell ref="B12:B13"/>
    <mergeCell ref="C12:C13"/>
    <mergeCell ref="D12:D13"/>
    <mergeCell ref="E12:E13"/>
    <mergeCell ref="F12:F13"/>
    <mergeCell ref="G12:G13"/>
    <mergeCell ref="H12:H13"/>
    <mergeCell ref="I12:I13"/>
    <mergeCell ref="J12:J13"/>
    <mergeCell ref="D10:K10"/>
    <mergeCell ref="K12:K13"/>
    <mergeCell ref="A83:A85"/>
    <mergeCell ref="B83:B85"/>
    <mergeCell ref="C83:C85"/>
    <mergeCell ref="D83:D85"/>
    <mergeCell ref="F83:F85"/>
    <mergeCell ref="A44:A46"/>
    <mergeCell ref="B44:B46"/>
    <mergeCell ref="C44:C46"/>
    <mergeCell ref="D44:D46"/>
    <mergeCell ref="F44:F46"/>
    <mergeCell ref="A47:A48"/>
    <mergeCell ref="B47:B48"/>
    <mergeCell ref="C47:C48"/>
    <mergeCell ref="D47:D48"/>
    <mergeCell ref="F47:F48"/>
    <mergeCell ref="A94:J94"/>
    <mergeCell ref="A87:A88"/>
    <mergeCell ref="B87:B88"/>
    <mergeCell ref="C87:C88"/>
    <mergeCell ref="D87:D88"/>
    <mergeCell ref="F87:F88"/>
  </mergeCells>
  <pageMargins left="1.1811023622047245" right="0.39370078740157483" top="0.78740157480314965" bottom="0.78740157480314965" header="0.31496062992125984" footer="0.31496062992125984"/>
  <pageSetup paperSize="9" scale="37" orientation="landscape" r:id="rId1"/>
  <rowBreaks count="5" manualBreakCount="5">
    <brk id="21" max="11" man="1"/>
    <brk id="29" max="11" man="1"/>
    <brk id="57" max="11" man="1"/>
    <brk id="69" max="11" man="1"/>
    <brk id="79"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32"/>
  <sheetViews>
    <sheetView tabSelected="1" view="pageBreakPreview" zoomScaleNormal="100" zoomScaleSheetLayoutView="100" workbookViewId="0">
      <selection activeCell="A6" sqref="A6:H6"/>
    </sheetView>
  </sheetViews>
  <sheetFormatPr defaultRowHeight="15.75" x14ac:dyDescent="0.25"/>
  <cols>
    <col min="1" max="1" width="12.85546875" style="77" customWidth="1"/>
    <col min="2" max="2" width="13" style="77" customWidth="1"/>
    <col min="3" max="3" width="13.42578125" style="195" customWidth="1"/>
    <col min="4" max="4" width="25.5703125" style="77" customWidth="1"/>
    <col min="5" max="5" width="50.5703125" style="77" customWidth="1"/>
    <col min="6" max="6" width="19.140625" style="77" customWidth="1"/>
    <col min="7" max="7" width="16.42578125" style="77" customWidth="1"/>
    <col min="8" max="8" width="13.7109375" style="77" customWidth="1"/>
    <col min="9" max="256" width="8.85546875" style="77"/>
    <col min="257" max="257" width="12.85546875" style="77" customWidth="1"/>
    <col min="258" max="258" width="13" style="77" customWidth="1"/>
    <col min="259" max="259" width="13.42578125" style="77" customWidth="1"/>
    <col min="260" max="260" width="25.5703125" style="77" customWidth="1"/>
    <col min="261" max="261" width="50.5703125" style="77" customWidth="1"/>
    <col min="262" max="262" width="19.140625" style="77" customWidth="1"/>
    <col min="263" max="263" width="16.42578125" style="77" customWidth="1"/>
    <col min="264" max="264" width="13.7109375" style="77" customWidth="1"/>
    <col min="265" max="512" width="8.85546875" style="77"/>
    <col min="513" max="513" width="12.85546875" style="77" customWidth="1"/>
    <col min="514" max="514" width="13" style="77" customWidth="1"/>
    <col min="515" max="515" width="13.42578125" style="77" customWidth="1"/>
    <col min="516" max="516" width="25.5703125" style="77" customWidth="1"/>
    <col min="517" max="517" width="50.5703125" style="77" customWidth="1"/>
    <col min="518" max="518" width="19.140625" style="77" customWidth="1"/>
    <col min="519" max="519" width="16.42578125" style="77" customWidth="1"/>
    <col min="520" max="520" width="13.7109375" style="77" customWidth="1"/>
    <col min="521" max="768" width="8.85546875" style="77"/>
    <col min="769" max="769" width="12.85546875" style="77" customWidth="1"/>
    <col min="770" max="770" width="13" style="77" customWidth="1"/>
    <col min="771" max="771" width="13.42578125" style="77" customWidth="1"/>
    <col min="772" max="772" width="25.5703125" style="77" customWidth="1"/>
    <col min="773" max="773" width="50.5703125" style="77" customWidth="1"/>
    <col min="774" max="774" width="19.140625" style="77" customWidth="1"/>
    <col min="775" max="775" width="16.42578125" style="77" customWidth="1"/>
    <col min="776" max="776" width="13.7109375" style="77" customWidth="1"/>
    <col min="777" max="1024" width="8.85546875" style="77"/>
    <col min="1025" max="1025" width="12.85546875" style="77" customWidth="1"/>
    <col min="1026" max="1026" width="13" style="77" customWidth="1"/>
    <col min="1027" max="1027" width="13.42578125" style="77" customWidth="1"/>
    <col min="1028" max="1028" width="25.5703125" style="77" customWidth="1"/>
    <col min="1029" max="1029" width="50.5703125" style="77" customWidth="1"/>
    <col min="1030" max="1030" width="19.140625" style="77" customWidth="1"/>
    <col min="1031" max="1031" width="16.42578125" style="77" customWidth="1"/>
    <col min="1032" max="1032" width="13.7109375" style="77" customWidth="1"/>
    <col min="1033" max="1280" width="8.85546875" style="77"/>
    <col min="1281" max="1281" width="12.85546875" style="77" customWidth="1"/>
    <col min="1282" max="1282" width="13" style="77" customWidth="1"/>
    <col min="1283" max="1283" width="13.42578125" style="77" customWidth="1"/>
    <col min="1284" max="1284" width="25.5703125" style="77" customWidth="1"/>
    <col min="1285" max="1285" width="50.5703125" style="77" customWidth="1"/>
    <col min="1286" max="1286" width="19.140625" style="77" customWidth="1"/>
    <col min="1287" max="1287" width="16.42578125" style="77" customWidth="1"/>
    <col min="1288" max="1288" width="13.7109375" style="77" customWidth="1"/>
    <col min="1289" max="1536" width="8.85546875" style="77"/>
    <col min="1537" max="1537" width="12.85546875" style="77" customWidth="1"/>
    <col min="1538" max="1538" width="13" style="77" customWidth="1"/>
    <col min="1539" max="1539" width="13.42578125" style="77" customWidth="1"/>
    <col min="1540" max="1540" width="25.5703125" style="77" customWidth="1"/>
    <col min="1541" max="1541" width="50.5703125" style="77" customWidth="1"/>
    <col min="1542" max="1542" width="19.140625" style="77" customWidth="1"/>
    <col min="1543" max="1543" width="16.42578125" style="77" customWidth="1"/>
    <col min="1544" max="1544" width="13.7109375" style="77" customWidth="1"/>
    <col min="1545" max="1792" width="8.85546875" style="77"/>
    <col min="1793" max="1793" width="12.85546875" style="77" customWidth="1"/>
    <col min="1794" max="1794" width="13" style="77" customWidth="1"/>
    <col min="1795" max="1795" width="13.42578125" style="77" customWidth="1"/>
    <col min="1796" max="1796" width="25.5703125" style="77" customWidth="1"/>
    <col min="1797" max="1797" width="50.5703125" style="77" customWidth="1"/>
    <col min="1798" max="1798" width="19.140625" style="77" customWidth="1"/>
    <col min="1799" max="1799" width="16.42578125" style="77" customWidth="1"/>
    <col min="1800" max="1800" width="13.7109375" style="77" customWidth="1"/>
    <col min="1801" max="2048" width="8.85546875" style="77"/>
    <col min="2049" max="2049" width="12.85546875" style="77" customWidth="1"/>
    <col min="2050" max="2050" width="13" style="77" customWidth="1"/>
    <col min="2051" max="2051" width="13.42578125" style="77" customWidth="1"/>
    <col min="2052" max="2052" width="25.5703125" style="77" customWidth="1"/>
    <col min="2053" max="2053" width="50.5703125" style="77" customWidth="1"/>
    <col min="2054" max="2054" width="19.140625" style="77" customWidth="1"/>
    <col min="2055" max="2055" width="16.42578125" style="77" customWidth="1"/>
    <col min="2056" max="2056" width="13.7109375" style="77" customWidth="1"/>
    <col min="2057" max="2304" width="8.85546875" style="77"/>
    <col min="2305" max="2305" width="12.85546875" style="77" customWidth="1"/>
    <col min="2306" max="2306" width="13" style="77" customWidth="1"/>
    <col min="2307" max="2307" width="13.42578125" style="77" customWidth="1"/>
    <col min="2308" max="2308" width="25.5703125" style="77" customWidth="1"/>
    <col min="2309" max="2309" width="50.5703125" style="77" customWidth="1"/>
    <col min="2310" max="2310" width="19.140625" style="77" customWidth="1"/>
    <col min="2311" max="2311" width="16.42578125" style="77" customWidth="1"/>
    <col min="2312" max="2312" width="13.7109375" style="77" customWidth="1"/>
    <col min="2313" max="2560" width="8.85546875" style="77"/>
    <col min="2561" max="2561" width="12.85546875" style="77" customWidth="1"/>
    <col min="2562" max="2562" width="13" style="77" customWidth="1"/>
    <col min="2563" max="2563" width="13.42578125" style="77" customWidth="1"/>
    <col min="2564" max="2564" width="25.5703125" style="77" customWidth="1"/>
    <col min="2565" max="2565" width="50.5703125" style="77" customWidth="1"/>
    <col min="2566" max="2566" width="19.140625" style="77" customWidth="1"/>
    <col min="2567" max="2567" width="16.42578125" style="77" customWidth="1"/>
    <col min="2568" max="2568" width="13.7109375" style="77" customWidth="1"/>
    <col min="2569" max="2816" width="8.85546875" style="77"/>
    <col min="2817" max="2817" width="12.85546875" style="77" customWidth="1"/>
    <col min="2818" max="2818" width="13" style="77" customWidth="1"/>
    <col min="2819" max="2819" width="13.42578125" style="77" customWidth="1"/>
    <col min="2820" max="2820" width="25.5703125" style="77" customWidth="1"/>
    <col min="2821" max="2821" width="50.5703125" style="77" customWidth="1"/>
    <col min="2822" max="2822" width="19.140625" style="77" customWidth="1"/>
    <col min="2823" max="2823" width="16.42578125" style="77" customWidth="1"/>
    <col min="2824" max="2824" width="13.7109375" style="77" customWidth="1"/>
    <col min="2825" max="3072" width="8.85546875" style="77"/>
    <col min="3073" max="3073" width="12.85546875" style="77" customWidth="1"/>
    <col min="3074" max="3074" width="13" style="77" customWidth="1"/>
    <col min="3075" max="3075" width="13.42578125" style="77" customWidth="1"/>
    <col min="3076" max="3076" width="25.5703125" style="77" customWidth="1"/>
    <col min="3077" max="3077" width="50.5703125" style="77" customWidth="1"/>
    <col min="3078" max="3078" width="19.140625" style="77" customWidth="1"/>
    <col min="3079" max="3079" width="16.42578125" style="77" customWidth="1"/>
    <col min="3080" max="3080" width="13.7109375" style="77" customWidth="1"/>
    <col min="3081" max="3328" width="8.85546875" style="77"/>
    <col min="3329" max="3329" width="12.85546875" style="77" customWidth="1"/>
    <col min="3330" max="3330" width="13" style="77" customWidth="1"/>
    <col min="3331" max="3331" width="13.42578125" style="77" customWidth="1"/>
    <col min="3332" max="3332" width="25.5703125" style="77" customWidth="1"/>
    <col min="3333" max="3333" width="50.5703125" style="77" customWidth="1"/>
    <col min="3334" max="3334" width="19.140625" style="77" customWidth="1"/>
    <col min="3335" max="3335" width="16.42578125" style="77" customWidth="1"/>
    <col min="3336" max="3336" width="13.7109375" style="77" customWidth="1"/>
    <col min="3337" max="3584" width="8.85546875" style="77"/>
    <col min="3585" max="3585" width="12.85546875" style="77" customWidth="1"/>
    <col min="3586" max="3586" width="13" style="77" customWidth="1"/>
    <col min="3587" max="3587" width="13.42578125" style="77" customWidth="1"/>
    <col min="3588" max="3588" width="25.5703125" style="77" customWidth="1"/>
    <col min="3589" max="3589" width="50.5703125" style="77" customWidth="1"/>
    <col min="3590" max="3590" width="19.140625" style="77" customWidth="1"/>
    <col min="3591" max="3591" width="16.42578125" style="77" customWidth="1"/>
    <col min="3592" max="3592" width="13.7109375" style="77" customWidth="1"/>
    <col min="3593" max="3840" width="8.85546875" style="77"/>
    <col min="3841" max="3841" width="12.85546875" style="77" customWidth="1"/>
    <col min="3842" max="3842" width="13" style="77" customWidth="1"/>
    <col min="3843" max="3843" width="13.42578125" style="77" customWidth="1"/>
    <col min="3844" max="3844" width="25.5703125" style="77" customWidth="1"/>
    <col min="3845" max="3845" width="50.5703125" style="77" customWidth="1"/>
    <col min="3846" max="3846" width="19.140625" style="77" customWidth="1"/>
    <col min="3847" max="3847" width="16.42578125" style="77" customWidth="1"/>
    <col min="3848" max="3848" width="13.7109375" style="77" customWidth="1"/>
    <col min="3849" max="4096" width="8.85546875" style="77"/>
    <col min="4097" max="4097" width="12.85546875" style="77" customWidth="1"/>
    <col min="4098" max="4098" width="13" style="77" customWidth="1"/>
    <col min="4099" max="4099" width="13.42578125" style="77" customWidth="1"/>
    <col min="4100" max="4100" width="25.5703125" style="77" customWidth="1"/>
    <col min="4101" max="4101" width="50.5703125" style="77" customWidth="1"/>
    <col min="4102" max="4102" width="19.140625" style="77" customWidth="1"/>
    <col min="4103" max="4103" width="16.42578125" style="77" customWidth="1"/>
    <col min="4104" max="4104" width="13.7109375" style="77" customWidth="1"/>
    <col min="4105" max="4352" width="8.85546875" style="77"/>
    <col min="4353" max="4353" width="12.85546875" style="77" customWidth="1"/>
    <col min="4354" max="4354" width="13" style="77" customWidth="1"/>
    <col min="4355" max="4355" width="13.42578125" style="77" customWidth="1"/>
    <col min="4356" max="4356" width="25.5703125" style="77" customWidth="1"/>
    <col min="4357" max="4357" width="50.5703125" style="77" customWidth="1"/>
    <col min="4358" max="4358" width="19.140625" style="77" customWidth="1"/>
    <col min="4359" max="4359" width="16.42578125" style="77" customWidth="1"/>
    <col min="4360" max="4360" width="13.7109375" style="77" customWidth="1"/>
    <col min="4361" max="4608" width="8.85546875" style="77"/>
    <col min="4609" max="4609" width="12.85546875" style="77" customWidth="1"/>
    <col min="4610" max="4610" width="13" style="77" customWidth="1"/>
    <col min="4611" max="4611" width="13.42578125" style="77" customWidth="1"/>
    <col min="4612" max="4612" width="25.5703125" style="77" customWidth="1"/>
    <col min="4613" max="4613" width="50.5703125" style="77" customWidth="1"/>
    <col min="4614" max="4614" width="19.140625" style="77" customWidth="1"/>
    <col min="4615" max="4615" width="16.42578125" style="77" customWidth="1"/>
    <col min="4616" max="4616" width="13.7109375" style="77" customWidth="1"/>
    <col min="4617" max="4864" width="8.85546875" style="77"/>
    <col min="4865" max="4865" width="12.85546875" style="77" customWidth="1"/>
    <col min="4866" max="4866" width="13" style="77" customWidth="1"/>
    <col min="4867" max="4867" width="13.42578125" style="77" customWidth="1"/>
    <col min="4868" max="4868" width="25.5703125" style="77" customWidth="1"/>
    <col min="4869" max="4869" width="50.5703125" style="77" customWidth="1"/>
    <col min="4870" max="4870" width="19.140625" style="77" customWidth="1"/>
    <col min="4871" max="4871" width="16.42578125" style="77" customWidth="1"/>
    <col min="4872" max="4872" width="13.7109375" style="77" customWidth="1"/>
    <col min="4873" max="5120" width="8.85546875" style="77"/>
    <col min="5121" max="5121" width="12.85546875" style="77" customWidth="1"/>
    <col min="5122" max="5122" width="13" style="77" customWidth="1"/>
    <col min="5123" max="5123" width="13.42578125" style="77" customWidth="1"/>
    <col min="5124" max="5124" width="25.5703125" style="77" customWidth="1"/>
    <col min="5125" max="5125" width="50.5703125" style="77" customWidth="1"/>
    <col min="5126" max="5126" width="19.140625" style="77" customWidth="1"/>
    <col min="5127" max="5127" width="16.42578125" style="77" customWidth="1"/>
    <col min="5128" max="5128" width="13.7109375" style="77" customWidth="1"/>
    <col min="5129" max="5376" width="8.85546875" style="77"/>
    <col min="5377" max="5377" width="12.85546875" style="77" customWidth="1"/>
    <col min="5378" max="5378" width="13" style="77" customWidth="1"/>
    <col min="5379" max="5379" width="13.42578125" style="77" customWidth="1"/>
    <col min="5380" max="5380" width="25.5703125" style="77" customWidth="1"/>
    <col min="5381" max="5381" width="50.5703125" style="77" customWidth="1"/>
    <col min="5382" max="5382" width="19.140625" style="77" customWidth="1"/>
    <col min="5383" max="5383" width="16.42578125" style="77" customWidth="1"/>
    <col min="5384" max="5384" width="13.7109375" style="77" customWidth="1"/>
    <col min="5385" max="5632" width="8.85546875" style="77"/>
    <col min="5633" max="5633" width="12.85546875" style="77" customWidth="1"/>
    <col min="5634" max="5634" width="13" style="77" customWidth="1"/>
    <col min="5635" max="5635" width="13.42578125" style="77" customWidth="1"/>
    <col min="5636" max="5636" width="25.5703125" style="77" customWidth="1"/>
    <col min="5637" max="5637" width="50.5703125" style="77" customWidth="1"/>
    <col min="5638" max="5638" width="19.140625" style="77" customWidth="1"/>
    <col min="5639" max="5639" width="16.42578125" style="77" customWidth="1"/>
    <col min="5640" max="5640" width="13.7109375" style="77" customWidth="1"/>
    <col min="5641" max="5888" width="8.85546875" style="77"/>
    <col min="5889" max="5889" width="12.85546875" style="77" customWidth="1"/>
    <col min="5890" max="5890" width="13" style="77" customWidth="1"/>
    <col min="5891" max="5891" width="13.42578125" style="77" customWidth="1"/>
    <col min="5892" max="5892" width="25.5703125" style="77" customWidth="1"/>
    <col min="5893" max="5893" width="50.5703125" style="77" customWidth="1"/>
    <col min="5894" max="5894" width="19.140625" style="77" customWidth="1"/>
    <col min="5895" max="5895" width="16.42578125" style="77" customWidth="1"/>
    <col min="5896" max="5896" width="13.7109375" style="77" customWidth="1"/>
    <col min="5897" max="6144" width="8.85546875" style="77"/>
    <col min="6145" max="6145" width="12.85546875" style="77" customWidth="1"/>
    <col min="6146" max="6146" width="13" style="77" customWidth="1"/>
    <col min="6147" max="6147" width="13.42578125" style="77" customWidth="1"/>
    <col min="6148" max="6148" width="25.5703125" style="77" customWidth="1"/>
    <col min="6149" max="6149" width="50.5703125" style="77" customWidth="1"/>
    <col min="6150" max="6150" width="19.140625" style="77" customWidth="1"/>
    <col min="6151" max="6151" width="16.42578125" style="77" customWidth="1"/>
    <col min="6152" max="6152" width="13.7109375" style="77" customWidth="1"/>
    <col min="6153" max="6400" width="8.85546875" style="77"/>
    <col min="6401" max="6401" width="12.85546875" style="77" customWidth="1"/>
    <col min="6402" max="6402" width="13" style="77" customWidth="1"/>
    <col min="6403" max="6403" width="13.42578125" style="77" customWidth="1"/>
    <col min="6404" max="6404" width="25.5703125" style="77" customWidth="1"/>
    <col min="6405" max="6405" width="50.5703125" style="77" customWidth="1"/>
    <col min="6406" max="6406" width="19.140625" style="77" customWidth="1"/>
    <col min="6407" max="6407" width="16.42578125" style="77" customWidth="1"/>
    <col min="6408" max="6408" width="13.7109375" style="77" customWidth="1"/>
    <col min="6409" max="6656" width="8.85546875" style="77"/>
    <col min="6657" max="6657" width="12.85546875" style="77" customWidth="1"/>
    <col min="6658" max="6658" width="13" style="77" customWidth="1"/>
    <col min="6659" max="6659" width="13.42578125" style="77" customWidth="1"/>
    <col min="6660" max="6660" width="25.5703125" style="77" customWidth="1"/>
    <col min="6661" max="6661" width="50.5703125" style="77" customWidth="1"/>
    <col min="6662" max="6662" width="19.140625" style="77" customWidth="1"/>
    <col min="6663" max="6663" width="16.42578125" style="77" customWidth="1"/>
    <col min="6664" max="6664" width="13.7109375" style="77" customWidth="1"/>
    <col min="6665" max="6912" width="8.85546875" style="77"/>
    <col min="6913" max="6913" width="12.85546875" style="77" customWidth="1"/>
    <col min="6914" max="6914" width="13" style="77" customWidth="1"/>
    <col min="6915" max="6915" width="13.42578125" style="77" customWidth="1"/>
    <col min="6916" max="6916" width="25.5703125" style="77" customWidth="1"/>
    <col min="6917" max="6917" width="50.5703125" style="77" customWidth="1"/>
    <col min="6918" max="6918" width="19.140625" style="77" customWidth="1"/>
    <col min="6919" max="6919" width="16.42578125" style="77" customWidth="1"/>
    <col min="6920" max="6920" width="13.7109375" style="77" customWidth="1"/>
    <col min="6921" max="7168" width="8.85546875" style="77"/>
    <col min="7169" max="7169" width="12.85546875" style="77" customWidth="1"/>
    <col min="7170" max="7170" width="13" style="77" customWidth="1"/>
    <col min="7171" max="7171" width="13.42578125" style="77" customWidth="1"/>
    <col min="7172" max="7172" width="25.5703125" style="77" customWidth="1"/>
    <col min="7173" max="7173" width="50.5703125" style="77" customWidth="1"/>
    <col min="7174" max="7174" width="19.140625" style="77" customWidth="1"/>
    <col min="7175" max="7175" width="16.42578125" style="77" customWidth="1"/>
    <col min="7176" max="7176" width="13.7109375" style="77" customWidth="1"/>
    <col min="7177" max="7424" width="8.85546875" style="77"/>
    <col min="7425" max="7425" width="12.85546875" style="77" customWidth="1"/>
    <col min="7426" max="7426" width="13" style="77" customWidth="1"/>
    <col min="7427" max="7427" width="13.42578125" style="77" customWidth="1"/>
    <col min="7428" max="7428" width="25.5703125" style="77" customWidth="1"/>
    <col min="7429" max="7429" width="50.5703125" style="77" customWidth="1"/>
    <col min="7430" max="7430" width="19.140625" style="77" customWidth="1"/>
    <col min="7431" max="7431" width="16.42578125" style="77" customWidth="1"/>
    <col min="7432" max="7432" width="13.7109375" style="77" customWidth="1"/>
    <col min="7433" max="7680" width="8.85546875" style="77"/>
    <col min="7681" max="7681" width="12.85546875" style="77" customWidth="1"/>
    <col min="7682" max="7682" width="13" style="77" customWidth="1"/>
    <col min="7683" max="7683" width="13.42578125" style="77" customWidth="1"/>
    <col min="7684" max="7684" width="25.5703125" style="77" customWidth="1"/>
    <col min="7685" max="7685" width="50.5703125" style="77" customWidth="1"/>
    <col min="7686" max="7686" width="19.140625" style="77" customWidth="1"/>
    <col min="7687" max="7687" width="16.42578125" style="77" customWidth="1"/>
    <col min="7688" max="7688" width="13.7109375" style="77" customWidth="1"/>
    <col min="7689" max="7936" width="8.85546875" style="77"/>
    <col min="7937" max="7937" width="12.85546875" style="77" customWidth="1"/>
    <col min="7938" max="7938" width="13" style="77" customWidth="1"/>
    <col min="7939" max="7939" width="13.42578125" style="77" customWidth="1"/>
    <col min="7940" max="7940" width="25.5703125" style="77" customWidth="1"/>
    <col min="7941" max="7941" width="50.5703125" style="77" customWidth="1"/>
    <col min="7942" max="7942" width="19.140625" style="77" customWidth="1"/>
    <col min="7943" max="7943" width="16.42578125" style="77" customWidth="1"/>
    <col min="7944" max="7944" width="13.7109375" style="77" customWidth="1"/>
    <col min="7945" max="8192" width="8.85546875" style="77"/>
    <col min="8193" max="8193" width="12.85546875" style="77" customWidth="1"/>
    <col min="8194" max="8194" width="13" style="77" customWidth="1"/>
    <col min="8195" max="8195" width="13.42578125" style="77" customWidth="1"/>
    <col min="8196" max="8196" width="25.5703125" style="77" customWidth="1"/>
    <col min="8197" max="8197" width="50.5703125" style="77" customWidth="1"/>
    <col min="8198" max="8198" width="19.140625" style="77" customWidth="1"/>
    <col min="8199" max="8199" width="16.42578125" style="77" customWidth="1"/>
    <col min="8200" max="8200" width="13.7109375" style="77" customWidth="1"/>
    <col min="8201" max="8448" width="8.85546875" style="77"/>
    <col min="8449" max="8449" width="12.85546875" style="77" customWidth="1"/>
    <col min="8450" max="8450" width="13" style="77" customWidth="1"/>
    <col min="8451" max="8451" width="13.42578125" style="77" customWidth="1"/>
    <col min="8452" max="8452" width="25.5703125" style="77" customWidth="1"/>
    <col min="8453" max="8453" width="50.5703125" style="77" customWidth="1"/>
    <col min="8454" max="8454" width="19.140625" style="77" customWidth="1"/>
    <col min="8455" max="8455" width="16.42578125" style="77" customWidth="1"/>
    <col min="8456" max="8456" width="13.7109375" style="77" customWidth="1"/>
    <col min="8457" max="8704" width="8.85546875" style="77"/>
    <col min="8705" max="8705" width="12.85546875" style="77" customWidth="1"/>
    <col min="8706" max="8706" width="13" style="77" customWidth="1"/>
    <col min="8707" max="8707" width="13.42578125" style="77" customWidth="1"/>
    <col min="8708" max="8708" width="25.5703125" style="77" customWidth="1"/>
    <col min="8709" max="8709" width="50.5703125" style="77" customWidth="1"/>
    <col min="8710" max="8710" width="19.140625" style="77" customWidth="1"/>
    <col min="8711" max="8711" width="16.42578125" style="77" customWidth="1"/>
    <col min="8712" max="8712" width="13.7109375" style="77" customWidth="1"/>
    <col min="8713" max="8960" width="8.85546875" style="77"/>
    <col min="8961" max="8961" width="12.85546875" style="77" customWidth="1"/>
    <col min="8962" max="8962" width="13" style="77" customWidth="1"/>
    <col min="8963" max="8963" width="13.42578125" style="77" customWidth="1"/>
    <col min="8964" max="8964" width="25.5703125" style="77" customWidth="1"/>
    <col min="8965" max="8965" width="50.5703125" style="77" customWidth="1"/>
    <col min="8966" max="8966" width="19.140625" style="77" customWidth="1"/>
    <col min="8967" max="8967" width="16.42578125" style="77" customWidth="1"/>
    <col min="8968" max="8968" width="13.7109375" style="77" customWidth="1"/>
    <col min="8969" max="9216" width="8.85546875" style="77"/>
    <col min="9217" max="9217" width="12.85546875" style="77" customWidth="1"/>
    <col min="9218" max="9218" width="13" style="77" customWidth="1"/>
    <col min="9219" max="9219" width="13.42578125" style="77" customWidth="1"/>
    <col min="9220" max="9220" width="25.5703125" style="77" customWidth="1"/>
    <col min="9221" max="9221" width="50.5703125" style="77" customWidth="1"/>
    <col min="9222" max="9222" width="19.140625" style="77" customWidth="1"/>
    <col min="9223" max="9223" width="16.42578125" style="77" customWidth="1"/>
    <col min="9224" max="9224" width="13.7109375" style="77" customWidth="1"/>
    <col min="9225" max="9472" width="8.85546875" style="77"/>
    <col min="9473" max="9473" width="12.85546875" style="77" customWidth="1"/>
    <col min="9474" max="9474" width="13" style="77" customWidth="1"/>
    <col min="9475" max="9475" width="13.42578125" style="77" customWidth="1"/>
    <col min="9476" max="9476" width="25.5703125" style="77" customWidth="1"/>
    <col min="9477" max="9477" width="50.5703125" style="77" customWidth="1"/>
    <col min="9478" max="9478" width="19.140625" style="77" customWidth="1"/>
    <col min="9479" max="9479" width="16.42578125" style="77" customWidth="1"/>
    <col min="9480" max="9480" width="13.7109375" style="77" customWidth="1"/>
    <col min="9481" max="9728" width="8.85546875" style="77"/>
    <col min="9729" max="9729" width="12.85546875" style="77" customWidth="1"/>
    <col min="9730" max="9730" width="13" style="77" customWidth="1"/>
    <col min="9731" max="9731" width="13.42578125" style="77" customWidth="1"/>
    <col min="9732" max="9732" width="25.5703125" style="77" customWidth="1"/>
    <col min="9733" max="9733" width="50.5703125" style="77" customWidth="1"/>
    <col min="9734" max="9734" width="19.140625" style="77" customWidth="1"/>
    <col min="9735" max="9735" width="16.42578125" style="77" customWidth="1"/>
    <col min="9736" max="9736" width="13.7109375" style="77" customWidth="1"/>
    <col min="9737" max="9984" width="8.85546875" style="77"/>
    <col min="9985" max="9985" width="12.85546875" style="77" customWidth="1"/>
    <col min="9986" max="9986" width="13" style="77" customWidth="1"/>
    <col min="9987" max="9987" width="13.42578125" style="77" customWidth="1"/>
    <col min="9988" max="9988" width="25.5703125" style="77" customWidth="1"/>
    <col min="9989" max="9989" width="50.5703125" style="77" customWidth="1"/>
    <col min="9990" max="9990" width="19.140625" style="77" customWidth="1"/>
    <col min="9991" max="9991" width="16.42578125" style="77" customWidth="1"/>
    <col min="9992" max="9992" width="13.7109375" style="77" customWidth="1"/>
    <col min="9993" max="10240" width="8.85546875" style="77"/>
    <col min="10241" max="10241" width="12.85546875" style="77" customWidth="1"/>
    <col min="10242" max="10242" width="13" style="77" customWidth="1"/>
    <col min="10243" max="10243" width="13.42578125" style="77" customWidth="1"/>
    <col min="10244" max="10244" width="25.5703125" style="77" customWidth="1"/>
    <col min="10245" max="10245" width="50.5703125" style="77" customWidth="1"/>
    <col min="10246" max="10246" width="19.140625" style="77" customWidth="1"/>
    <col min="10247" max="10247" width="16.42578125" style="77" customWidth="1"/>
    <col min="10248" max="10248" width="13.7109375" style="77" customWidth="1"/>
    <col min="10249" max="10496" width="8.85546875" style="77"/>
    <col min="10497" max="10497" width="12.85546875" style="77" customWidth="1"/>
    <col min="10498" max="10498" width="13" style="77" customWidth="1"/>
    <col min="10499" max="10499" width="13.42578125" style="77" customWidth="1"/>
    <col min="10500" max="10500" width="25.5703125" style="77" customWidth="1"/>
    <col min="10501" max="10501" width="50.5703125" style="77" customWidth="1"/>
    <col min="10502" max="10502" width="19.140625" style="77" customWidth="1"/>
    <col min="10503" max="10503" width="16.42578125" style="77" customWidth="1"/>
    <col min="10504" max="10504" width="13.7109375" style="77" customWidth="1"/>
    <col min="10505" max="10752" width="8.85546875" style="77"/>
    <col min="10753" max="10753" width="12.85546875" style="77" customWidth="1"/>
    <col min="10754" max="10754" width="13" style="77" customWidth="1"/>
    <col min="10755" max="10755" width="13.42578125" style="77" customWidth="1"/>
    <col min="10756" max="10756" width="25.5703125" style="77" customWidth="1"/>
    <col min="10757" max="10757" width="50.5703125" style="77" customWidth="1"/>
    <col min="10758" max="10758" width="19.140625" style="77" customWidth="1"/>
    <col min="10759" max="10759" width="16.42578125" style="77" customWidth="1"/>
    <col min="10760" max="10760" width="13.7109375" style="77" customWidth="1"/>
    <col min="10761" max="11008" width="8.85546875" style="77"/>
    <col min="11009" max="11009" width="12.85546875" style="77" customWidth="1"/>
    <col min="11010" max="11010" width="13" style="77" customWidth="1"/>
    <col min="11011" max="11011" width="13.42578125" style="77" customWidth="1"/>
    <col min="11012" max="11012" width="25.5703125" style="77" customWidth="1"/>
    <col min="11013" max="11013" width="50.5703125" style="77" customWidth="1"/>
    <col min="11014" max="11014" width="19.140625" style="77" customWidth="1"/>
    <col min="11015" max="11015" width="16.42578125" style="77" customWidth="1"/>
    <col min="11016" max="11016" width="13.7109375" style="77" customWidth="1"/>
    <col min="11017" max="11264" width="8.85546875" style="77"/>
    <col min="11265" max="11265" width="12.85546875" style="77" customWidth="1"/>
    <col min="11266" max="11266" width="13" style="77" customWidth="1"/>
    <col min="11267" max="11267" width="13.42578125" style="77" customWidth="1"/>
    <col min="11268" max="11268" width="25.5703125" style="77" customWidth="1"/>
    <col min="11269" max="11269" width="50.5703125" style="77" customWidth="1"/>
    <col min="11270" max="11270" width="19.140625" style="77" customWidth="1"/>
    <col min="11271" max="11271" width="16.42578125" style="77" customWidth="1"/>
    <col min="11272" max="11272" width="13.7109375" style="77" customWidth="1"/>
    <col min="11273" max="11520" width="8.85546875" style="77"/>
    <col min="11521" max="11521" width="12.85546875" style="77" customWidth="1"/>
    <col min="11522" max="11522" width="13" style="77" customWidth="1"/>
    <col min="11523" max="11523" width="13.42578125" style="77" customWidth="1"/>
    <col min="11524" max="11524" width="25.5703125" style="77" customWidth="1"/>
    <col min="11525" max="11525" width="50.5703125" style="77" customWidth="1"/>
    <col min="11526" max="11526" width="19.140625" style="77" customWidth="1"/>
    <col min="11527" max="11527" width="16.42578125" style="77" customWidth="1"/>
    <col min="11528" max="11528" width="13.7109375" style="77" customWidth="1"/>
    <col min="11529" max="11776" width="8.85546875" style="77"/>
    <col min="11777" max="11777" width="12.85546875" style="77" customWidth="1"/>
    <col min="11778" max="11778" width="13" style="77" customWidth="1"/>
    <col min="11779" max="11779" width="13.42578125" style="77" customWidth="1"/>
    <col min="11780" max="11780" width="25.5703125" style="77" customWidth="1"/>
    <col min="11781" max="11781" width="50.5703125" style="77" customWidth="1"/>
    <col min="11782" max="11782" width="19.140625" style="77" customWidth="1"/>
    <col min="11783" max="11783" width="16.42578125" style="77" customWidth="1"/>
    <col min="11784" max="11784" width="13.7109375" style="77" customWidth="1"/>
    <col min="11785" max="12032" width="8.85546875" style="77"/>
    <col min="12033" max="12033" width="12.85546875" style="77" customWidth="1"/>
    <col min="12034" max="12034" width="13" style="77" customWidth="1"/>
    <col min="12035" max="12035" width="13.42578125" style="77" customWidth="1"/>
    <col min="12036" max="12036" width="25.5703125" style="77" customWidth="1"/>
    <col min="12037" max="12037" width="50.5703125" style="77" customWidth="1"/>
    <col min="12038" max="12038" width="19.140625" style="77" customWidth="1"/>
    <col min="12039" max="12039" width="16.42578125" style="77" customWidth="1"/>
    <col min="12040" max="12040" width="13.7109375" style="77" customWidth="1"/>
    <col min="12041" max="12288" width="8.85546875" style="77"/>
    <col min="12289" max="12289" width="12.85546875" style="77" customWidth="1"/>
    <col min="12290" max="12290" width="13" style="77" customWidth="1"/>
    <col min="12291" max="12291" width="13.42578125" style="77" customWidth="1"/>
    <col min="12292" max="12292" width="25.5703125" style="77" customWidth="1"/>
    <col min="12293" max="12293" width="50.5703125" style="77" customWidth="1"/>
    <col min="12294" max="12294" width="19.140625" style="77" customWidth="1"/>
    <col min="12295" max="12295" width="16.42578125" style="77" customWidth="1"/>
    <col min="12296" max="12296" width="13.7109375" style="77" customWidth="1"/>
    <col min="12297" max="12544" width="8.85546875" style="77"/>
    <col min="12545" max="12545" width="12.85546875" style="77" customWidth="1"/>
    <col min="12546" max="12546" width="13" style="77" customWidth="1"/>
    <col min="12547" max="12547" width="13.42578125" style="77" customWidth="1"/>
    <col min="12548" max="12548" width="25.5703125" style="77" customWidth="1"/>
    <col min="12549" max="12549" width="50.5703125" style="77" customWidth="1"/>
    <col min="12550" max="12550" width="19.140625" style="77" customWidth="1"/>
    <col min="12551" max="12551" width="16.42578125" style="77" customWidth="1"/>
    <col min="12552" max="12552" width="13.7109375" style="77" customWidth="1"/>
    <col min="12553" max="12800" width="8.85546875" style="77"/>
    <col min="12801" max="12801" width="12.85546875" style="77" customWidth="1"/>
    <col min="12802" max="12802" width="13" style="77" customWidth="1"/>
    <col min="12803" max="12803" width="13.42578125" style="77" customWidth="1"/>
    <col min="12804" max="12804" width="25.5703125" style="77" customWidth="1"/>
    <col min="12805" max="12805" width="50.5703125" style="77" customWidth="1"/>
    <col min="12806" max="12806" width="19.140625" style="77" customWidth="1"/>
    <col min="12807" max="12807" width="16.42578125" style="77" customWidth="1"/>
    <col min="12808" max="12808" width="13.7109375" style="77" customWidth="1"/>
    <col min="12809" max="13056" width="8.85546875" style="77"/>
    <col min="13057" max="13057" width="12.85546875" style="77" customWidth="1"/>
    <col min="13058" max="13058" width="13" style="77" customWidth="1"/>
    <col min="13059" max="13059" width="13.42578125" style="77" customWidth="1"/>
    <col min="13060" max="13060" width="25.5703125" style="77" customWidth="1"/>
    <col min="13061" max="13061" width="50.5703125" style="77" customWidth="1"/>
    <col min="13062" max="13062" width="19.140625" style="77" customWidth="1"/>
    <col min="13063" max="13063" width="16.42578125" style="77" customWidth="1"/>
    <col min="13064" max="13064" width="13.7109375" style="77" customWidth="1"/>
    <col min="13065" max="13312" width="8.85546875" style="77"/>
    <col min="13313" max="13313" width="12.85546875" style="77" customWidth="1"/>
    <col min="13314" max="13314" width="13" style="77" customWidth="1"/>
    <col min="13315" max="13315" width="13.42578125" style="77" customWidth="1"/>
    <col min="13316" max="13316" width="25.5703125" style="77" customWidth="1"/>
    <col min="13317" max="13317" width="50.5703125" style="77" customWidth="1"/>
    <col min="13318" max="13318" width="19.140625" style="77" customWidth="1"/>
    <col min="13319" max="13319" width="16.42578125" style="77" customWidth="1"/>
    <col min="13320" max="13320" width="13.7109375" style="77" customWidth="1"/>
    <col min="13321" max="13568" width="8.85546875" style="77"/>
    <col min="13569" max="13569" width="12.85546875" style="77" customWidth="1"/>
    <col min="13570" max="13570" width="13" style="77" customWidth="1"/>
    <col min="13571" max="13571" width="13.42578125" style="77" customWidth="1"/>
    <col min="13572" max="13572" width="25.5703125" style="77" customWidth="1"/>
    <col min="13573" max="13573" width="50.5703125" style="77" customWidth="1"/>
    <col min="13574" max="13574" width="19.140625" style="77" customWidth="1"/>
    <col min="13575" max="13575" width="16.42578125" style="77" customWidth="1"/>
    <col min="13576" max="13576" width="13.7109375" style="77" customWidth="1"/>
    <col min="13577" max="13824" width="8.85546875" style="77"/>
    <col min="13825" max="13825" width="12.85546875" style="77" customWidth="1"/>
    <col min="13826" max="13826" width="13" style="77" customWidth="1"/>
    <col min="13827" max="13827" width="13.42578125" style="77" customWidth="1"/>
    <col min="13828" max="13828" width="25.5703125" style="77" customWidth="1"/>
    <col min="13829" max="13829" width="50.5703125" style="77" customWidth="1"/>
    <col min="13830" max="13830" width="19.140625" style="77" customWidth="1"/>
    <col min="13831" max="13831" width="16.42578125" style="77" customWidth="1"/>
    <col min="13832" max="13832" width="13.7109375" style="77" customWidth="1"/>
    <col min="13833" max="14080" width="8.85546875" style="77"/>
    <col min="14081" max="14081" width="12.85546875" style="77" customWidth="1"/>
    <col min="14082" max="14082" width="13" style="77" customWidth="1"/>
    <col min="14083" max="14083" width="13.42578125" style="77" customWidth="1"/>
    <col min="14084" max="14084" width="25.5703125" style="77" customWidth="1"/>
    <col min="14085" max="14085" width="50.5703125" style="77" customWidth="1"/>
    <col min="14086" max="14086" width="19.140625" style="77" customWidth="1"/>
    <col min="14087" max="14087" width="16.42578125" style="77" customWidth="1"/>
    <col min="14088" max="14088" width="13.7109375" style="77" customWidth="1"/>
    <col min="14089" max="14336" width="8.85546875" style="77"/>
    <col min="14337" max="14337" width="12.85546875" style="77" customWidth="1"/>
    <col min="14338" max="14338" width="13" style="77" customWidth="1"/>
    <col min="14339" max="14339" width="13.42578125" style="77" customWidth="1"/>
    <col min="14340" max="14340" width="25.5703125" style="77" customWidth="1"/>
    <col min="14341" max="14341" width="50.5703125" style="77" customWidth="1"/>
    <col min="14342" max="14342" width="19.140625" style="77" customWidth="1"/>
    <col min="14343" max="14343" width="16.42578125" style="77" customWidth="1"/>
    <col min="14344" max="14344" width="13.7109375" style="77" customWidth="1"/>
    <col min="14345" max="14592" width="8.85546875" style="77"/>
    <col min="14593" max="14593" width="12.85546875" style="77" customWidth="1"/>
    <col min="14594" max="14594" width="13" style="77" customWidth="1"/>
    <col min="14595" max="14595" width="13.42578125" style="77" customWidth="1"/>
    <col min="14596" max="14596" width="25.5703125" style="77" customWidth="1"/>
    <col min="14597" max="14597" width="50.5703125" style="77" customWidth="1"/>
    <col min="14598" max="14598" width="19.140625" style="77" customWidth="1"/>
    <col min="14599" max="14599" width="16.42578125" style="77" customWidth="1"/>
    <col min="14600" max="14600" width="13.7109375" style="77" customWidth="1"/>
    <col min="14601" max="14848" width="8.85546875" style="77"/>
    <col min="14849" max="14849" width="12.85546875" style="77" customWidth="1"/>
    <col min="14850" max="14850" width="13" style="77" customWidth="1"/>
    <col min="14851" max="14851" width="13.42578125" style="77" customWidth="1"/>
    <col min="14852" max="14852" width="25.5703125" style="77" customWidth="1"/>
    <col min="14853" max="14853" width="50.5703125" style="77" customWidth="1"/>
    <col min="14854" max="14854" width="19.140625" style="77" customWidth="1"/>
    <col min="14855" max="14855" width="16.42578125" style="77" customWidth="1"/>
    <col min="14856" max="14856" width="13.7109375" style="77" customWidth="1"/>
    <col min="14857" max="15104" width="8.85546875" style="77"/>
    <col min="15105" max="15105" width="12.85546875" style="77" customWidth="1"/>
    <col min="15106" max="15106" width="13" style="77" customWidth="1"/>
    <col min="15107" max="15107" width="13.42578125" style="77" customWidth="1"/>
    <col min="15108" max="15108" width="25.5703125" style="77" customWidth="1"/>
    <col min="15109" max="15109" width="50.5703125" style="77" customWidth="1"/>
    <col min="15110" max="15110" width="19.140625" style="77" customWidth="1"/>
    <col min="15111" max="15111" width="16.42578125" style="77" customWidth="1"/>
    <col min="15112" max="15112" width="13.7109375" style="77" customWidth="1"/>
    <col min="15113" max="15360" width="8.85546875" style="77"/>
    <col min="15361" max="15361" width="12.85546875" style="77" customWidth="1"/>
    <col min="15362" max="15362" width="13" style="77" customWidth="1"/>
    <col min="15363" max="15363" width="13.42578125" style="77" customWidth="1"/>
    <col min="15364" max="15364" width="25.5703125" style="77" customWidth="1"/>
    <col min="15365" max="15365" width="50.5703125" style="77" customWidth="1"/>
    <col min="15366" max="15366" width="19.140625" style="77" customWidth="1"/>
    <col min="15367" max="15367" width="16.42578125" style="77" customWidth="1"/>
    <col min="15368" max="15368" width="13.7109375" style="77" customWidth="1"/>
    <col min="15369" max="15616" width="8.85546875" style="77"/>
    <col min="15617" max="15617" width="12.85546875" style="77" customWidth="1"/>
    <col min="15618" max="15618" width="13" style="77" customWidth="1"/>
    <col min="15619" max="15619" width="13.42578125" style="77" customWidth="1"/>
    <col min="15620" max="15620" width="25.5703125" style="77" customWidth="1"/>
    <col min="15621" max="15621" width="50.5703125" style="77" customWidth="1"/>
    <col min="15622" max="15622" width="19.140625" style="77" customWidth="1"/>
    <col min="15623" max="15623" width="16.42578125" style="77" customWidth="1"/>
    <col min="15624" max="15624" width="13.7109375" style="77" customWidth="1"/>
    <col min="15625" max="15872" width="8.85546875" style="77"/>
    <col min="15873" max="15873" width="12.85546875" style="77" customWidth="1"/>
    <col min="15874" max="15874" width="13" style="77" customWidth="1"/>
    <col min="15875" max="15875" width="13.42578125" style="77" customWidth="1"/>
    <col min="15876" max="15876" width="25.5703125" style="77" customWidth="1"/>
    <col min="15877" max="15877" width="50.5703125" style="77" customWidth="1"/>
    <col min="15878" max="15878" width="19.140625" style="77" customWidth="1"/>
    <col min="15879" max="15879" width="16.42578125" style="77" customWidth="1"/>
    <col min="15880" max="15880" width="13.7109375" style="77" customWidth="1"/>
    <col min="15881" max="16128" width="8.85546875" style="77"/>
    <col min="16129" max="16129" width="12.85546875" style="77" customWidth="1"/>
    <col min="16130" max="16130" width="13" style="77" customWidth="1"/>
    <col min="16131" max="16131" width="13.42578125" style="77" customWidth="1"/>
    <col min="16132" max="16132" width="25.5703125" style="77" customWidth="1"/>
    <col min="16133" max="16133" width="50.5703125" style="77" customWidth="1"/>
    <col min="16134" max="16134" width="19.140625" style="77" customWidth="1"/>
    <col min="16135" max="16135" width="16.42578125" style="77" customWidth="1"/>
    <col min="16136" max="16136" width="13.7109375" style="77" customWidth="1"/>
    <col min="16137" max="16384" width="8.85546875" style="77"/>
  </cols>
  <sheetData>
    <row r="1" spans="1:8" x14ac:dyDescent="0.25">
      <c r="F1" s="1077" t="s">
        <v>453</v>
      </c>
      <c r="G1" s="75"/>
      <c r="H1" s="75"/>
    </row>
    <row r="2" spans="1:8" ht="15.6" customHeight="1" x14ac:dyDescent="0.25">
      <c r="F2" s="1157" t="s">
        <v>613</v>
      </c>
      <c r="G2" s="1157"/>
      <c r="H2" s="1157"/>
    </row>
    <row r="3" spans="1:8" ht="15" customHeight="1" x14ac:dyDescent="0.25">
      <c r="F3" s="261" t="s">
        <v>707</v>
      </c>
      <c r="G3" s="262"/>
      <c r="H3" s="262"/>
    </row>
    <row r="4" spans="1:8" x14ac:dyDescent="0.25">
      <c r="F4" s="79" t="s">
        <v>706</v>
      </c>
      <c r="G4" s="263"/>
      <c r="H4" s="263"/>
    </row>
    <row r="5" spans="1:8" ht="15.6" customHeight="1" x14ac:dyDescent="0.25"/>
    <row r="6" spans="1:8" s="197" customFormat="1" ht="36" customHeight="1" x14ac:dyDescent="0.3">
      <c r="A6" s="1330" t="s">
        <v>687</v>
      </c>
      <c r="B6" s="1330"/>
      <c r="C6" s="1330"/>
      <c r="D6" s="1330"/>
      <c r="E6" s="1330"/>
      <c r="F6" s="1330"/>
      <c r="G6" s="1330"/>
      <c r="H6" s="1330"/>
    </row>
    <row r="7" spans="1:8" s="197" customFormat="1" ht="12.6" customHeight="1" x14ac:dyDescent="0.3">
      <c r="A7" s="1294">
        <v>15591000000</v>
      </c>
      <c r="B7" s="1294"/>
      <c r="C7" s="1294"/>
      <c r="D7" s="997"/>
      <c r="E7" s="997"/>
      <c r="F7" s="997"/>
    </row>
    <row r="8" spans="1:8" s="197" customFormat="1" ht="13.15" customHeight="1" x14ac:dyDescent="0.3">
      <c r="A8" s="1295" t="s">
        <v>0</v>
      </c>
      <c r="B8" s="1295"/>
      <c r="C8" s="1295"/>
      <c r="D8" s="997"/>
      <c r="E8" s="997"/>
      <c r="F8" s="997"/>
    </row>
    <row r="9" spans="1:8" ht="15.6" customHeight="1" thickBot="1" x14ac:dyDescent="0.3">
      <c r="A9" s="264"/>
      <c r="B9" s="264"/>
      <c r="C9" s="264"/>
      <c r="D9" s="264"/>
      <c r="E9" s="264"/>
      <c r="G9" s="198" t="s">
        <v>269</v>
      </c>
    </row>
    <row r="10" spans="1:8" ht="55.5" customHeight="1" x14ac:dyDescent="0.25">
      <c r="A10" s="1375" t="s">
        <v>8</v>
      </c>
      <c r="B10" s="1377" t="s">
        <v>9</v>
      </c>
      <c r="C10" s="1379" t="s">
        <v>270</v>
      </c>
      <c r="D10" s="1381" t="s">
        <v>271</v>
      </c>
      <c r="E10" s="1335" t="s">
        <v>454</v>
      </c>
      <c r="F10" s="1383" t="s">
        <v>455</v>
      </c>
      <c r="G10" s="1385" t="s">
        <v>688</v>
      </c>
      <c r="H10" s="1387" t="s">
        <v>460</v>
      </c>
    </row>
    <row r="11" spans="1:8" s="197" customFormat="1" ht="65.45" customHeight="1" thickBot="1" x14ac:dyDescent="0.35">
      <c r="A11" s="1376"/>
      <c r="B11" s="1378"/>
      <c r="C11" s="1380"/>
      <c r="D11" s="1382"/>
      <c r="E11" s="1336"/>
      <c r="F11" s="1384"/>
      <c r="G11" s="1386"/>
      <c r="H11" s="1388"/>
    </row>
    <row r="12" spans="1:8" s="268" customFormat="1" ht="20.25" customHeight="1" thickBot="1" x14ac:dyDescent="0.35">
      <c r="A12" s="199" t="s">
        <v>279</v>
      </c>
      <c r="B12" s="200" t="s">
        <v>280</v>
      </c>
      <c r="C12" s="201" t="s">
        <v>281</v>
      </c>
      <c r="D12" s="83" t="s">
        <v>456</v>
      </c>
      <c r="E12" s="83" t="s">
        <v>282</v>
      </c>
      <c r="F12" s="265" t="s">
        <v>283</v>
      </c>
      <c r="G12" s="266">
        <v>7</v>
      </c>
      <c r="H12" s="267">
        <v>8</v>
      </c>
    </row>
    <row r="13" spans="1:8" s="268" customFormat="1" ht="30" customHeight="1" thickBot="1" x14ac:dyDescent="0.35">
      <c r="A13" s="276">
        <v>1200000</v>
      </c>
      <c r="B13" s="277"/>
      <c r="C13" s="278"/>
      <c r="D13" s="1374" t="s">
        <v>457</v>
      </c>
      <c r="E13" s="1374"/>
      <c r="F13" s="279">
        <f>F14</f>
        <v>359600</v>
      </c>
      <c r="G13" s="279">
        <f>G14</f>
        <v>174700</v>
      </c>
      <c r="H13" s="280">
        <f>G13/F13</f>
        <v>0.48581757508342605</v>
      </c>
    </row>
    <row r="14" spans="1:8" s="197" customFormat="1" ht="34.5" customHeight="1" thickBot="1" x14ac:dyDescent="0.35">
      <c r="A14" s="205">
        <v>1210000</v>
      </c>
      <c r="B14" s="206"/>
      <c r="C14" s="207"/>
      <c r="D14" s="1369" t="s">
        <v>457</v>
      </c>
      <c r="E14" s="1369"/>
      <c r="F14" s="271">
        <f>F15+F18+F20</f>
        <v>359600</v>
      </c>
      <c r="G14" s="271">
        <f>G15+G18+G20</f>
        <v>174700</v>
      </c>
      <c r="H14" s="284">
        <f>G14/F14</f>
        <v>0.48581757508342605</v>
      </c>
    </row>
    <row r="15" spans="1:8" s="197" customFormat="1" ht="30" customHeight="1" x14ac:dyDescent="0.3">
      <c r="A15" s="1370" t="s">
        <v>141</v>
      </c>
      <c r="B15" s="1371">
        <v>8340</v>
      </c>
      <c r="C15" s="1372" t="s">
        <v>143</v>
      </c>
      <c r="D15" s="1373" t="s">
        <v>144</v>
      </c>
      <c r="E15" s="281" t="s">
        <v>458</v>
      </c>
      <c r="F15" s="282">
        <f>F16+F17</f>
        <v>318703</v>
      </c>
      <c r="G15" s="282">
        <f>G16+G17</f>
        <v>174700</v>
      </c>
      <c r="H15" s="283">
        <f>G15/F15</f>
        <v>0.54815925799255105</v>
      </c>
    </row>
    <row r="16" spans="1:8" ht="17.25" customHeight="1" x14ac:dyDescent="0.25">
      <c r="A16" s="1370"/>
      <c r="B16" s="1371"/>
      <c r="C16" s="1372"/>
      <c r="D16" s="1373"/>
      <c r="E16" s="208" t="s">
        <v>12</v>
      </c>
      <c r="F16" s="272">
        <v>223753</v>
      </c>
      <c r="G16" s="755">
        <f>103000+22850+22000+26850</f>
        <v>174700</v>
      </c>
      <c r="H16" s="270">
        <f>G16/F16</f>
        <v>0.78077165445826424</v>
      </c>
    </row>
    <row r="17" spans="1:8" ht="17.25" customHeight="1" x14ac:dyDescent="0.25">
      <c r="A17" s="1370"/>
      <c r="B17" s="1371"/>
      <c r="C17" s="1372"/>
      <c r="D17" s="1373"/>
      <c r="E17" s="208" t="s">
        <v>470</v>
      </c>
      <c r="F17" s="272">
        <v>94950</v>
      </c>
      <c r="G17" s="269">
        <v>0</v>
      </c>
      <c r="H17" s="270">
        <v>0</v>
      </c>
    </row>
    <row r="18" spans="1:8" ht="30" customHeight="1" x14ac:dyDescent="0.25">
      <c r="A18" s="1370"/>
      <c r="B18" s="1371"/>
      <c r="C18" s="1372"/>
      <c r="D18" s="1373"/>
      <c r="E18" s="29" t="s">
        <v>471</v>
      </c>
      <c r="F18" s="272">
        <f>F19</f>
        <v>8271</v>
      </c>
      <c r="G18" s="269">
        <v>0</v>
      </c>
      <c r="H18" s="270">
        <v>0</v>
      </c>
    </row>
    <row r="19" spans="1:8" ht="20.45" customHeight="1" x14ac:dyDescent="0.25">
      <c r="A19" s="1370"/>
      <c r="B19" s="1371"/>
      <c r="C19" s="1372"/>
      <c r="D19" s="1373"/>
      <c r="E19" s="208" t="s">
        <v>12</v>
      </c>
      <c r="F19" s="272">
        <v>8271</v>
      </c>
      <c r="G19" s="269">
        <v>0</v>
      </c>
      <c r="H19" s="270">
        <v>0</v>
      </c>
    </row>
    <row r="20" spans="1:8" ht="30" customHeight="1" x14ac:dyDescent="0.25">
      <c r="A20" s="1370"/>
      <c r="B20" s="1371"/>
      <c r="C20" s="1372"/>
      <c r="D20" s="1373"/>
      <c r="E20" s="29" t="s">
        <v>689</v>
      </c>
      <c r="F20" s="272">
        <f>F21</f>
        <v>32626</v>
      </c>
      <c r="G20" s="269">
        <v>0</v>
      </c>
      <c r="H20" s="270">
        <v>0</v>
      </c>
    </row>
    <row r="21" spans="1:8" ht="18.75" customHeight="1" thickBot="1" x14ac:dyDescent="0.3">
      <c r="A21" s="1370"/>
      <c r="B21" s="1371"/>
      <c r="C21" s="1372"/>
      <c r="D21" s="1373"/>
      <c r="E21" s="208" t="s">
        <v>12</v>
      </c>
      <c r="F21" s="273">
        <v>32626</v>
      </c>
      <c r="G21" s="269">
        <v>0</v>
      </c>
      <c r="H21" s="270">
        <v>0</v>
      </c>
    </row>
    <row r="22" spans="1:8" ht="17.25" thickBot="1" x14ac:dyDescent="0.3">
      <c r="A22" s="202" t="s">
        <v>297</v>
      </c>
      <c r="B22" s="203" t="s">
        <v>297</v>
      </c>
      <c r="C22" s="204" t="s">
        <v>297</v>
      </c>
      <c r="D22" s="209" t="s">
        <v>148</v>
      </c>
      <c r="E22" s="210" t="s">
        <v>297</v>
      </c>
      <c r="F22" s="274">
        <f>F13</f>
        <v>359600</v>
      </c>
      <c r="G22" s="274">
        <f>G13</f>
        <v>174700</v>
      </c>
      <c r="H22" s="275">
        <f>G22/F22</f>
        <v>0.48581757508342605</v>
      </c>
    </row>
    <row r="23" spans="1:8" x14ac:dyDescent="0.25">
      <c r="A23" s="995"/>
      <c r="B23" s="213"/>
      <c r="C23" s="214"/>
      <c r="D23" s="215"/>
      <c r="E23" s="216"/>
      <c r="F23" s="217"/>
    </row>
    <row r="24" spans="1:8" customFormat="1" ht="18.75" x14ac:dyDescent="0.25">
      <c r="A24" s="27" t="s">
        <v>405</v>
      </c>
      <c r="B24" s="27"/>
      <c r="D24" s="77"/>
      <c r="F24" s="211" t="s">
        <v>472</v>
      </c>
    </row>
    <row r="32" spans="1:8" x14ac:dyDescent="0.25">
      <c r="E32" s="196"/>
    </row>
  </sheetData>
  <mergeCells count="18">
    <mergeCell ref="D13:E13"/>
    <mergeCell ref="F2:H2"/>
    <mergeCell ref="A6:H6"/>
    <mergeCell ref="A7:C7"/>
    <mergeCell ref="A8:C8"/>
    <mergeCell ref="A10:A11"/>
    <mergeCell ref="B10:B11"/>
    <mergeCell ref="C10:C11"/>
    <mergeCell ref="D10:D11"/>
    <mergeCell ref="E10:E11"/>
    <mergeCell ref="F10:F11"/>
    <mergeCell ref="G10:G11"/>
    <mergeCell ref="H10:H11"/>
    <mergeCell ref="D14:E14"/>
    <mergeCell ref="A15:A21"/>
    <mergeCell ref="B15:B21"/>
    <mergeCell ref="C15:C21"/>
    <mergeCell ref="D15:D21"/>
  </mergeCells>
  <pageMargins left="1.1811023622047245" right="0.39370078740157483" top="0.78740157480314965" bottom="0.78740157480314965"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60" zoomScaleNormal="100" workbookViewId="0">
      <selection activeCell="F7" sqref="F7"/>
    </sheetView>
  </sheetViews>
  <sheetFormatPr defaultColWidth="9.28515625" defaultRowHeight="12.75" x14ac:dyDescent="0.2"/>
  <cols>
    <col min="1" max="1" width="16.42578125" style="75" customWidth="1"/>
    <col min="2" max="2" width="11.7109375" style="75" customWidth="1"/>
    <col min="3" max="3" width="10.28515625" style="794" customWidth="1"/>
    <col min="4" max="4" width="22.7109375" style="75" customWidth="1"/>
    <col min="5" max="5" width="76.85546875" style="795" customWidth="1"/>
    <col min="6" max="6" width="19" style="795" customWidth="1"/>
    <col min="7" max="7" width="21.85546875" style="75" customWidth="1"/>
    <col min="8" max="8" width="15.7109375" style="75" customWidth="1"/>
    <col min="9" max="251" width="9.28515625" style="75"/>
    <col min="252" max="252" width="12.28515625" style="75" customWidth="1"/>
    <col min="253" max="253" width="11.7109375" style="75" customWidth="1"/>
    <col min="254" max="254" width="12.5703125" style="75" customWidth="1"/>
    <col min="255" max="255" width="22.7109375" style="75" customWidth="1"/>
    <col min="256" max="256" width="51.42578125" style="75" customWidth="1"/>
    <col min="257" max="257" width="16.140625" style="75" customWidth="1"/>
    <col min="258" max="507" width="9.28515625" style="75"/>
    <col min="508" max="508" width="12.28515625" style="75" customWidth="1"/>
    <col min="509" max="509" width="11.7109375" style="75" customWidth="1"/>
    <col min="510" max="510" width="12.5703125" style="75" customWidth="1"/>
    <col min="511" max="511" width="22.7109375" style="75" customWidth="1"/>
    <col min="512" max="512" width="51.42578125" style="75" customWidth="1"/>
    <col min="513" max="513" width="16.140625" style="75" customWidth="1"/>
    <col min="514" max="763" width="9.28515625" style="75"/>
    <col min="764" max="764" width="12.28515625" style="75" customWidth="1"/>
    <col min="765" max="765" width="11.7109375" style="75" customWidth="1"/>
    <col min="766" max="766" width="12.5703125" style="75" customWidth="1"/>
    <col min="767" max="767" width="22.7109375" style="75" customWidth="1"/>
    <col min="768" max="768" width="51.42578125" style="75" customWidth="1"/>
    <col min="769" max="769" width="16.140625" style="75" customWidth="1"/>
    <col min="770" max="1019" width="9.28515625" style="75"/>
    <col min="1020" max="1020" width="12.28515625" style="75" customWidth="1"/>
    <col min="1021" max="1021" width="11.7109375" style="75" customWidth="1"/>
    <col min="1022" max="1022" width="12.5703125" style="75" customWidth="1"/>
    <col min="1023" max="1023" width="22.7109375" style="75" customWidth="1"/>
    <col min="1024" max="1024" width="51.42578125" style="75" customWidth="1"/>
    <col min="1025" max="1025" width="16.140625" style="75" customWidth="1"/>
    <col min="1026" max="1275" width="9.28515625" style="75"/>
    <col min="1276" max="1276" width="12.28515625" style="75" customWidth="1"/>
    <col min="1277" max="1277" width="11.7109375" style="75" customWidth="1"/>
    <col min="1278" max="1278" width="12.5703125" style="75" customWidth="1"/>
    <col min="1279" max="1279" width="22.7109375" style="75" customWidth="1"/>
    <col min="1280" max="1280" width="51.42578125" style="75" customWidth="1"/>
    <col min="1281" max="1281" width="16.140625" style="75" customWidth="1"/>
    <col min="1282" max="1531" width="9.28515625" style="75"/>
    <col min="1532" max="1532" width="12.28515625" style="75" customWidth="1"/>
    <col min="1533" max="1533" width="11.7109375" style="75" customWidth="1"/>
    <col min="1534" max="1534" width="12.5703125" style="75" customWidth="1"/>
    <col min="1535" max="1535" width="22.7109375" style="75" customWidth="1"/>
    <col min="1536" max="1536" width="51.42578125" style="75" customWidth="1"/>
    <col min="1537" max="1537" width="16.140625" style="75" customWidth="1"/>
    <col min="1538" max="1787" width="9.28515625" style="75"/>
    <col min="1788" max="1788" width="12.28515625" style="75" customWidth="1"/>
    <col min="1789" max="1789" width="11.7109375" style="75" customWidth="1"/>
    <col min="1790" max="1790" width="12.5703125" style="75" customWidth="1"/>
    <col min="1791" max="1791" width="22.7109375" style="75" customWidth="1"/>
    <col min="1792" max="1792" width="51.42578125" style="75" customWidth="1"/>
    <col min="1793" max="1793" width="16.140625" style="75" customWidth="1"/>
    <col min="1794" max="2043" width="9.28515625" style="75"/>
    <col min="2044" max="2044" width="12.28515625" style="75" customWidth="1"/>
    <col min="2045" max="2045" width="11.7109375" style="75" customWidth="1"/>
    <col min="2046" max="2046" width="12.5703125" style="75" customWidth="1"/>
    <col min="2047" max="2047" width="22.7109375" style="75" customWidth="1"/>
    <col min="2048" max="2048" width="51.42578125" style="75" customWidth="1"/>
    <col min="2049" max="2049" width="16.140625" style="75" customWidth="1"/>
    <col min="2050" max="2299" width="9.28515625" style="75"/>
    <col min="2300" max="2300" width="12.28515625" style="75" customWidth="1"/>
    <col min="2301" max="2301" width="11.7109375" style="75" customWidth="1"/>
    <col min="2302" max="2302" width="12.5703125" style="75" customWidth="1"/>
    <col min="2303" max="2303" width="22.7109375" style="75" customWidth="1"/>
    <col min="2304" max="2304" width="51.42578125" style="75" customWidth="1"/>
    <col min="2305" max="2305" width="16.140625" style="75" customWidth="1"/>
    <col min="2306" max="2555" width="9.28515625" style="75"/>
    <col min="2556" max="2556" width="12.28515625" style="75" customWidth="1"/>
    <col min="2557" max="2557" width="11.7109375" style="75" customWidth="1"/>
    <col min="2558" max="2558" width="12.5703125" style="75" customWidth="1"/>
    <col min="2559" max="2559" width="22.7109375" style="75" customWidth="1"/>
    <col min="2560" max="2560" width="51.42578125" style="75" customWidth="1"/>
    <col min="2561" max="2561" width="16.140625" style="75" customWidth="1"/>
    <col min="2562" max="2811" width="9.28515625" style="75"/>
    <col min="2812" max="2812" width="12.28515625" style="75" customWidth="1"/>
    <col min="2813" max="2813" width="11.7109375" style="75" customWidth="1"/>
    <col min="2814" max="2814" width="12.5703125" style="75" customWidth="1"/>
    <col min="2815" max="2815" width="22.7109375" style="75" customWidth="1"/>
    <col min="2816" max="2816" width="51.42578125" style="75" customWidth="1"/>
    <col min="2817" max="2817" width="16.140625" style="75" customWidth="1"/>
    <col min="2818" max="3067" width="9.28515625" style="75"/>
    <col min="3068" max="3068" width="12.28515625" style="75" customWidth="1"/>
    <col min="3069" max="3069" width="11.7109375" style="75" customWidth="1"/>
    <col min="3070" max="3070" width="12.5703125" style="75" customWidth="1"/>
    <col min="3071" max="3071" width="22.7109375" style="75" customWidth="1"/>
    <col min="3072" max="3072" width="51.42578125" style="75" customWidth="1"/>
    <col min="3073" max="3073" width="16.140625" style="75" customWidth="1"/>
    <col min="3074" max="3323" width="9.28515625" style="75"/>
    <col min="3324" max="3324" width="12.28515625" style="75" customWidth="1"/>
    <col min="3325" max="3325" width="11.7109375" style="75" customWidth="1"/>
    <col min="3326" max="3326" width="12.5703125" style="75" customWidth="1"/>
    <col min="3327" max="3327" width="22.7109375" style="75" customWidth="1"/>
    <col min="3328" max="3328" width="51.42578125" style="75" customWidth="1"/>
    <col min="3329" max="3329" width="16.140625" style="75" customWidth="1"/>
    <col min="3330" max="3579" width="9.28515625" style="75"/>
    <col min="3580" max="3580" width="12.28515625" style="75" customWidth="1"/>
    <col min="3581" max="3581" width="11.7109375" style="75" customWidth="1"/>
    <col min="3582" max="3582" width="12.5703125" style="75" customWidth="1"/>
    <col min="3583" max="3583" width="22.7109375" style="75" customWidth="1"/>
    <col min="3584" max="3584" width="51.42578125" style="75" customWidth="1"/>
    <col min="3585" max="3585" width="16.140625" style="75" customWidth="1"/>
    <col min="3586" max="3835" width="9.28515625" style="75"/>
    <col min="3836" max="3836" width="12.28515625" style="75" customWidth="1"/>
    <col min="3837" max="3837" width="11.7109375" style="75" customWidth="1"/>
    <col min="3838" max="3838" width="12.5703125" style="75" customWidth="1"/>
    <col min="3839" max="3839" width="22.7109375" style="75" customWidth="1"/>
    <col min="3840" max="3840" width="51.42578125" style="75" customWidth="1"/>
    <col min="3841" max="3841" width="16.140625" style="75" customWidth="1"/>
    <col min="3842" max="4091" width="9.28515625" style="75"/>
    <col min="4092" max="4092" width="12.28515625" style="75" customWidth="1"/>
    <col min="4093" max="4093" width="11.7109375" style="75" customWidth="1"/>
    <col min="4094" max="4094" width="12.5703125" style="75" customWidth="1"/>
    <col min="4095" max="4095" width="22.7109375" style="75" customWidth="1"/>
    <col min="4096" max="4096" width="51.42578125" style="75" customWidth="1"/>
    <col min="4097" max="4097" width="16.140625" style="75" customWidth="1"/>
    <col min="4098" max="4347" width="9.28515625" style="75"/>
    <col min="4348" max="4348" width="12.28515625" style="75" customWidth="1"/>
    <col min="4349" max="4349" width="11.7109375" style="75" customWidth="1"/>
    <col min="4350" max="4350" width="12.5703125" style="75" customWidth="1"/>
    <col min="4351" max="4351" width="22.7109375" style="75" customWidth="1"/>
    <col min="4352" max="4352" width="51.42578125" style="75" customWidth="1"/>
    <col min="4353" max="4353" width="16.140625" style="75" customWidth="1"/>
    <col min="4354" max="4603" width="9.28515625" style="75"/>
    <col min="4604" max="4604" width="12.28515625" style="75" customWidth="1"/>
    <col min="4605" max="4605" width="11.7109375" style="75" customWidth="1"/>
    <col min="4606" max="4606" width="12.5703125" style="75" customWidth="1"/>
    <col min="4607" max="4607" width="22.7109375" style="75" customWidth="1"/>
    <col min="4608" max="4608" width="51.42578125" style="75" customWidth="1"/>
    <col min="4609" max="4609" width="16.140625" style="75" customWidth="1"/>
    <col min="4610" max="4859" width="9.28515625" style="75"/>
    <col min="4860" max="4860" width="12.28515625" style="75" customWidth="1"/>
    <col min="4861" max="4861" width="11.7109375" style="75" customWidth="1"/>
    <col min="4862" max="4862" width="12.5703125" style="75" customWidth="1"/>
    <col min="4863" max="4863" width="22.7109375" style="75" customWidth="1"/>
    <col min="4864" max="4864" width="51.42578125" style="75" customWidth="1"/>
    <col min="4865" max="4865" width="16.140625" style="75" customWidth="1"/>
    <col min="4866" max="5115" width="9.28515625" style="75"/>
    <col min="5116" max="5116" width="12.28515625" style="75" customWidth="1"/>
    <col min="5117" max="5117" width="11.7109375" style="75" customWidth="1"/>
    <col min="5118" max="5118" width="12.5703125" style="75" customWidth="1"/>
    <col min="5119" max="5119" width="22.7109375" style="75" customWidth="1"/>
    <col min="5120" max="5120" width="51.42578125" style="75" customWidth="1"/>
    <col min="5121" max="5121" width="16.140625" style="75" customWidth="1"/>
    <col min="5122" max="5371" width="9.28515625" style="75"/>
    <col min="5372" max="5372" width="12.28515625" style="75" customWidth="1"/>
    <col min="5373" max="5373" width="11.7109375" style="75" customWidth="1"/>
    <col min="5374" max="5374" width="12.5703125" style="75" customWidth="1"/>
    <col min="5375" max="5375" width="22.7109375" style="75" customWidth="1"/>
    <col min="5376" max="5376" width="51.42578125" style="75" customWidth="1"/>
    <col min="5377" max="5377" width="16.140625" style="75" customWidth="1"/>
    <col min="5378" max="5627" width="9.28515625" style="75"/>
    <col min="5628" max="5628" width="12.28515625" style="75" customWidth="1"/>
    <col min="5629" max="5629" width="11.7109375" style="75" customWidth="1"/>
    <col min="5630" max="5630" width="12.5703125" style="75" customWidth="1"/>
    <col min="5631" max="5631" width="22.7109375" style="75" customWidth="1"/>
    <col min="5632" max="5632" width="51.42578125" style="75" customWidth="1"/>
    <col min="5633" max="5633" width="16.140625" style="75" customWidth="1"/>
    <col min="5634" max="5883" width="9.28515625" style="75"/>
    <col min="5884" max="5884" width="12.28515625" style="75" customWidth="1"/>
    <col min="5885" max="5885" width="11.7109375" style="75" customWidth="1"/>
    <col min="5886" max="5886" width="12.5703125" style="75" customWidth="1"/>
    <col min="5887" max="5887" width="22.7109375" style="75" customWidth="1"/>
    <col min="5888" max="5888" width="51.42578125" style="75" customWidth="1"/>
    <col min="5889" max="5889" width="16.140625" style="75" customWidth="1"/>
    <col min="5890" max="6139" width="9.28515625" style="75"/>
    <col min="6140" max="6140" width="12.28515625" style="75" customWidth="1"/>
    <col min="6141" max="6141" width="11.7109375" style="75" customWidth="1"/>
    <col min="6142" max="6142" width="12.5703125" style="75" customWidth="1"/>
    <col min="6143" max="6143" width="22.7109375" style="75" customWidth="1"/>
    <col min="6144" max="6144" width="51.42578125" style="75" customWidth="1"/>
    <col min="6145" max="6145" width="16.140625" style="75" customWidth="1"/>
    <col min="6146" max="6395" width="9.28515625" style="75"/>
    <col min="6396" max="6396" width="12.28515625" style="75" customWidth="1"/>
    <col min="6397" max="6397" width="11.7109375" style="75" customWidth="1"/>
    <col min="6398" max="6398" width="12.5703125" style="75" customWidth="1"/>
    <col min="6399" max="6399" width="22.7109375" style="75" customWidth="1"/>
    <col min="6400" max="6400" width="51.42578125" style="75" customWidth="1"/>
    <col min="6401" max="6401" width="16.140625" style="75" customWidth="1"/>
    <col min="6402" max="6651" width="9.28515625" style="75"/>
    <col min="6652" max="6652" width="12.28515625" style="75" customWidth="1"/>
    <col min="6653" max="6653" width="11.7109375" style="75" customWidth="1"/>
    <col min="6654" max="6654" width="12.5703125" style="75" customWidth="1"/>
    <col min="6655" max="6655" width="22.7109375" style="75" customWidth="1"/>
    <col min="6656" max="6656" width="51.42578125" style="75" customWidth="1"/>
    <col min="6657" max="6657" width="16.140625" style="75" customWidth="1"/>
    <col min="6658" max="6907" width="9.28515625" style="75"/>
    <col min="6908" max="6908" width="12.28515625" style="75" customWidth="1"/>
    <col min="6909" max="6909" width="11.7109375" style="75" customWidth="1"/>
    <col min="6910" max="6910" width="12.5703125" style="75" customWidth="1"/>
    <col min="6911" max="6911" width="22.7109375" style="75" customWidth="1"/>
    <col min="6912" max="6912" width="51.42578125" style="75" customWidth="1"/>
    <col min="6913" max="6913" width="16.140625" style="75" customWidth="1"/>
    <col min="6914" max="7163" width="9.28515625" style="75"/>
    <col min="7164" max="7164" width="12.28515625" style="75" customWidth="1"/>
    <col min="7165" max="7165" width="11.7109375" style="75" customWidth="1"/>
    <col min="7166" max="7166" width="12.5703125" style="75" customWidth="1"/>
    <col min="7167" max="7167" width="22.7109375" style="75" customWidth="1"/>
    <col min="7168" max="7168" width="51.42578125" style="75" customWidth="1"/>
    <col min="7169" max="7169" width="16.140625" style="75" customWidth="1"/>
    <col min="7170" max="7419" width="9.28515625" style="75"/>
    <col min="7420" max="7420" width="12.28515625" style="75" customWidth="1"/>
    <col min="7421" max="7421" width="11.7109375" style="75" customWidth="1"/>
    <col min="7422" max="7422" width="12.5703125" style="75" customWidth="1"/>
    <col min="7423" max="7423" width="22.7109375" style="75" customWidth="1"/>
    <col min="7424" max="7424" width="51.42578125" style="75" customWidth="1"/>
    <col min="7425" max="7425" width="16.140625" style="75" customWidth="1"/>
    <col min="7426" max="7675" width="9.28515625" style="75"/>
    <col min="7676" max="7676" width="12.28515625" style="75" customWidth="1"/>
    <col min="7677" max="7677" width="11.7109375" style="75" customWidth="1"/>
    <col min="7678" max="7678" width="12.5703125" style="75" customWidth="1"/>
    <col min="7679" max="7679" width="22.7109375" style="75" customWidth="1"/>
    <col min="7680" max="7680" width="51.42578125" style="75" customWidth="1"/>
    <col min="7681" max="7681" width="16.140625" style="75" customWidth="1"/>
    <col min="7682" max="7931" width="9.28515625" style="75"/>
    <col min="7932" max="7932" width="12.28515625" style="75" customWidth="1"/>
    <col min="7933" max="7933" width="11.7109375" style="75" customWidth="1"/>
    <col min="7934" max="7934" width="12.5703125" style="75" customWidth="1"/>
    <col min="7935" max="7935" width="22.7109375" style="75" customWidth="1"/>
    <col min="7936" max="7936" width="51.42578125" style="75" customWidth="1"/>
    <col min="7937" max="7937" width="16.140625" style="75" customWidth="1"/>
    <col min="7938" max="8187" width="9.28515625" style="75"/>
    <col min="8188" max="8188" width="12.28515625" style="75" customWidth="1"/>
    <col min="8189" max="8189" width="11.7109375" style="75" customWidth="1"/>
    <col min="8190" max="8190" width="12.5703125" style="75" customWidth="1"/>
    <col min="8191" max="8191" width="22.7109375" style="75" customWidth="1"/>
    <col min="8192" max="8192" width="51.42578125" style="75" customWidth="1"/>
    <col min="8193" max="8193" width="16.140625" style="75" customWidth="1"/>
    <col min="8194" max="8443" width="9.28515625" style="75"/>
    <col min="8444" max="8444" width="12.28515625" style="75" customWidth="1"/>
    <col min="8445" max="8445" width="11.7109375" style="75" customWidth="1"/>
    <col min="8446" max="8446" width="12.5703125" style="75" customWidth="1"/>
    <col min="8447" max="8447" width="22.7109375" style="75" customWidth="1"/>
    <col min="8448" max="8448" width="51.42578125" style="75" customWidth="1"/>
    <col min="8449" max="8449" width="16.140625" style="75" customWidth="1"/>
    <col min="8450" max="8699" width="9.28515625" style="75"/>
    <col min="8700" max="8700" width="12.28515625" style="75" customWidth="1"/>
    <col min="8701" max="8701" width="11.7109375" style="75" customWidth="1"/>
    <col min="8702" max="8702" width="12.5703125" style="75" customWidth="1"/>
    <col min="8703" max="8703" width="22.7109375" style="75" customWidth="1"/>
    <col min="8704" max="8704" width="51.42578125" style="75" customWidth="1"/>
    <col min="8705" max="8705" width="16.140625" style="75" customWidth="1"/>
    <col min="8706" max="8955" width="9.28515625" style="75"/>
    <col min="8956" max="8956" width="12.28515625" style="75" customWidth="1"/>
    <col min="8957" max="8957" width="11.7109375" style="75" customWidth="1"/>
    <col min="8958" max="8958" width="12.5703125" style="75" customWidth="1"/>
    <col min="8959" max="8959" width="22.7109375" style="75" customWidth="1"/>
    <col min="8960" max="8960" width="51.42578125" style="75" customWidth="1"/>
    <col min="8961" max="8961" width="16.140625" style="75" customWidth="1"/>
    <col min="8962" max="9211" width="9.28515625" style="75"/>
    <col min="9212" max="9212" width="12.28515625" style="75" customWidth="1"/>
    <col min="9213" max="9213" width="11.7109375" style="75" customWidth="1"/>
    <col min="9214" max="9214" width="12.5703125" style="75" customWidth="1"/>
    <col min="9215" max="9215" width="22.7109375" style="75" customWidth="1"/>
    <col min="9216" max="9216" width="51.42578125" style="75" customWidth="1"/>
    <col min="9217" max="9217" width="16.140625" style="75" customWidth="1"/>
    <col min="9218" max="9467" width="9.28515625" style="75"/>
    <col min="9468" max="9468" width="12.28515625" style="75" customWidth="1"/>
    <col min="9469" max="9469" width="11.7109375" style="75" customWidth="1"/>
    <col min="9470" max="9470" width="12.5703125" style="75" customWidth="1"/>
    <col min="9471" max="9471" width="22.7109375" style="75" customWidth="1"/>
    <col min="9472" max="9472" width="51.42578125" style="75" customWidth="1"/>
    <col min="9473" max="9473" width="16.140625" style="75" customWidth="1"/>
    <col min="9474" max="9723" width="9.28515625" style="75"/>
    <col min="9724" max="9724" width="12.28515625" style="75" customWidth="1"/>
    <col min="9725" max="9725" width="11.7109375" style="75" customWidth="1"/>
    <col min="9726" max="9726" width="12.5703125" style="75" customWidth="1"/>
    <col min="9727" max="9727" width="22.7109375" style="75" customWidth="1"/>
    <col min="9728" max="9728" width="51.42578125" style="75" customWidth="1"/>
    <col min="9729" max="9729" width="16.140625" style="75" customWidth="1"/>
    <col min="9730" max="9979" width="9.28515625" style="75"/>
    <col min="9980" max="9980" width="12.28515625" style="75" customWidth="1"/>
    <col min="9981" max="9981" width="11.7109375" style="75" customWidth="1"/>
    <col min="9982" max="9982" width="12.5703125" style="75" customWidth="1"/>
    <col min="9983" max="9983" width="22.7109375" style="75" customWidth="1"/>
    <col min="9984" max="9984" width="51.42578125" style="75" customWidth="1"/>
    <col min="9985" max="9985" width="16.140625" style="75" customWidth="1"/>
    <col min="9986" max="10235" width="9.28515625" style="75"/>
    <col min="10236" max="10236" width="12.28515625" style="75" customWidth="1"/>
    <col min="10237" max="10237" width="11.7109375" style="75" customWidth="1"/>
    <col min="10238" max="10238" width="12.5703125" style="75" customWidth="1"/>
    <col min="10239" max="10239" width="22.7109375" style="75" customWidth="1"/>
    <col min="10240" max="10240" width="51.42578125" style="75" customWidth="1"/>
    <col min="10241" max="10241" width="16.140625" style="75" customWidth="1"/>
    <col min="10242" max="10491" width="9.28515625" style="75"/>
    <col min="10492" max="10492" width="12.28515625" style="75" customWidth="1"/>
    <col min="10493" max="10493" width="11.7109375" style="75" customWidth="1"/>
    <col min="10494" max="10494" width="12.5703125" style="75" customWidth="1"/>
    <col min="10495" max="10495" width="22.7109375" style="75" customWidth="1"/>
    <col min="10496" max="10496" width="51.42578125" style="75" customWidth="1"/>
    <col min="10497" max="10497" width="16.140625" style="75" customWidth="1"/>
    <col min="10498" max="10747" width="9.28515625" style="75"/>
    <col min="10748" max="10748" width="12.28515625" style="75" customWidth="1"/>
    <col min="10749" max="10749" width="11.7109375" style="75" customWidth="1"/>
    <col min="10750" max="10750" width="12.5703125" style="75" customWidth="1"/>
    <col min="10751" max="10751" width="22.7109375" style="75" customWidth="1"/>
    <col min="10752" max="10752" width="51.42578125" style="75" customWidth="1"/>
    <col min="10753" max="10753" width="16.140625" style="75" customWidth="1"/>
    <col min="10754" max="11003" width="9.28515625" style="75"/>
    <col min="11004" max="11004" width="12.28515625" style="75" customWidth="1"/>
    <col min="11005" max="11005" width="11.7109375" style="75" customWidth="1"/>
    <col min="11006" max="11006" width="12.5703125" style="75" customWidth="1"/>
    <col min="11007" max="11007" width="22.7109375" style="75" customWidth="1"/>
    <col min="11008" max="11008" width="51.42578125" style="75" customWidth="1"/>
    <col min="11009" max="11009" width="16.140625" style="75" customWidth="1"/>
    <col min="11010" max="11259" width="9.28515625" style="75"/>
    <col min="11260" max="11260" width="12.28515625" style="75" customWidth="1"/>
    <col min="11261" max="11261" width="11.7109375" style="75" customWidth="1"/>
    <col min="11262" max="11262" width="12.5703125" style="75" customWidth="1"/>
    <col min="11263" max="11263" width="22.7109375" style="75" customWidth="1"/>
    <col min="11264" max="11264" width="51.42578125" style="75" customWidth="1"/>
    <col min="11265" max="11265" width="16.140625" style="75" customWidth="1"/>
    <col min="11266" max="11515" width="9.28515625" style="75"/>
    <col min="11516" max="11516" width="12.28515625" style="75" customWidth="1"/>
    <col min="11517" max="11517" width="11.7109375" style="75" customWidth="1"/>
    <col min="11518" max="11518" width="12.5703125" style="75" customWidth="1"/>
    <col min="11519" max="11519" width="22.7109375" style="75" customWidth="1"/>
    <col min="11520" max="11520" width="51.42578125" style="75" customWidth="1"/>
    <col min="11521" max="11521" width="16.140625" style="75" customWidth="1"/>
    <col min="11522" max="11771" width="9.28515625" style="75"/>
    <col min="11772" max="11772" width="12.28515625" style="75" customWidth="1"/>
    <col min="11773" max="11773" width="11.7109375" style="75" customWidth="1"/>
    <col min="11774" max="11774" width="12.5703125" style="75" customWidth="1"/>
    <col min="11775" max="11775" width="22.7109375" style="75" customWidth="1"/>
    <col min="11776" max="11776" width="51.42578125" style="75" customWidth="1"/>
    <col min="11777" max="11777" width="16.140625" style="75" customWidth="1"/>
    <col min="11778" max="12027" width="9.28515625" style="75"/>
    <col min="12028" max="12028" width="12.28515625" style="75" customWidth="1"/>
    <col min="12029" max="12029" width="11.7109375" style="75" customWidth="1"/>
    <col min="12030" max="12030" width="12.5703125" style="75" customWidth="1"/>
    <col min="12031" max="12031" width="22.7109375" style="75" customWidth="1"/>
    <col min="12032" max="12032" width="51.42578125" style="75" customWidth="1"/>
    <col min="12033" max="12033" width="16.140625" style="75" customWidth="1"/>
    <col min="12034" max="12283" width="9.28515625" style="75"/>
    <col min="12284" max="12284" width="12.28515625" style="75" customWidth="1"/>
    <col min="12285" max="12285" width="11.7109375" style="75" customWidth="1"/>
    <col min="12286" max="12286" width="12.5703125" style="75" customWidth="1"/>
    <col min="12287" max="12287" width="22.7109375" style="75" customWidth="1"/>
    <col min="12288" max="12288" width="51.42578125" style="75" customWidth="1"/>
    <col min="12289" max="12289" width="16.140625" style="75" customWidth="1"/>
    <col min="12290" max="12539" width="9.28515625" style="75"/>
    <col min="12540" max="12540" width="12.28515625" style="75" customWidth="1"/>
    <col min="12541" max="12541" width="11.7109375" style="75" customWidth="1"/>
    <col min="12542" max="12542" width="12.5703125" style="75" customWidth="1"/>
    <col min="12543" max="12543" width="22.7109375" style="75" customWidth="1"/>
    <col min="12544" max="12544" width="51.42578125" style="75" customWidth="1"/>
    <col min="12545" max="12545" width="16.140625" style="75" customWidth="1"/>
    <col min="12546" max="12795" width="9.28515625" style="75"/>
    <col min="12796" max="12796" width="12.28515625" style="75" customWidth="1"/>
    <col min="12797" max="12797" width="11.7109375" style="75" customWidth="1"/>
    <col min="12798" max="12798" width="12.5703125" style="75" customWidth="1"/>
    <col min="12799" max="12799" width="22.7109375" style="75" customWidth="1"/>
    <col min="12800" max="12800" width="51.42578125" style="75" customWidth="1"/>
    <col min="12801" max="12801" width="16.140625" style="75" customWidth="1"/>
    <col min="12802" max="13051" width="9.28515625" style="75"/>
    <col min="13052" max="13052" width="12.28515625" style="75" customWidth="1"/>
    <col min="13053" max="13053" width="11.7109375" style="75" customWidth="1"/>
    <col min="13054" max="13054" width="12.5703125" style="75" customWidth="1"/>
    <col min="13055" max="13055" width="22.7109375" style="75" customWidth="1"/>
    <col min="13056" max="13056" width="51.42578125" style="75" customWidth="1"/>
    <col min="13057" max="13057" width="16.140625" style="75" customWidth="1"/>
    <col min="13058" max="13307" width="9.28515625" style="75"/>
    <col min="13308" max="13308" width="12.28515625" style="75" customWidth="1"/>
    <col min="13309" max="13309" width="11.7109375" style="75" customWidth="1"/>
    <col min="13310" max="13310" width="12.5703125" style="75" customWidth="1"/>
    <col min="13311" max="13311" width="22.7109375" style="75" customWidth="1"/>
    <col min="13312" max="13312" width="51.42578125" style="75" customWidth="1"/>
    <col min="13313" max="13313" width="16.140625" style="75" customWidth="1"/>
    <col min="13314" max="13563" width="9.28515625" style="75"/>
    <col min="13564" max="13564" width="12.28515625" style="75" customWidth="1"/>
    <col min="13565" max="13565" width="11.7109375" style="75" customWidth="1"/>
    <col min="13566" max="13566" width="12.5703125" style="75" customWidth="1"/>
    <col min="13567" max="13567" width="22.7109375" style="75" customWidth="1"/>
    <col min="13568" max="13568" width="51.42578125" style="75" customWidth="1"/>
    <col min="13569" max="13569" width="16.140625" style="75" customWidth="1"/>
    <col min="13570" max="13819" width="9.28515625" style="75"/>
    <col min="13820" max="13820" width="12.28515625" style="75" customWidth="1"/>
    <col min="13821" max="13821" width="11.7109375" style="75" customWidth="1"/>
    <col min="13822" max="13822" width="12.5703125" style="75" customWidth="1"/>
    <col min="13823" max="13823" width="22.7109375" style="75" customWidth="1"/>
    <col min="13824" max="13824" width="51.42578125" style="75" customWidth="1"/>
    <col min="13825" max="13825" width="16.140625" style="75" customWidth="1"/>
    <col min="13826" max="14075" width="9.28515625" style="75"/>
    <col min="14076" max="14076" width="12.28515625" style="75" customWidth="1"/>
    <col min="14077" max="14077" width="11.7109375" style="75" customWidth="1"/>
    <col min="14078" max="14078" width="12.5703125" style="75" customWidth="1"/>
    <col min="14079" max="14079" width="22.7109375" style="75" customWidth="1"/>
    <col min="14080" max="14080" width="51.42578125" style="75" customWidth="1"/>
    <col min="14081" max="14081" width="16.140625" style="75" customWidth="1"/>
    <col min="14082" max="14331" width="9.28515625" style="75"/>
    <col min="14332" max="14332" width="12.28515625" style="75" customWidth="1"/>
    <col min="14333" max="14333" width="11.7109375" style="75" customWidth="1"/>
    <col min="14334" max="14334" width="12.5703125" style="75" customWidth="1"/>
    <col min="14335" max="14335" width="22.7109375" style="75" customWidth="1"/>
    <col min="14336" max="14336" width="51.42578125" style="75" customWidth="1"/>
    <col min="14337" max="14337" width="16.140625" style="75" customWidth="1"/>
    <col min="14338" max="14587" width="9.28515625" style="75"/>
    <col min="14588" max="14588" width="12.28515625" style="75" customWidth="1"/>
    <col min="14589" max="14589" width="11.7109375" style="75" customWidth="1"/>
    <col min="14590" max="14590" width="12.5703125" style="75" customWidth="1"/>
    <col min="14591" max="14591" width="22.7109375" style="75" customWidth="1"/>
    <col min="14592" max="14592" width="51.42578125" style="75" customWidth="1"/>
    <col min="14593" max="14593" width="16.140625" style="75" customWidth="1"/>
    <col min="14594" max="14843" width="9.28515625" style="75"/>
    <col min="14844" max="14844" width="12.28515625" style="75" customWidth="1"/>
    <col min="14845" max="14845" width="11.7109375" style="75" customWidth="1"/>
    <col min="14846" max="14846" width="12.5703125" style="75" customWidth="1"/>
    <col min="14847" max="14847" width="22.7109375" style="75" customWidth="1"/>
    <col min="14848" max="14848" width="51.42578125" style="75" customWidth="1"/>
    <col min="14849" max="14849" width="16.140625" style="75" customWidth="1"/>
    <col min="14850" max="15099" width="9.28515625" style="75"/>
    <col min="15100" max="15100" width="12.28515625" style="75" customWidth="1"/>
    <col min="15101" max="15101" width="11.7109375" style="75" customWidth="1"/>
    <col min="15102" max="15102" width="12.5703125" style="75" customWidth="1"/>
    <col min="15103" max="15103" width="22.7109375" style="75" customWidth="1"/>
    <col min="15104" max="15104" width="51.42578125" style="75" customWidth="1"/>
    <col min="15105" max="15105" width="16.140625" style="75" customWidth="1"/>
    <col min="15106" max="15355" width="9.28515625" style="75"/>
    <col min="15356" max="15356" width="12.28515625" style="75" customWidth="1"/>
    <col min="15357" max="15357" width="11.7109375" style="75" customWidth="1"/>
    <col min="15358" max="15358" width="12.5703125" style="75" customWidth="1"/>
    <col min="15359" max="15359" width="22.7109375" style="75" customWidth="1"/>
    <col min="15360" max="15360" width="51.42578125" style="75" customWidth="1"/>
    <col min="15361" max="15361" width="16.140625" style="75" customWidth="1"/>
    <col min="15362" max="15611" width="9.28515625" style="75"/>
    <col min="15612" max="15612" width="12.28515625" style="75" customWidth="1"/>
    <col min="15613" max="15613" width="11.7109375" style="75" customWidth="1"/>
    <col min="15614" max="15614" width="12.5703125" style="75" customWidth="1"/>
    <col min="15615" max="15615" width="22.7109375" style="75" customWidth="1"/>
    <col min="15616" max="15616" width="51.42578125" style="75" customWidth="1"/>
    <col min="15617" max="15617" width="16.140625" style="75" customWidth="1"/>
    <col min="15618" max="15867" width="9.28515625" style="75"/>
    <col min="15868" max="15868" width="12.28515625" style="75" customWidth="1"/>
    <col min="15869" max="15869" width="11.7109375" style="75" customWidth="1"/>
    <col min="15870" max="15870" width="12.5703125" style="75" customWidth="1"/>
    <col min="15871" max="15871" width="22.7109375" style="75" customWidth="1"/>
    <col min="15872" max="15872" width="51.42578125" style="75" customWidth="1"/>
    <col min="15873" max="15873" width="16.140625" style="75" customWidth="1"/>
    <col min="15874" max="16123" width="9.28515625" style="75"/>
    <col min="16124" max="16124" width="12.28515625" style="75" customWidth="1"/>
    <col min="16125" max="16125" width="11.7109375" style="75" customWidth="1"/>
    <col min="16126" max="16126" width="12.5703125" style="75" customWidth="1"/>
    <col min="16127" max="16127" width="22.7109375" style="75" customWidth="1"/>
    <col min="16128" max="16128" width="51.42578125" style="75" customWidth="1"/>
    <col min="16129" max="16129" width="16.140625" style="75" customWidth="1"/>
    <col min="16130" max="16384" width="9.28515625" style="75"/>
  </cols>
  <sheetData>
    <row r="1" spans="1:9" ht="15.75" x14ac:dyDescent="0.2">
      <c r="F1" s="1400" t="s">
        <v>612</v>
      </c>
      <c r="G1" s="1400"/>
      <c r="H1" s="1400"/>
    </row>
    <row r="2" spans="1:9" ht="15.75" x14ac:dyDescent="0.2">
      <c r="F2" s="1401" t="s">
        <v>571</v>
      </c>
      <c r="G2" s="1401"/>
      <c r="H2" s="1401"/>
    </row>
    <row r="3" spans="1:9" ht="15.75" x14ac:dyDescent="0.2">
      <c r="F3" s="1401" t="s">
        <v>708</v>
      </c>
      <c r="G3" s="1401"/>
      <c r="H3" s="1401"/>
    </row>
    <row r="4" spans="1:9" ht="15.75" x14ac:dyDescent="0.2">
      <c r="F4" s="1401" t="s">
        <v>709</v>
      </c>
      <c r="G4" s="1401"/>
      <c r="H4" s="1401"/>
    </row>
    <row r="5" spans="1:9" ht="15.75" x14ac:dyDescent="0.2">
      <c r="E5" s="796"/>
      <c r="F5" s="796"/>
      <c r="G5" s="1078"/>
    </row>
    <row r="6" spans="1:9" ht="15.75" x14ac:dyDescent="0.2">
      <c r="F6" s="796"/>
    </row>
    <row r="7" spans="1:9" ht="15.75" x14ac:dyDescent="0.2">
      <c r="E7" s="797"/>
      <c r="F7" s="796"/>
    </row>
    <row r="8" spans="1:9" ht="31.15" customHeight="1" x14ac:dyDescent="0.3">
      <c r="A8" s="1402" t="s">
        <v>690</v>
      </c>
      <c r="B8" s="1402"/>
      <c r="C8" s="1402"/>
      <c r="D8" s="1402"/>
      <c r="E8" s="1402"/>
      <c r="F8" s="1402"/>
    </row>
    <row r="9" spans="1:9" ht="29.65" customHeight="1" thickBot="1" x14ac:dyDescent="0.25">
      <c r="A9" s="798"/>
      <c r="B9" s="798"/>
      <c r="C9" s="798"/>
      <c r="D9" s="798"/>
      <c r="E9" s="798"/>
      <c r="H9" s="798" t="s">
        <v>572</v>
      </c>
    </row>
    <row r="10" spans="1:9" ht="29.65" customHeight="1" x14ac:dyDescent="0.2">
      <c r="A10" s="1407" t="s">
        <v>573</v>
      </c>
      <c r="B10" s="1410" t="s">
        <v>574</v>
      </c>
      <c r="C10" s="1410" t="s">
        <v>270</v>
      </c>
      <c r="D10" s="1410" t="s">
        <v>575</v>
      </c>
      <c r="E10" s="1413" t="s">
        <v>576</v>
      </c>
      <c r="F10" s="1413" t="s">
        <v>691</v>
      </c>
      <c r="G10" s="1389" t="s">
        <v>692</v>
      </c>
      <c r="H10" s="1392" t="s">
        <v>460</v>
      </c>
    </row>
    <row r="11" spans="1:9" ht="32.65" customHeight="1" x14ac:dyDescent="0.2">
      <c r="A11" s="1408"/>
      <c r="B11" s="1411"/>
      <c r="C11" s="1411"/>
      <c r="D11" s="1411"/>
      <c r="E11" s="1414"/>
      <c r="F11" s="1414"/>
      <c r="G11" s="1390"/>
      <c r="H11" s="1393"/>
    </row>
    <row r="12" spans="1:9" ht="32.65" customHeight="1" x14ac:dyDescent="0.2">
      <c r="A12" s="1408"/>
      <c r="B12" s="1411"/>
      <c r="C12" s="1411"/>
      <c r="D12" s="1411"/>
      <c r="E12" s="1414"/>
      <c r="F12" s="1414"/>
      <c r="G12" s="1390"/>
      <c r="H12" s="1393"/>
    </row>
    <row r="13" spans="1:9" ht="56.45" customHeight="1" thickBot="1" x14ac:dyDescent="0.25">
      <c r="A13" s="1409"/>
      <c r="B13" s="1412"/>
      <c r="C13" s="1412"/>
      <c r="D13" s="1412"/>
      <c r="E13" s="1415"/>
      <c r="F13" s="1415"/>
      <c r="G13" s="1391"/>
      <c r="H13" s="1394"/>
    </row>
    <row r="14" spans="1:9" s="84" customFormat="1" ht="23.45" customHeight="1" thickBot="1" x14ac:dyDescent="0.3">
      <c r="A14" s="1079" t="s">
        <v>279</v>
      </c>
      <c r="B14" s="1080" t="s">
        <v>280</v>
      </c>
      <c r="C14" s="1080" t="s">
        <v>281</v>
      </c>
      <c r="D14" s="1080" t="s">
        <v>456</v>
      </c>
      <c r="E14" s="1081">
        <v>5</v>
      </c>
      <c r="F14" s="1081">
        <v>6</v>
      </c>
      <c r="G14" s="1082">
        <v>7</v>
      </c>
      <c r="H14" s="1083">
        <v>8</v>
      </c>
      <c r="I14" s="75"/>
    </row>
    <row r="15" spans="1:9" s="802" customFormat="1" ht="39" customHeight="1" thickBot="1" x14ac:dyDescent="0.35">
      <c r="A15" s="799">
        <v>1200000</v>
      </c>
      <c r="B15" s="800"/>
      <c r="C15" s="801"/>
      <c r="D15" s="1395" t="s">
        <v>577</v>
      </c>
      <c r="E15" s="1395"/>
      <c r="F15" s="1084">
        <f>F16</f>
        <v>8712211</v>
      </c>
      <c r="G15" s="1084">
        <f>G16</f>
        <v>347166.81999999995</v>
      </c>
      <c r="H15" s="1085"/>
      <c r="I15" s="75"/>
    </row>
    <row r="16" spans="1:9" s="803" customFormat="1" ht="37.9" customHeight="1" x14ac:dyDescent="0.3">
      <c r="A16" s="1086">
        <v>1210000</v>
      </c>
      <c r="B16" s="1087"/>
      <c r="C16" s="1088"/>
      <c r="D16" s="1406" t="s">
        <v>577</v>
      </c>
      <c r="E16" s="1406"/>
      <c r="F16" s="1089">
        <f>F17+F18+F19+F20+F21+F22+F23+F24</f>
        <v>8712211</v>
      </c>
      <c r="G16" s="1089">
        <f>G17+G18+G19+G20+G21+G22+G23+G24</f>
        <v>347166.81999999995</v>
      </c>
      <c r="H16" s="1090"/>
      <c r="I16" s="75"/>
    </row>
    <row r="17" spans="1:11" s="803" customFormat="1" ht="52.15" customHeight="1" x14ac:dyDescent="0.3">
      <c r="A17" s="1396" t="s">
        <v>137</v>
      </c>
      <c r="B17" s="1397">
        <v>7461</v>
      </c>
      <c r="C17" s="1398" t="s">
        <v>139</v>
      </c>
      <c r="D17" s="1399" t="s">
        <v>578</v>
      </c>
      <c r="E17" s="804" t="s">
        <v>579</v>
      </c>
      <c r="F17" s="805">
        <v>199246</v>
      </c>
      <c r="G17" s="806">
        <v>198860.37</v>
      </c>
      <c r="H17" s="1091">
        <v>1</v>
      </c>
      <c r="I17" s="75"/>
    </row>
    <row r="18" spans="1:11" s="802" customFormat="1" ht="62.45" customHeight="1" x14ac:dyDescent="0.3">
      <c r="A18" s="1396"/>
      <c r="B18" s="1397"/>
      <c r="C18" s="1398"/>
      <c r="D18" s="1399"/>
      <c r="E18" s="804" t="s">
        <v>580</v>
      </c>
      <c r="F18" s="805">
        <v>2590</v>
      </c>
      <c r="G18" s="806">
        <v>2583.0700000000002</v>
      </c>
      <c r="H18" s="1091">
        <v>1</v>
      </c>
      <c r="I18" s="75"/>
    </row>
    <row r="19" spans="1:11" s="802" customFormat="1" ht="65.45" customHeight="1" x14ac:dyDescent="0.3">
      <c r="A19" s="1396"/>
      <c r="B19" s="1397"/>
      <c r="C19" s="1398"/>
      <c r="D19" s="1399"/>
      <c r="E19" s="804" t="s">
        <v>581</v>
      </c>
      <c r="F19" s="807">
        <v>116519</v>
      </c>
      <c r="G19" s="806">
        <v>116291.16</v>
      </c>
      <c r="H19" s="1091">
        <v>1</v>
      </c>
      <c r="I19" s="75"/>
    </row>
    <row r="20" spans="1:11" s="802" customFormat="1" ht="48.6" customHeight="1" x14ac:dyDescent="0.3">
      <c r="A20" s="1396"/>
      <c r="B20" s="1397"/>
      <c r="C20" s="1398"/>
      <c r="D20" s="1399"/>
      <c r="E20" s="804" t="s">
        <v>582</v>
      </c>
      <c r="F20" s="807">
        <v>12947</v>
      </c>
      <c r="G20" s="806">
        <v>12921.17</v>
      </c>
      <c r="H20" s="1091">
        <v>1</v>
      </c>
      <c r="I20" s="75"/>
    </row>
    <row r="21" spans="1:11" s="802" customFormat="1" ht="65.25" customHeight="1" x14ac:dyDescent="0.3">
      <c r="A21" s="1396"/>
      <c r="B21" s="1397"/>
      <c r="C21" s="1398"/>
      <c r="D21" s="1399"/>
      <c r="E21" s="804" t="s">
        <v>583</v>
      </c>
      <c r="F21" s="807">
        <v>6706</v>
      </c>
      <c r="G21" s="806">
        <v>6692.94</v>
      </c>
      <c r="H21" s="1091">
        <v>1</v>
      </c>
      <c r="I21" s="75"/>
    </row>
    <row r="22" spans="1:11" s="802" customFormat="1" ht="57" customHeight="1" x14ac:dyDescent="0.3">
      <c r="A22" s="1396"/>
      <c r="B22" s="1397"/>
      <c r="C22" s="1398"/>
      <c r="D22" s="1399"/>
      <c r="E22" s="804" t="s">
        <v>584</v>
      </c>
      <c r="F22" s="805">
        <v>6601</v>
      </c>
      <c r="G22" s="806">
        <v>6588.24</v>
      </c>
      <c r="H22" s="1091">
        <v>1</v>
      </c>
      <c r="I22" s="75"/>
    </row>
    <row r="23" spans="1:11" s="802" customFormat="1" ht="42" customHeight="1" x14ac:dyDescent="0.3">
      <c r="A23" s="1396"/>
      <c r="B23" s="1397"/>
      <c r="C23" s="1398"/>
      <c r="D23" s="1399"/>
      <c r="E23" s="804" t="s">
        <v>585</v>
      </c>
      <c r="F23" s="807">
        <v>3236</v>
      </c>
      <c r="G23" s="806">
        <v>3229.87</v>
      </c>
      <c r="H23" s="1091">
        <v>1</v>
      </c>
      <c r="I23" s="75"/>
    </row>
    <row r="24" spans="1:11" s="802" customFormat="1" ht="81" customHeight="1" thickBot="1" x14ac:dyDescent="0.35">
      <c r="A24" s="1092" t="s">
        <v>136</v>
      </c>
      <c r="B24" s="1093">
        <v>6030</v>
      </c>
      <c r="C24" s="1094" t="s">
        <v>27</v>
      </c>
      <c r="D24" s="1095" t="s">
        <v>28</v>
      </c>
      <c r="E24" s="1096" t="s">
        <v>693</v>
      </c>
      <c r="F24" s="1097">
        <v>8364366</v>
      </c>
      <c r="G24" s="1098">
        <v>0</v>
      </c>
      <c r="H24" s="1099">
        <v>0</v>
      </c>
      <c r="I24" s="75"/>
    </row>
    <row r="25" spans="1:11" s="802" customFormat="1" ht="28.9" customHeight="1" thickBot="1" x14ac:dyDescent="0.35">
      <c r="A25" s="1403" t="s">
        <v>586</v>
      </c>
      <c r="B25" s="1404"/>
      <c r="C25" s="1404"/>
      <c r="D25" s="1404"/>
      <c r="E25" s="808"/>
      <c r="F25" s="809">
        <f>F15</f>
        <v>8712211</v>
      </c>
      <c r="G25" s="809">
        <f t="shared" ref="G25:H25" si="0">G15</f>
        <v>347166.81999999995</v>
      </c>
      <c r="H25" s="809">
        <f t="shared" si="0"/>
        <v>0</v>
      </c>
      <c r="I25" s="75"/>
    </row>
    <row r="26" spans="1:11" s="802" customFormat="1" ht="28.9" customHeight="1" x14ac:dyDescent="0.3">
      <c r="A26" s="810"/>
      <c r="B26" s="811"/>
      <c r="C26" s="812"/>
      <c r="D26" s="813"/>
      <c r="E26" s="814"/>
      <c r="F26" s="815"/>
      <c r="G26" s="75"/>
      <c r="H26" s="75"/>
      <c r="I26" s="75"/>
    </row>
    <row r="27" spans="1:11" s="817" customFormat="1" ht="42.6" customHeight="1" x14ac:dyDescent="0.25">
      <c r="A27" s="816" t="s">
        <v>405</v>
      </c>
      <c r="C27" s="816"/>
      <c r="D27" s="816"/>
      <c r="E27" s="1405" t="s">
        <v>472</v>
      </c>
      <c r="F27" s="1405"/>
      <c r="G27" s="75"/>
      <c r="H27" s="75"/>
      <c r="I27" s="75"/>
      <c r="J27" s="818"/>
      <c r="K27" s="819"/>
    </row>
    <row r="28" spans="1:11" s="826" customFormat="1" ht="17.45" customHeight="1" x14ac:dyDescent="0.25">
      <c r="A28" s="820"/>
      <c r="B28" s="821"/>
      <c r="C28" s="822"/>
      <c r="D28" s="823"/>
      <c r="E28" s="824"/>
      <c r="F28" s="825"/>
      <c r="G28" s="75"/>
      <c r="H28" s="75"/>
      <c r="I28" s="75"/>
    </row>
    <row r="30" spans="1:11" ht="15.6" customHeight="1" x14ac:dyDescent="0.25">
      <c r="A30" s="824"/>
      <c r="C30" s="821"/>
      <c r="D30" s="824"/>
    </row>
    <row r="31" spans="1:11" ht="15.6" customHeight="1" x14ac:dyDescent="0.25">
      <c r="A31" s="824"/>
      <c r="C31" s="824"/>
      <c r="D31" s="825"/>
      <c r="E31" s="827"/>
    </row>
    <row r="32" spans="1:11" ht="13.15" customHeight="1" x14ac:dyDescent="0.2"/>
    <row r="33" ht="13.15" customHeight="1" x14ac:dyDescent="0.2"/>
    <row r="34" ht="13.15" customHeight="1" x14ac:dyDescent="0.2"/>
    <row r="35" ht="13.15" customHeight="1" x14ac:dyDescent="0.2"/>
    <row r="36" ht="13.9" customHeight="1" x14ac:dyDescent="0.2"/>
  </sheetData>
  <mergeCells count="21">
    <mergeCell ref="A25:D25"/>
    <mergeCell ref="E27:F27"/>
    <mergeCell ref="D16:E16"/>
    <mergeCell ref="A10:A13"/>
    <mergeCell ref="B10:B13"/>
    <mergeCell ref="C10:C13"/>
    <mergeCell ref="D10:D13"/>
    <mergeCell ref="E10:E13"/>
    <mergeCell ref="F10:F13"/>
    <mergeCell ref="F1:H1"/>
    <mergeCell ref="F2:H2"/>
    <mergeCell ref="F3:H3"/>
    <mergeCell ref="F4:H4"/>
    <mergeCell ref="A8:F8"/>
    <mergeCell ref="G10:G13"/>
    <mergeCell ref="H10:H13"/>
    <mergeCell ref="D15:E15"/>
    <mergeCell ref="A17:A23"/>
    <mergeCell ref="B17:B23"/>
    <mergeCell ref="C17:C23"/>
    <mergeCell ref="D17:D23"/>
  </mergeCells>
  <pageMargins left="0.70866141732283472" right="0.70866141732283472"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9</vt:i4>
      </vt:variant>
    </vt:vector>
  </HeadingPairs>
  <TitlesOfParts>
    <vt:vector size="18" baseType="lpstr">
      <vt:lpstr>дод 1 Доходи </vt:lpstr>
      <vt:lpstr>дод 2 Джерела</vt:lpstr>
      <vt:lpstr>дод 3 Видатки</vt:lpstr>
      <vt:lpstr>дод 4 Кредитування</vt:lpstr>
      <vt:lpstr>дод 5 Трансферти</vt:lpstr>
      <vt:lpstr>дод 6 Програми</vt:lpstr>
      <vt:lpstr>дод 7 Бюдж розвитку</vt:lpstr>
      <vt:lpstr>дод 8 ФОНС </vt:lpstr>
      <vt:lpstr>дод 9 Дороги</vt:lpstr>
      <vt:lpstr>'дод 1 Доходи '!Заголовки_для_друку</vt:lpstr>
      <vt:lpstr>'дод 3 Видатки'!Заголовки_для_друку</vt:lpstr>
      <vt:lpstr>'дод 1 Доходи '!Область_друку</vt:lpstr>
      <vt:lpstr>'дод 2 Джерела'!Область_друку</vt:lpstr>
      <vt:lpstr>'дод 3 Видатки'!Область_друку</vt:lpstr>
      <vt:lpstr>'дод 5 Трансферти'!Область_друку</vt:lpstr>
      <vt:lpstr>'дод 6 Програми'!Область_друку</vt:lpstr>
      <vt:lpstr>'дод 7 Бюдж розвитку'!Область_друку</vt:lpstr>
      <vt:lpstr>'дод 8 ФОНС '!Область_друку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2024-11-15T07:49:08Z</cp:lastPrinted>
  <dcterms:created xsi:type="dcterms:W3CDTF">2021-12-17T13:26:15Z</dcterms:created>
  <dcterms:modified xsi:type="dcterms:W3CDTF">2024-11-15T07:50:06Z</dcterms:modified>
</cp:coreProperties>
</file>