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Рішення про бюджет на 2024 рік\9. Рішення грудень\Рішення від         13.12.24\"/>
    </mc:Choice>
  </mc:AlternateContent>
  <bookViews>
    <workbookView xWindow="-120" yWindow="-120" windowWidth="29040" windowHeight="15720"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Видатки'!$A$1:$P$146</definedName>
    <definedName name="_xlnm.Print_Area" localSheetId="3">'дод 4 Трансферти'!$A$1:$D$78</definedName>
    <definedName name="_xlnm.Print_Area" localSheetId="4">'дод 5 Програми'!$A$1:$J$127</definedName>
    <definedName name="_xlnm.Print_Area" localSheetId="5">'дод 6 Бюджет розвитку'!$A$1:$K$124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25" l="1"/>
  <c r="J41" i="11"/>
  <c r="H41" i="11"/>
  <c r="D72" i="24"/>
  <c r="D67" i="24"/>
  <c r="E28" i="23"/>
  <c r="D28" i="23"/>
  <c r="K39" i="19"/>
  <c r="F39" i="19"/>
  <c r="D26" i="23" l="1"/>
  <c r="D35" i="24" l="1"/>
  <c r="D37" i="24"/>
  <c r="F48" i="19"/>
  <c r="F47" i="19"/>
  <c r="G47" i="19"/>
  <c r="D77" i="22"/>
  <c r="D78" i="22"/>
  <c r="F125" i="19" l="1"/>
  <c r="J113" i="25"/>
  <c r="J112" i="25" s="1"/>
  <c r="I112" i="11" l="1"/>
  <c r="H112" i="11"/>
  <c r="J114" i="11"/>
  <c r="G114" i="11" s="1"/>
  <c r="J112" i="11" l="1"/>
  <c r="O124" i="19"/>
  <c r="J125" i="19"/>
  <c r="J126" i="19"/>
  <c r="J127" i="19"/>
  <c r="P127" i="19" s="1"/>
  <c r="K127" i="19"/>
  <c r="G130" i="19" l="1"/>
  <c r="F130" i="19"/>
  <c r="H55" i="11" l="1"/>
  <c r="D25" i="24"/>
  <c r="F52" i="19"/>
  <c r="D69" i="22"/>
  <c r="D57" i="22" l="1"/>
  <c r="D54" i="22"/>
  <c r="D51" i="22"/>
  <c r="D47" i="22"/>
  <c r="D40" i="22"/>
  <c r="D37" i="22"/>
  <c r="D35" i="22" s="1"/>
  <c r="D22" i="22"/>
  <c r="D74" i="22"/>
  <c r="D72" i="22"/>
  <c r="K110" i="19" l="1"/>
  <c r="J120" i="25"/>
  <c r="J119" i="25" s="1"/>
  <c r="J118" i="25" s="1"/>
  <c r="J117" i="25"/>
  <c r="J103" i="25"/>
  <c r="J106" i="25"/>
  <c r="K106" i="25" s="1"/>
  <c r="K60" i="25"/>
  <c r="J57" i="25"/>
  <c r="J99" i="11"/>
  <c r="O111" i="19"/>
  <c r="J56" i="25"/>
  <c r="J51" i="25"/>
  <c r="J48" i="25"/>
  <c r="J44" i="25"/>
  <c r="J43" i="25"/>
  <c r="J40" i="25"/>
  <c r="K57" i="25" l="1"/>
  <c r="J42" i="25"/>
  <c r="J109" i="11"/>
  <c r="H93" i="11"/>
  <c r="H81" i="11"/>
  <c r="H27" i="11"/>
  <c r="D29" i="24"/>
  <c r="D31" i="24"/>
  <c r="J28" i="19"/>
  <c r="K141" i="19"/>
  <c r="O141" i="19"/>
  <c r="J141" i="19" s="1"/>
  <c r="O135" i="19"/>
  <c r="K135" i="19" s="1"/>
  <c r="O121" i="19"/>
  <c r="O110" i="19"/>
  <c r="O97" i="19"/>
  <c r="O92" i="19"/>
  <c r="K92" i="19" s="1"/>
  <c r="O83" i="19"/>
  <c r="O81" i="19"/>
  <c r="K71" i="19"/>
  <c r="O71" i="19" s="1"/>
  <c r="F135" i="19"/>
  <c r="F104" i="19"/>
  <c r="F97" i="19"/>
  <c r="F105" i="19"/>
  <c r="F93" i="19"/>
  <c r="G81" i="19"/>
  <c r="F81" i="19"/>
  <c r="E81" i="19" s="1"/>
  <c r="F44" i="19"/>
  <c r="F27" i="19"/>
  <c r="J135" i="19" l="1"/>
  <c r="H95" i="11"/>
  <c r="H35" i="11"/>
  <c r="J90" i="25" l="1"/>
  <c r="J104" i="11" l="1"/>
  <c r="O116" i="19"/>
  <c r="F106" i="19" l="1"/>
  <c r="F37" i="19"/>
  <c r="D49" i="24"/>
  <c r="D86" i="22"/>
  <c r="H44" i="19" l="1"/>
  <c r="G44" i="19"/>
  <c r="J74" i="25" l="1"/>
  <c r="J102" i="11" l="1"/>
  <c r="O114" i="19"/>
  <c r="D41" i="24" l="1"/>
  <c r="F49" i="19"/>
  <c r="D80" i="22"/>
  <c r="G43" i="19" l="1"/>
  <c r="F43" i="19"/>
  <c r="F42" i="19"/>
  <c r="J116" i="25" l="1"/>
  <c r="J115" i="25" s="1"/>
  <c r="J111" i="25"/>
  <c r="J109" i="25"/>
  <c r="G108" i="25"/>
  <c r="K103" i="25"/>
  <c r="J102" i="25"/>
  <c r="J98" i="25"/>
  <c r="I98" i="25"/>
  <c r="J97" i="25"/>
  <c r="I94" i="25"/>
  <c r="J91" i="25"/>
  <c r="J86" i="25"/>
  <c r="H86" i="25"/>
  <c r="I86"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23" i="25" l="1"/>
  <c r="J22" i="25" s="1"/>
  <c r="J108" i="25"/>
  <c r="J55" i="25" s="1"/>
  <c r="D56" i="22"/>
  <c r="J54" i="25" l="1"/>
  <c r="J121" i="25" s="1"/>
  <c r="J110" i="11" l="1"/>
  <c r="J107" i="11"/>
  <c r="O122" i="19"/>
  <c r="K122" i="19" s="1"/>
  <c r="O118" i="19"/>
  <c r="H45" i="11"/>
  <c r="H44" i="11"/>
  <c r="J38" i="11"/>
  <c r="G95" i="11"/>
  <c r="J89" i="11"/>
  <c r="H89" i="11"/>
  <c r="H63" i="11"/>
  <c r="I35" i="11"/>
  <c r="G35" i="11" s="1"/>
  <c r="H32" i="11"/>
  <c r="D84" i="22"/>
  <c r="D83" i="22"/>
  <c r="D48" i="24"/>
  <c r="D45" i="24"/>
  <c r="D43" i="24"/>
  <c r="O102" i="19"/>
  <c r="K102" i="19"/>
  <c r="E106" i="19"/>
  <c r="P106" i="19" s="1"/>
  <c r="F102" i="19"/>
  <c r="F73" i="19"/>
  <c r="F68" i="19"/>
  <c r="F67" i="19"/>
  <c r="F34" i="19"/>
  <c r="E37" i="19"/>
  <c r="P37" i="19" s="1"/>
  <c r="D73" i="22" l="1"/>
  <c r="G97" i="19"/>
  <c r="G80" i="19"/>
  <c r="F80" i="19"/>
  <c r="F76" i="19"/>
  <c r="C69" i="22" l="1"/>
  <c r="C70" i="22"/>
  <c r="D68" i="22"/>
  <c r="G88" i="11"/>
  <c r="G55" i="11"/>
  <c r="O96" i="19"/>
  <c r="J101" i="19"/>
  <c r="P101" i="19" s="1"/>
  <c r="K101" i="19"/>
  <c r="D24" i="24" l="1"/>
  <c r="E51" i="19"/>
  <c r="E52" i="19"/>
  <c r="P52" i="19" s="1"/>
  <c r="H122" i="11" l="1"/>
  <c r="G122" i="11" s="1"/>
  <c r="H121" i="11"/>
  <c r="G121" i="11" s="1"/>
  <c r="J120" i="11"/>
  <c r="J119" i="11" s="1"/>
  <c r="I120" i="11"/>
  <c r="I119" i="11" s="1"/>
  <c r="H118" i="11"/>
  <c r="G118" i="11" s="1"/>
  <c r="H117" i="11"/>
  <c r="G117" i="11" s="1"/>
  <c r="J116" i="11"/>
  <c r="J115" i="11" s="1"/>
  <c r="I116" i="11"/>
  <c r="I115" i="11" s="1"/>
  <c r="G113" i="11"/>
  <c r="J111" i="11"/>
  <c r="I111" i="11"/>
  <c r="H111" i="11"/>
  <c r="I110" i="11"/>
  <c r="I109" i="1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112" i="11" l="1"/>
  <c r="G111" i="11" s="1"/>
  <c r="G31" i="11"/>
  <c r="H120" i="11"/>
  <c r="H119" i="11" s="1"/>
  <c r="G37" i="11"/>
  <c r="G39" i="11"/>
  <c r="G106" i="11"/>
  <c r="H116" i="11"/>
  <c r="H115"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6" i="11"/>
  <c r="G115" i="11" s="1"/>
  <c r="J24" i="11"/>
  <c r="J23" i="11" s="1"/>
  <c r="G51" i="11"/>
  <c r="G64" i="11"/>
  <c r="G110" i="11"/>
  <c r="G120" i="11"/>
  <c r="G119" i="11" s="1"/>
  <c r="G89" i="11"/>
  <c r="I29" i="11"/>
  <c r="I24" i="11" s="1"/>
  <c r="J98" i="11"/>
  <c r="J97" i="11" s="1"/>
  <c r="G103" i="11"/>
  <c r="G109" i="11"/>
  <c r="H69" i="11"/>
  <c r="G99" i="11"/>
  <c r="G102" i="11"/>
  <c r="H57" i="11" l="1"/>
  <c r="G57" i="11" s="1"/>
  <c r="I23" i="11"/>
  <c r="G43" i="11"/>
  <c r="I84" i="11"/>
  <c r="I83" i="11" s="1"/>
  <c r="H42" i="11"/>
  <c r="G42" i="11" s="1"/>
  <c r="G98" i="11"/>
  <c r="J123" i="11"/>
  <c r="H68" i="11"/>
  <c r="G68" i="11" s="1"/>
  <c r="G69" i="11"/>
  <c r="G29" i="11"/>
  <c r="H23" i="11"/>
  <c r="G24" i="11"/>
  <c r="G83" i="11" l="1"/>
  <c r="I123" i="11"/>
  <c r="G84" i="11"/>
  <c r="H123" i="11"/>
  <c r="G23" i="11"/>
  <c r="G123" i="11" s="1"/>
  <c r="D55" i="24" l="1"/>
  <c r="D54" i="24"/>
  <c r="F73" i="22"/>
  <c r="E76" i="22"/>
  <c r="E73" i="22" s="1"/>
  <c r="D38" i="24"/>
  <c r="O115" i="19" l="1"/>
  <c r="K111" i="19"/>
  <c r="J44" i="19"/>
  <c r="K43" i="19"/>
  <c r="K41" i="19" s="1"/>
  <c r="O39" i="19"/>
  <c r="F141" i="19"/>
  <c r="O138" i="19"/>
  <c r="F138" i="19"/>
  <c r="E138" i="19" s="1"/>
  <c r="F137"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C82" i="22"/>
  <c r="C79" i="22"/>
  <c r="O43" i="19" l="1"/>
  <c r="J43" i="19" s="1"/>
  <c r="O41" i="19" l="1"/>
  <c r="E58" i="22"/>
  <c r="D41" i="22"/>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4" i="19"/>
  <c r="J136" i="19"/>
  <c r="J134" i="19" s="1"/>
  <c r="J133" i="19" s="1"/>
  <c r="J137" i="19"/>
  <c r="J138" i="19"/>
  <c r="P138" i="19" s="1"/>
  <c r="K138" i="19"/>
  <c r="K134" i="19" s="1"/>
  <c r="J122" i="19"/>
  <c r="P122" i="19" s="1"/>
  <c r="K115" i="19"/>
  <c r="J115" i="19" l="1"/>
  <c r="P115" i="19" s="1"/>
  <c r="K121" i="19"/>
  <c r="K114" i="19"/>
  <c r="F110" i="19"/>
  <c r="F132" i="19"/>
  <c r="E132" i="19" s="1"/>
  <c r="P132"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35" i="19"/>
  <c r="G141"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F124" i="19" s="1"/>
  <c r="K117" i="19"/>
  <c r="K119" i="19"/>
  <c r="K116" i="19"/>
  <c r="J113" i="19"/>
  <c r="J111" i="19"/>
  <c r="P111" i="19" s="1"/>
  <c r="K113" i="19"/>
  <c r="E135" i="19"/>
  <c r="E137" i="19"/>
  <c r="F136" i="19"/>
  <c r="F134" i="19" s="1"/>
  <c r="G129" i="19"/>
  <c r="F131" i="19"/>
  <c r="F129" i="19" s="1"/>
  <c r="O40" i="19"/>
  <c r="J45" i="19"/>
  <c r="J46" i="19"/>
  <c r="J50" i="19"/>
  <c r="J51" i="19"/>
  <c r="P38" i="19"/>
  <c r="K30" i="19"/>
  <c r="F30" i="19"/>
  <c r="F26" i="19"/>
  <c r="K109" i="19" l="1"/>
  <c r="F24" i="19"/>
  <c r="O30" i="19"/>
  <c r="O24" i="19" s="1"/>
  <c r="K24" i="19"/>
  <c r="K23" i="19" s="1"/>
  <c r="P50" i="19"/>
  <c r="P137" i="19"/>
  <c r="J119" i="19"/>
  <c r="P119" i="19" s="1"/>
  <c r="E126" i="19"/>
  <c r="E124" i="19" s="1"/>
  <c r="E136" i="19"/>
  <c r="P136" i="19" s="1"/>
  <c r="P51" i="19"/>
  <c r="E134"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C35" i="22"/>
  <c r="C34" i="22"/>
  <c r="C33" i="22"/>
  <c r="C32" i="22"/>
  <c r="C31" i="22"/>
  <c r="D30" i="22"/>
  <c r="C27" i="22"/>
  <c r="C26" i="22"/>
  <c r="C25" i="22"/>
  <c r="D24" i="22"/>
  <c r="C24" i="22" s="1"/>
  <c r="C23" i="22"/>
  <c r="C22" i="22"/>
  <c r="D21" i="22"/>
  <c r="C30" i="22" l="1"/>
  <c r="D29" i="22"/>
  <c r="D28" i="22" s="1"/>
  <c r="C21" i="22"/>
  <c r="D20" i="22"/>
  <c r="C73" i="22"/>
  <c r="D66" i="22"/>
  <c r="D65" i="22" s="1"/>
  <c r="C65" i="22" s="1"/>
  <c r="E44" i="22"/>
  <c r="C55" i="22"/>
  <c r="D32" i="23"/>
  <c r="F63" i="22"/>
  <c r="F87" i="22" s="1"/>
  <c r="F25" i="23"/>
  <c r="F24" i="23" s="1"/>
  <c r="F31" i="23" s="1"/>
  <c r="C32" i="23"/>
  <c r="C24" i="23"/>
  <c r="D33" i="23"/>
  <c r="C33" i="23" s="1"/>
  <c r="E29" i="23"/>
  <c r="E36" i="23" s="1"/>
  <c r="E20" i="22"/>
  <c r="D44" i="22"/>
  <c r="C29" i="22" l="1"/>
  <c r="E63" i="22"/>
  <c r="E87" i="22" s="1"/>
  <c r="C28" i="22"/>
  <c r="C44" i="22"/>
  <c r="C66" i="22"/>
  <c r="D64" i="22"/>
  <c r="C64" i="22" s="1"/>
  <c r="F29" i="23"/>
  <c r="F36" i="23" s="1"/>
  <c r="D63" i="22"/>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40" i="19"/>
  <c r="K140" i="19"/>
  <c r="L140" i="19"/>
  <c r="M140" i="19"/>
  <c r="N140" i="19"/>
  <c r="O140" i="19"/>
  <c r="H140" i="19"/>
  <c r="G140" i="19"/>
  <c r="F140" i="19"/>
  <c r="P114" i="19" l="1"/>
  <c r="J142" i="19" l="1"/>
  <c r="E142" i="19"/>
  <c r="E141" i="19"/>
  <c r="K139" i="19"/>
  <c r="G139" i="19"/>
  <c r="F139" i="19"/>
  <c r="I139" i="19"/>
  <c r="H139" i="19"/>
  <c r="P135" i="19"/>
  <c r="P134" i="19" s="1"/>
  <c r="O133" i="19"/>
  <c r="N134" i="19"/>
  <c r="N133" i="19" s="1"/>
  <c r="M134" i="19"/>
  <c r="M133" i="19" s="1"/>
  <c r="L134" i="19"/>
  <c r="L133" i="19" s="1"/>
  <c r="K133" i="19"/>
  <c r="I134" i="19"/>
  <c r="I133" i="19" s="1"/>
  <c r="H134" i="19"/>
  <c r="H133" i="19" s="1"/>
  <c r="G134" i="19"/>
  <c r="G133" i="19" s="1"/>
  <c r="F133" i="19"/>
  <c r="E131" i="19"/>
  <c r="P131" i="19" s="1"/>
  <c r="J130" i="19"/>
  <c r="J129" i="19" s="1"/>
  <c r="J128" i="19" s="1"/>
  <c r="E130" i="19"/>
  <c r="O129" i="19"/>
  <c r="O128" i="19" s="1"/>
  <c r="N129" i="19"/>
  <c r="N128" i="19" s="1"/>
  <c r="M129" i="19"/>
  <c r="M128" i="19" s="1"/>
  <c r="L129" i="19"/>
  <c r="L128" i="19" s="1"/>
  <c r="K129" i="19"/>
  <c r="K128" i="19" s="1"/>
  <c r="K126" i="19" s="1"/>
  <c r="K125" i="19" s="1"/>
  <c r="I129" i="19"/>
  <c r="I128" i="19" s="1"/>
  <c r="H129" i="19"/>
  <c r="H128" i="19" s="1"/>
  <c r="G128" i="19"/>
  <c r="F128" i="19"/>
  <c r="E123" i="19"/>
  <c r="O123" i="19"/>
  <c r="N124" i="19"/>
  <c r="N123" i="19" s="1"/>
  <c r="M124" i="19"/>
  <c r="M123" i="19" s="1"/>
  <c r="L124" i="19"/>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L123" i="19" l="1"/>
  <c r="J124" i="19"/>
  <c r="P124" i="19" s="1"/>
  <c r="J123" i="19"/>
  <c r="K123" i="19"/>
  <c r="K124" i="19"/>
  <c r="J24" i="19"/>
  <c r="J23" i="19" s="1"/>
  <c r="E41" i="19"/>
  <c r="P41" i="19" s="1"/>
  <c r="E96" i="19"/>
  <c r="E95" i="19" s="1"/>
  <c r="P25" i="19"/>
  <c r="E24" i="19"/>
  <c r="J96" i="19"/>
  <c r="J95" i="19" s="1"/>
  <c r="K96" i="19"/>
  <c r="K95" i="19" s="1"/>
  <c r="E129" i="19"/>
  <c r="P129" i="19" s="1"/>
  <c r="P130" i="19"/>
  <c r="P102" i="19"/>
  <c r="P36" i="19"/>
  <c r="J62" i="19"/>
  <c r="J61" i="19" s="1"/>
  <c r="E62" i="19"/>
  <c r="E61" i="19" s="1"/>
  <c r="E79" i="19"/>
  <c r="E78" i="19" s="1"/>
  <c r="J40" i="19"/>
  <c r="P43" i="19"/>
  <c r="E109" i="19"/>
  <c r="P109" i="19" s="1"/>
  <c r="P110" i="19"/>
  <c r="P126" i="19"/>
  <c r="P123" i="19"/>
  <c r="P42" i="19"/>
  <c r="M143" i="19"/>
  <c r="P35" i="19"/>
  <c r="P100" i="19"/>
  <c r="P26" i="19"/>
  <c r="P32" i="19"/>
  <c r="P80" i="19"/>
  <c r="P97" i="19"/>
  <c r="P98" i="19"/>
  <c r="P81" i="19"/>
  <c r="P89" i="19"/>
  <c r="P94" i="19"/>
  <c r="P83" i="19"/>
  <c r="P84" i="19"/>
  <c r="P88" i="19"/>
  <c r="P93" i="19"/>
  <c r="P44" i="19"/>
  <c r="P65" i="19"/>
  <c r="P82" i="19"/>
  <c r="J79" i="19"/>
  <c r="J78" i="19" s="1"/>
  <c r="G40" i="19"/>
  <c r="G143" i="19" s="1"/>
  <c r="E133" i="19"/>
  <c r="P55" i="19"/>
  <c r="P76" i="19"/>
  <c r="P64" i="19"/>
  <c r="P72" i="19"/>
  <c r="P45" i="19"/>
  <c r="P66" i="19"/>
  <c r="P77" i="19"/>
  <c r="P141" i="19"/>
  <c r="E140" i="19"/>
  <c r="E139" i="19" s="1"/>
  <c r="J75" i="19"/>
  <c r="J74" i="19" s="1"/>
  <c r="P33" i="19"/>
  <c r="L143" i="19"/>
  <c r="P31" i="19"/>
  <c r="P28" i="19"/>
  <c r="J140" i="19"/>
  <c r="J139" i="19" s="1"/>
  <c r="P86" i="19"/>
  <c r="P104" i="19"/>
  <c r="P99" i="19"/>
  <c r="P142" i="19"/>
  <c r="P73" i="19"/>
  <c r="P85" i="19"/>
  <c r="O143" i="19"/>
  <c r="I143" i="19"/>
  <c r="P29" i="19"/>
  <c r="P107" i="19"/>
  <c r="P69" i="19"/>
  <c r="P27" i="19"/>
  <c r="N143" i="19"/>
  <c r="P92" i="19"/>
  <c r="H143" i="19"/>
  <c r="E75" i="19"/>
  <c r="P63" i="19"/>
  <c r="P87" i="19"/>
  <c r="P96" i="19" l="1"/>
  <c r="E128" i="19"/>
  <c r="P128" i="19" s="1"/>
  <c r="P24" i="19"/>
  <c r="P79" i="19"/>
  <c r="P125" i="19"/>
  <c r="P95" i="19"/>
  <c r="E108" i="19"/>
  <c r="F108" i="19" s="1"/>
  <c r="F143" i="19" s="1"/>
  <c r="E23" i="19"/>
  <c r="P23" i="19" s="1"/>
  <c r="J108" i="19"/>
  <c r="P78" i="19"/>
  <c r="P133" i="19"/>
  <c r="P140" i="19"/>
  <c r="P139" i="19"/>
  <c r="P61" i="19"/>
  <c r="P62" i="19"/>
  <c r="E74" i="19"/>
  <c r="P74" i="19" s="1"/>
  <c r="P75" i="19"/>
  <c r="E40" i="19"/>
  <c r="P40" i="19" s="1"/>
  <c r="J143" i="19" l="1"/>
  <c r="P108" i="19"/>
  <c r="E143" i="19"/>
  <c r="P143" i="19" l="1"/>
  <c r="K108" i="19" l="1"/>
  <c r="K143" i="19" s="1"/>
</calcChain>
</file>

<file path=xl/sharedStrings.xml><?xml version="1.0" encoding="utf-8"?>
<sst xmlns="http://schemas.openxmlformats.org/spreadsheetml/2006/main" count="1692" uniqueCount="695">
  <si>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</si>
  <si>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</si>
  <si>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</si>
  <si>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</si>
  <si>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</si>
  <si>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</si>
  <si>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</si>
  <si>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</si>
  <si>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</si>
  <si>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</si>
  <si>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</si>
  <si>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</si>
  <si>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</si>
  <si>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</si>
  <si>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</si>
  <si>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</si>
  <si>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</si>
  <si>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</si>
  <si>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</si>
  <si>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</si>
  <si>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</si>
  <si>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</si>
  <si>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</si>
  <si>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</si>
  <si>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</si>
  <si>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</si>
  <si>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</si>
  <si>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</si>
  <si>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</si>
  <si>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</si>
  <si>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</si>
  <si>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</si>
  <si>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</si>
  <si>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</si>
  <si>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</si>
  <si>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</si>
  <si>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</si>
  <si>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</si>
  <si>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</si>
  <si>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</si>
  <si>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</si>
  <si>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</si>
  <si>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</si>
  <si>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</si>
  <si>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</si>
  <si>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</si>
  <si>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</si>
  <si>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</si>
  <si>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</si>
  <si>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</si>
  <si>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</si>
  <si>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</si>
  <si>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</si>
  <si>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</si>
  <si>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</si>
  <si>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</si>
  <si>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</si>
  <si>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</si>
  <si>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</si>
  <si>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</si>
  <si>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</si>
  <si>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</si>
  <si>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</si>
  <si>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</si>
  <si>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</si>
  <si>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</si>
  <si>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</si>
  <si>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</si>
  <si>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</si>
  <si>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</si>
  <si>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</si>
  <si>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</si>
  <si>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</si>
  <si>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</si>
  <si>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</si>
  <si>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</si>
  <si>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</si>
  <si>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</si>
  <si>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</si>
  <si>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</si>
  <si>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</si>
  <si>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</si>
  <si>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</si>
  <si>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</si>
  <si>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</si>
  <si>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</si>
  <si>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</si>
  <si>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</si>
  <si>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</si>
  <si>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</si>
  <si>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</si>
  <si>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</si>
  <si>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</si>
  <si>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</si>
  <si>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</si>
  <si>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</si>
  <si>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</si>
  <si>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</si>
  <si>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</si>
  <si>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</si>
  <si>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</si>
  <si>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</si>
  <si>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</si>
  <si>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</si>
  <si>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</si>
  <si>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</si>
  <si>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</si>
  <si>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</si>
  <si>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</si>
  <si>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</si>
  <si>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</si>
  <si>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</si>
  <si>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</si>
  <si>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</si>
  <si>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</si>
  <si>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</si>
  <si>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</si>
  <si>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</si>
  <si>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</si>
  <si>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</si>
  <si>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</si>
  <si>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</si>
  <si>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</si>
  <si>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</si>
  <si>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</si>
  <si>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</si>
  <si>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</si>
  <si>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</si>
  <si>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</si>
  <si>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</si>
  <si>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</si>
  <si>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</si>
  <si>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</si>
  <si>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</si>
  <si>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</si>
  <si>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</si>
  <si>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</si>
  <si>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</si>
  <si>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</si>
  <si>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</si>
  <si>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</si>
  <si>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</si>
  <si>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</si>
  <si>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</si>
  <si>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</si>
  <si>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</si>
  <si>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</si>
  <si>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</si>
  <si>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</si>
  <si>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</si>
  <si>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</si>
  <si>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</si>
  <si>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</si>
  <si>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</si>
  <si>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</si>
  <si>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</si>
  <si>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</si>
  <si>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</si>
  <si>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</si>
  <si>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</si>
  <si>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</si>
  <si>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</si>
  <si>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</si>
  <si>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</si>
  <si>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</si>
  <si>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</si>
  <si>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</si>
  <si>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</si>
  <si>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</si>
  <si>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</si>
  <si>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</si>
  <si>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</si>
  <si>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</si>
  <si>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</si>
  <si>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</si>
  <si>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</si>
  <si>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</si>
  <si>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</si>
  <si>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</si>
  <si>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</si>
  <si>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</si>
  <si>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</si>
  <si>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</si>
  <si>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</si>
  <si>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</si>
  <si>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</si>
  <si>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</si>
  <si>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</si>
  <si>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</si>
  <si>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</si>
  <si>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</si>
  <si>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</si>
  <si>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</si>
  <si>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</si>
  <si>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</si>
  <si>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</si>
  <si>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</si>
  <si>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</si>
  <si>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</si>
  <si>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</si>
  <si>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</si>
  <si>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</si>
  <si>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</si>
  <si>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</si>
  <si>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</si>
  <si>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</si>
  <si>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</si>
  <si>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</si>
  <si>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</si>
  <si>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</si>
  <si>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</si>
  <si>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</si>
  <si>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</si>
  <si>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</si>
  <si>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</si>
  <si>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</si>
  <si>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</si>
  <si>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</si>
  <si>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</si>
  <si>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</si>
  <si>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</si>
  <si>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</si>
  <si>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</si>
  <si>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</si>
  <si>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</si>
  <si>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</si>
  <si>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</si>
  <si>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</si>
  <si>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</si>
  <si>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</si>
  <si>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</si>
  <si>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</si>
  <si>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</si>
  <si>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</si>
  <si>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</si>
  <si>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</si>
  <si>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</si>
  <si>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</si>
  <si>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</si>
  <si>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</si>
  <si>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</si>
  <si>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</si>
  <si>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</si>
  <si>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</si>
  <si>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</si>
  <si>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</si>
  <si>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</si>
  <si>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</si>
  <si>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</si>
  <si>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</si>
  <si>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</si>
  <si>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</si>
  <si>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</si>
  <si>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</si>
  <si>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</si>
  <si>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</si>
  <si>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</si>
  <si>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</si>
  <si>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</si>
  <si>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</si>
  <si>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</si>
  <si>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</si>
  <si>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</si>
  <si>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</si>
  <si>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</si>
  <si>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</si>
  <si>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</si>
  <si>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</si>
  <si>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</si>
  <si>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</si>
  <si>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</si>
  <si>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</si>
  <si>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</si>
  <si>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</si>
  <si>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</si>
  <si>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</si>
  <si>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</si>
  <si>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</si>
  <si>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</si>
  <si>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</si>
  <si>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</si>
  <si>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</si>
  <si>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</si>
  <si>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</si>
  <si>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</si>
  <si>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</si>
  <si>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</si>
  <si>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</si>
  <si>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</si>
  <si>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</si>
  <si>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</si>
  <si>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</si>
  <si>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</si>
  <si>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</si>
  <si>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</si>
  <si>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</si>
  <si>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</si>
  <si>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</si>
  <si>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</si>
  <si>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</si>
  <si>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</si>
  <si>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</si>
  <si>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</si>
  <si>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</si>
  <si>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</si>
  <si>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</si>
  <si>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</si>
  <si>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</si>
  <si>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</si>
  <si>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</si>
  <si>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</si>
  <si>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</si>
  <si>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</si>
  <si>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</si>
  <si>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</si>
  <si>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</si>
  <si>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</si>
  <si>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</si>
  <si>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</si>
  <si>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</si>
  <si>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</si>
  <si>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</si>
  <si>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</si>
  <si>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</si>
  <si>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</si>
  <si>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</si>
  <si>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</si>
  <si>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</si>
  <si>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</si>
  <si>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</si>
  <si>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</si>
  <si>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</si>
  <si>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</si>
  <si>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</si>
  <si>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</si>
  <si>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</si>
  <si>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</si>
  <si>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</si>
  <si>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</si>
  <si>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</si>
  <si>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</si>
  <si>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</si>
  <si>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</si>
  <si>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</si>
  <si>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</si>
  <si>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</si>
  <si>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</si>
  <si>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</si>
  <si>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</si>
  <si>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</si>
  <si>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</si>
  <si>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</si>
  <si>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</si>
  <si>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</si>
  <si>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</si>
  <si>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</si>
  <si>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</si>
  <si>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</si>
  <si>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</si>
  <si>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</si>
  <si>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</si>
  <si>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</si>
  <si>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</si>
  <si>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</si>
  <si>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</si>
  <si>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</si>
  <si>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</si>
  <si>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</si>
  <si>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</si>
  <si>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</si>
  <si>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</si>
  <si>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</si>
  <si>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</si>
  <si>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</si>
  <si>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</si>
  <si>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</si>
  <si>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</si>
  <si>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</si>
  <si>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</si>
  <si>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</si>
  <si>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</si>
  <si>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</si>
  <si>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</si>
  <si>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</si>
  <si>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</si>
  <si>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</si>
  <si>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</si>
  <si>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</si>
  <si>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</si>
  <si>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</si>
  <si>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</si>
  <si>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</si>
  <si>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</si>
  <si>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</si>
  <si>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</si>
  <si>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</si>
  <si>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</si>
  <si>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</si>
  <si>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</si>
  <si>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</si>
  <si>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</si>
  <si>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</si>
  <si>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</si>
  <si>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</si>
  <si>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</si>
  <si>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</si>
  <si>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</si>
  <si>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</si>
  <si>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</si>
  <si>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</si>
  <si>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</si>
  <si>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</si>
  <si>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</si>
  <si>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</si>
  <si>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</si>
  <si>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</si>
  <si>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</si>
  <si>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</si>
  <si>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</si>
  <si>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</si>
  <si>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</si>
  <si>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</si>
  <si>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</si>
  <si>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</si>
  <si>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</si>
  <si>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</si>
  <si>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</si>
  <si>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</si>
  <si>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</si>
  <si>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</si>
  <si>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</si>
  <si>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</si>
  <si>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</si>
  <si>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</si>
  <si>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</si>
  <si>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</si>
  <si>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</si>
  <si>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</si>
  <si>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</si>
  <si>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</si>
  <si>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</si>
  <si>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</si>
  <si>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</si>
  <si>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</si>
  <si>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</si>
  <si>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</si>
  <si>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</si>
  <si>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</si>
  <si>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</si>
  <si>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</si>
  <si>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</si>
  <si>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</si>
  <si>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</si>
  <si>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</si>
  <si>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</si>
  <si>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</si>
  <si>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</si>
  <si>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</si>
  <si>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</si>
  <si>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</si>
  <si>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</si>
  <si>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</si>
  <si>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</si>
  <si>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Додаток 5</t>
  </si>
  <si>
    <t>від 14 грудня 2023 року</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</si>
  <si>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</si>
  <si>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</si>
  <si>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</si>
  <si>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</si>
  <si>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</si>
  <si>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</si>
  <si>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</si>
  <si>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</si>
  <si>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</si>
  <si>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</si>
  <si>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</si>
  <si>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</si>
  <si>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</si>
  <si>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</si>
  <si>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</si>
  <si>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</si>
  <si>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</si>
  <si>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</si>
  <si>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</si>
  <si>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</si>
  <si>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</si>
  <si>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</si>
  <si>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</si>
  <si>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</si>
  <si>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</si>
  <si>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</si>
  <si>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</si>
  <si>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</si>
  <si>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</si>
  <si>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</si>
  <si>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</si>
  <si>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</si>
  <si>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</si>
  <si>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</si>
  <si>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</si>
  <si>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</si>
  <si>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</si>
  <si>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</si>
  <si>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</si>
  <si>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</si>
  <si>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</si>
  <si>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</si>
  <si>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</si>
  <si>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</si>
  <si>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</si>
  <si>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</si>
  <si>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</si>
  <si>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</si>
  <si>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</si>
  <si>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</si>
  <si>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</si>
  <si>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</si>
  <si>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</si>
  <si>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</si>
  <si>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</si>
  <si>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</si>
  <si>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</si>
  <si>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</si>
  <si>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</si>
  <si>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</si>
  <si>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</si>
  <si>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</si>
  <si>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</si>
  <si>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</si>
  <si>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</si>
  <si>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</si>
  <si>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</si>
  <si>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</si>
  <si>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</si>
  <si>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</si>
  <si>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</si>
  <si>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</si>
  <si>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</si>
  <si>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</si>
  <si>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</si>
  <si>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</si>
  <si>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</si>
  <si>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</si>
  <si>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</si>
  <si>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</si>
  <si>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</si>
  <si>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</si>
  <si>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</si>
  <si>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</si>
  <si>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</si>
  <si>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</si>
  <si>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</si>
  <si>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</si>
  <si>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</si>
  <si>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</si>
  <si>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</si>
  <si>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</si>
  <si>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</si>
  <si>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</si>
  <si>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</si>
  <si>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</si>
  <si>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</si>
  <si>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</si>
  <si>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</si>
  <si>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</si>
  <si>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</si>
  <si>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</si>
  <si>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</si>
  <si>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</si>
  <si>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</si>
  <si>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</si>
  <si>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</si>
  <si>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</si>
  <si>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</si>
  <si>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</si>
  <si>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</si>
  <si>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</si>
  <si>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</si>
  <si>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</si>
  <si>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</si>
  <si>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х</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</si>
  <si>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</si>
  <si>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</si>
  <si>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</si>
  <si>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</si>
  <si>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</si>
  <si>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</si>
  <si>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</si>
  <si>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</si>
  <si>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</si>
  <si>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</si>
  <si>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</si>
  <si>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</si>
  <si>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</si>
  <si>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</si>
  <si>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</si>
  <si>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</si>
  <si>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</si>
  <si>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</si>
  <si>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</si>
  <si>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</si>
  <si>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</si>
  <si>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</si>
  <si>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</si>
  <si>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</si>
  <si>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</si>
  <si>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</si>
  <si>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</si>
  <si>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</si>
  <si>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</si>
  <si>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</si>
  <si>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</si>
  <si>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</si>
  <si>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</si>
  <si>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</si>
  <si>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</si>
  <si>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</si>
  <si>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</si>
  <si>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</si>
  <si>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</si>
  <si>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</si>
  <si>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</si>
  <si>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</si>
  <si>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</si>
  <si>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</si>
  <si>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</si>
  <si>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</si>
  <si>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</si>
  <si>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</si>
  <si>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</si>
  <si>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</si>
  <si>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</si>
  <si>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</si>
  <si>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</si>
  <si>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</si>
  <si>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</si>
  <si>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</si>
  <si>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</si>
  <si>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</si>
  <si>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</si>
  <si>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</si>
  <si>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</si>
  <si>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</si>
  <si>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</si>
  <si>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</si>
  <si>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</si>
  <si>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</si>
  <si>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</si>
  <si>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</si>
  <si>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</si>
  <si>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</si>
  <si>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</si>
  <si>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</si>
  <si>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</si>
  <si>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</si>
  <si>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</si>
  <si>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</si>
  <si>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</si>
  <si>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</si>
  <si>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</si>
  <si>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</si>
  <si>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</si>
  <si>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</si>
  <si>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</si>
  <si>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04.03.2022 року № 948-VIІІ з внесеними змінами  від  14.11.2024 року № 1933-VIII,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</si>
  <si>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</si>
  <si>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</si>
  <si>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до рішення Південнівської міської ради</t>
  </si>
  <si>
    <t>Секретар Південнівської міської ради</t>
  </si>
  <si>
    <t>Розроблення комплексних планів просторового розвитку територій територіальних громад</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</si>
  <si>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</si>
  <si>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</si>
  <si>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</si>
  <si>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</si>
  <si>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</si>
  <si>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Секретар Південнівської міської ради                                                                                                                                Ігор ЧУГУННИКОВ                                                         </t>
  </si>
  <si>
    <t xml:space="preserve">Секретар Південнівської міської ради                                                                                                       Ігор ЧУГУННИКОВ                                                         </t>
  </si>
  <si>
    <t xml:space="preserve">Рішення ЮМР від 22.07.2021 року № 470-VІІІ з внесеними змінами  від   13.12.2024 року № 1971-VIII, шляхом викладення  у новій редакції  </t>
  </si>
  <si>
    <t xml:space="preserve">Рішення ЮМР від 13.07.2023 року № 1401-VIІI з внесеними змінами  від  13.12.2024 року № 1972-VIII, шляхом викладення  у новій редакції  </t>
  </si>
  <si>
    <t xml:space="preserve">Рішення ЮМР від 28.10.2022 року № 1092-VIIІ з внесеними змінами  від    13.12.2024 року №  1974-VIII, шляхом викладення  у новій редакції  </t>
  </si>
  <si>
    <t xml:space="preserve">Рішення ЮМР від 25.07.2019 року №1438-VII  з внесеними змінами  від  13.12.2024 року № 1976-VIII, шляхом викладення  у новій редакції  </t>
  </si>
  <si>
    <t xml:space="preserve">Рішення Южненської міської ради від 19.09.2019 року № 1529-VII, з внесеними змінами  від  13.12.2024 року № 1977-VIII, шляхом викладення  у новій редакції  </t>
  </si>
  <si>
    <t>Рішення Южненської міської ради  від 29.04.2021 року № 360-VIIІ з внесеними змінами  від   13.12.2024  року №  1978-VIII, шляхом викладення у новій редакції</t>
  </si>
  <si>
    <t>від   13.12.2024 року</t>
  </si>
  <si>
    <t>№  1979-VIII</t>
  </si>
  <si>
    <t xml:space="preserve">                                                                                                  №  1979-VIII</t>
  </si>
  <si>
    <t xml:space="preserve">                                                                                       до  рішення Південнівської міської ради</t>
  </si>
  <si>
    <r>
      <t xml:space="preserve">                                                                                      </t>
    </r>
    <r>
      <rPr>
        <u/>
        <sz val="12"/>
        <rFont val="Times New Roman"/>
        <family val="1"/>
        <charset val="204"/>
      </rPr>
      <t xml:space="preserve"> № 1604-VIІІ</t>
    </r>
  </si>
  <si>
    <t xml:space="preserve">                                           (пункт 3)"</t>
  </si>
  <si>
    <t xml:space="preserve">                                                                                                 Додаток 4</t>
  </si>
  <si>
    <t>№ 1979-VIII</t>
  </si>
  <si>
    <t>від    13.12.2024 року</t>
  </si>
  <si>
    <t>від  13.12.2024 року</t>
  </si>
  <si>
    <t xml:space="preserve">                                                                                                  від   13.12.2024 року</t>
  </si>
  <si>
    <t xml:space="preserve">Рішення ЮМР від 01.12.2022 року № 1170-VIІІ з внесеними змінами  від    29.08.2024 року №  1840-VIII, шляхом викладення  у новій редакції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</si>
</sst>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
      <sz val="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73">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7"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7"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7"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7"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7"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7"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167"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7"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7"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8"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8" fontId="34" fillId="0" borderId="18" xfId="0" applyNumberFormat="1" applyFont="1" applyBorder="1" applyAlignment="1">
      <alignment vertical="center" wrapText="1"/>
    </xf>
    <xf numFmtId="168" fontId="34" fillId="0" borderId="19" xfId="0" applyNumberFormat="1" applyFont="1" applyBorder="1" applyAlignment="1">
      <alignment horizontal="right" vertical="center"/>
    </xf>
    <xf numFmtId="3" fontId="34" fillId="0" borderId="12" xfId="0" applyNumberFormat="1" applyFont="1" applyBorder="1" applyAlignment="1">
      <alignment vertical="center" wrapText="1"/>
    </xf>
    <xf numFmtId="167"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7"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7"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7" fontId="30" fillId="0" borderId="25" xfId="1" applyNumberFormat="1" applyFont="1" applyFill="1" applyBorder="1" applyAlignment="1">
      <alignment horizontal="right" vertical="center" wrapText="1"/>
    </xf>
    <xf numFmtId="9" fontId="36" fillId="0" borderId="49"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167"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7" fontId="36" fillId="0" borderId="0" xfId="0" applyNumberFormat="1" applyFont="1" applyAlignment="1">
      <alignment horizontal="right" vertical="center"/>
    </xf>
    <xf numFmtId="0" fontId="3" fillId="4" borderId="1" xfId="0" applyFont="1" applyFill="1" applyBorder="1" applyAlignment="1">
      <alignment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0" fontId="41" fillId="0" borderId="12" xfId="0" applyFont="1" applyBorder="1" applyAlignment="1">
      <alignment horizontal="center"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9" fontId="36"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49" fontId="34" fillId="0" borderId="32" xfId="0" applyNumberFormat="1" applyFont="1" applyBorder="1" applyAlignment="1">
      <alignment horizontal="center" vertical="center" wrapText="1"/>
    </xf>
    <xf numFmtId="3" fontId="34" fillId="0" borderId="27" xfId="0" applyNumberFormat="1" applyFont="1" applyBorder="1" applyAlignment="1">
      <alignment horizontal="right" vertical="center" wrapText="1"/>
    </xf>
    <xf numFmtId="9" fontId="34" fillId="0" borderId="28" xfId="0" applyNumberFormat="1" applyFont="1" applyBorder="1" applyAlignment="1">
      <alignment horizontal="right" vertical="center" wrapText="1"/>
    </xf>
    <xf numFmtId="0" fontId="37" fillId="2" borderId="1" xfId="0" quotePrefix="1" applyFont="1" applyFill="1" applyBorder="1" applyAlignment="1">
      <alignment horizontal="left" vertical="center" wrapText="1"/>
    </xf>
    <xf numFmtId="0" fontId="37" fillId="2" borderId="12" xfId="0" quotePrefix="1" applyFont="1" applyFill="1" applyBorder="1" applyAlignment="1">
      <alignment horizontal="left" vertical="center" wrapText="1"/>
    </xf>
    <xf numFmtId="0" fontId="37" fillId="0" borderId="1" xfId="0" applyFont="1" applyBorder="1" applyAlignment="1">
      <alignment horizontal="left" wrapText="1"/>
    </xf>
    <xf numFmtId="0" fontId="36" fillId="0" borderId="1" xfId="0" applyFont="1" applyBorder="1" applyAlignment="1">
      <alignment wrapText="1"/>
    </xf>
    <xf numFmtId="3" fontId="36" fillId="2" borderId="3" xfId="0" applyNumberFormat="1" applyFont="1" applyFill="1" applyBorder="1" applyAlignment="1">
      <alignment horizontal="center" vertical="center" wrapText="1"/>
    </xf>
    <xf numFmtId="3" fontId="36"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4" fillId="2" borderId="27" xfId="0" applyNumberFormat="1" applyFont="1" applyFill="1" applyBorder="1" applyAlignment="1">
      <alignment vertical="center"/>
    </xf>
    <xf numFmtId="3" fontId="34" fillId="0" borderId="27" xfId="0" applyNumberFormat="1" applyFont="1" applyBorder="1" applyAlignment="1">
      <alignment vertical="center" wrapText="1"/>
    </xf>
    <xf numFmtId="168" fontId="34" fillId="0" borderId="27" xfId="0" applyNumberFormat="1" applyFont="1" applyBorder="1" applyAlignment="1">
      <alignment vertical="center" wrapText="1"/>
    </xf>
    <xf numFmtId="3" fontId="36" fillId="0" borderId="50" xfId="0" applyNumberFormat="1" applyFont="1" applyBorder="1" applyAlignment="1">
      <alignment horizontal="right" vertical="center"/>
    </xf>
    <xf numFmtId="168" fontId="34" fillId="0" borderId="28" xfId="0" applyNumberFormat="1" applyFont="1" applyBorder="1" applyAlignment="1">
      <alignment horizontal="right" vertical="center"/>
    </xf>
    <xf numFmtId="164" fontId="8" fillId="2" borderId="27"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0" fontId="7" fillId="2" borderId="27" xfId="0" quotePrefix="1" applyFont="1" applyFill="1" applyBorder="1" applyAlignment="1">
      <alignment vertical="center" wrapText="1"/>
    </xf>
    <xf numFmtId="3" fontId="34" fillId="2" borderId="27" xfId="0" applyNumberFormat="1" applyFont="1" applyFill="1" applyBorder="1" applyAlignment="1">
      <alignment vertical="center" wrapText="1"/>
    </xf>
    <xf numFmtId="3" fontId="34" fillId="2" borderId="27" xfId="0" applyNumberFormat="1" applyFont="1" applyFill="1" applyBorder="1" applyAlignment="1">
      <alignment horizontal="right" vertical="center" wrapText="1"/>
    </xf>
    <xf numFmtId="3" fontId="34" fillId="2" borderId="27" xfId="0" applyNumberFormat="1" applyFont="1" applyFill="1" applyBorder="1" applyAlignment="1">
      <alignment horizontal="right" vertical="center"/>
    </xf>
    <xf numFmtId="9" fontId="34" fillId="2" borderId="27" xfId="0" applyNumberFormat="1" applyFont="1" applyFill="1" applyBorder="1" applyAlignment="1">
      <alignment horizontal="right" vertical="center" wrapText="1"/>
    </xf>
    <xf numFmtId="49" fontId="3" fillId="2" borderId="15"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0" fontId="21" fillId="2" borderId="14" xfId="0" quotePrefix="1" applyFont="1" applyFill="1" applyBorder="1" applyAlignment="1">
      <alignment vertical="center" wrapText="1"/>
    </xf>
    <xf numFmtId="3" fontId="34" fillId="2" borderId="15" xfId="0" applyNumberFormat="1" applyFont="1" applyFill="1" applyBorder="1" applyAlignment="1">
      <alignment vertical="center" wrapText="1"/>
    </xf>
    <xf numFmtId="49" fontId="36" fillId="2" borderId="15" xfId="0" applyNumberFormat="1" applyFont="1" applyFill="1" applyBorder="1" applyAlignment="1">
      <alignment horizontal="center" vertical="center" wrapText="1"/>
    </xf>
    <xf numFmtId="3" fontId="34" fillId="2" borderId="15" xfId="0" applyNumberFormat="1" applyFont="1" applyFill="1" applyBorder="1" applyAlignment="1">
      <alignment horizontal="right" vertical="center" wrapText="1"/>
    </xf>
    <xf numFmtId="3" fontId="34" fillId="2" borderId="15" xfId="0" applyNumberFormat="1" applyFont="1" applyFill="1" applyBorder="1" applyAlignment="1">
      <alignment horizontal="right" vertical="center"/>
    </xf>
    <xf numFmtId="9" fontId="34" fillId="2" borderId="15" xfId="0" applyNumberFormat="1" applyFont="1" applyFill="1" applyBorder="1" applyAlignment="1">
      <alignment horizontal="right" vertical="center" wrapText="1"/>
    </xf>
    <xf numFmtId="9" fontId="34" fillId="2" borderId="16"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8" fontId="34" fillId="0" borderId="15" xfId="0" applyNumberFormat="1" applyFont="1" applyBorder="1" applyAlignment="1">
      <alignment vertical="center" wrapText="1"/>
    </xf>
    <xf numFmtId="3" fontId="30" fillId="0" borderId="15" xfId="0" applyNumberFormat="1" applyFont="1" applyBorder="1" applyAlignment="1">
      <alignment horizontal="right" vertical="center"/>
    </xf>
    <xf numFmtId="168" fontId="34" fillId="0" borderId="16" xfId="0" applyNumberFormat="1" applyFont="1" applyBorder="1" applyAlignment="1">
      <alignment horizontal="right" vertical="center"/>
    </xf>
    <xf numFmtId="3" fontId="34" fillId="2" borderId="12" xfId="0" applyNumberFormat="1" applyFont="1" applyFill="1" applyBorder="1" applyAlignment="1">
      <alignment vertical="center"/>
    </xf>
    <xf numFmtId="168"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0" fontId="3" fillId="2" borderId="15" xfId="0" applyFont="1" applyFill="1" applyBorder="1" applyAlignment="1">
      <alignment horizontal="center" vertical="center" wrapText="1"/>
    </xf>
    <xf numFmtId="3" fontId="36" fillId="2" borderId="27" xfId="0" applyNumberFormat="1" applyFont="1" applyFill="1" applyBorder="1" applyAlignment="1">
      <alignment horizontal="right" vertical="center"/>
    </xf>
    <xf numFmtId="3" fontId="34" fillId="2" borderId="18" xfId="0" applyNumberFormat="1" applyFont="1" applyFill="1" applyBorder="1" applyAlignment="1">
      <alignment vertical="center" wrapText="1"/>
    </xf>
    <xf numFmtId="3" fontId="34" fillId="2" borderId="18" xfId="0" applyNumberFormat="1" applyFont="1" applyFill="1" applyBorder="1" applyAlignment="1">
      <alignment horizontal="right" vertical="center" wrapText="1"/>
    </xf>
    <xf numFmtId="3" fontId="34" fillId="2" borderId="18" xfId="0" applyNumberFormat="1" applyFont="1" applyFill="1" applyBorder="1" applyAlignment="1">
      <alignment horizontal="right" vertical="center"/>
    </xf>
    <xf numFmtId="9" fontId="34" fillId="2" borderId="18" xfId="0" applyNumberFormat="1" applyFont="1" applyFill="1" applyBorder="1" applyAlignment="1">
      <alignment horizontal="righ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5" xfId="0" quotePrefix="1" applyFont="1" applyFill="1" applyBorder="1" applyAlignment="1">
      <alignment vertical="center" wrapText="1"/>
    </xf>
    <xf numFmtId="164" fontId="5" fillId="2" borderId="15" xfId="0" applyNumberFormat="1" applyFont="1" applyFill="1" applyBorder="1" applyAlignment="1">
      <alignment vertical="center"/>
    </xf>
    <xf numFmtId="164" fontId="8" fillId="2" borderId="16" xfId="0" applyNumberFormat="1" applyFont="1" applyFill="1" applyBorder="1" applyAlignment="1">
      <alignment vertical="center"/>
    </xf>
    <xf numFmtId="164" fontId="8" fillId="2" borderId="15" xfId="0" applyNumberFormat="1" applyFont="1" applyFill="1" applyBorder="1" applyAlignment="1">
      <alignment vertical="center"/>
    </xf>
    <xf numFmtId="0" fontId="13" fillId="0" borderId="31" xfId="0" applyFont="1" applyFill="1" applyBorder="1" applyAlignment="1">
      <alignment vertical="center" wrapText="1"/>
    </xf>
    <xf numFmtId="0" fontId="37" fillId="0" borderId="4" xfId="0" applyFont="1" applyBorder="1" applyAlignment="1">
      <alignment horizontal="center" vertical="center" wrapText="1"/>
    </xf>
    <xf numFmtId="0" fontId="7" fillId="0" borderId="21"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7" xfId="0" applyFont="1" applyFill="1" applyBorder="1" applyAlignment="1">
      <alignment horizontal="center" vertical="center"/>
    </xf>
    <xf numFmtId="1" fontId="36" fillId="2" borderId="18" xfId="0" applyNumberFormat="1" applyFont="1" applyFill="1" applyBorder="1" applyAlignment="1">
      <alignment horizontal="center" vertical="center" wrapText="1"/>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5"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40" fillId="2" borderId="17" xfId="0" applyFont="1" applyFill="1" applyBorder="1" applyAlignment="1">
      <alignment horizontal="center" vertical="center"/>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0" fontId="36" fillId="0" borderId="27"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27" xfId="0" applyFont="1" applyFill="1" applyBorder="1" applyAlignment="1">
      <alignment horizontal="center" vertical="center"/>
    </xf>
    <xf numFmtId="0" fontId="46" fillId="0" borderId="28" xfId="0" applyFont="1" applyFill="1" applyBorder="1" applyAlignment="1">
      <alignment horizontal="center" vertical="center"/>
    </xf>
    <xf numFmtId="9" fontId="34" fillId="2" borderId="19" xfId="0" applyNumberFormat="1" applyFont="1" applyFill="1" applyBorder="1" applyAlignment="1">
      <alignment horizontal="right" vertical="center"/>
    </xf>
    <xf numFmtId="9" fontId="34" fillId="2" borderId="28" xfId="0" applyNumberFormat="1" applyFont="1" applyFill="1" applyBorder="1" applyAlignment="1">
      <alignment horizontal="right" vertical="center"/>
    </xf>
    <xf numFmtId="168" fontId="34" fillId="0" borderId="13" xfId="0" applyNumberFormat="1" applyFont="1" applyBorder="1" applyAlignment="1">
      <alignment horizontal="right" vertical="center"/>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zoomScale="92" zoomScaleNormal="100" zoomScaleSheetLayoutView="92" workbookViewId="0">
      <selection activeCell="L18" sqref="L18"/>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99" t="s">
        <v>165</v>
      </c>
      <c r="E1" s="4"/>
    </row>
    <row r="2" spans="1:9" ht="15.75" x14ac:dyDescent="0.2">
      <c r="D2" s="99" t="s">
        <v>667</v>
      </c>
      <c r="E2" s="4"/>
    </row>
    <row r="3" spans="1:9" ht="15.75" x14ac:dyDescent="0.25">
      <c r="D3" s="100" t="s">
        <v>692</v>
      </c>
      <c r="E3" s="223"/>
    </row>
    <row r="4" spans="1:9" ht="15.75" x14ac:dyDescent="0.25">
      <c r="D4" s="101" t="s">
        <v>684</v>
      </c>
      <c r="E4" s="669"/>
    </row>
    <row r="5" spans="1:9" ht="15.75" x14ac:dyDescent="0.2">
      <c r="D5" s="796" t="s">
        <v>459</v>
      </c>
      <c r="E5" s="796"/>
    </row>
    <row r="6" spans="1:9" ht="15.75" x14ac:dyDescent="0.2">
      <c r="D6" s="799" t="s">
        <v>455</v>
      </c>
      <c r="E6" s="799"/>
      <c r="F6" s="799"/>
      <c r="G6" s="799"/>
      <c r="H6" s="799"/>
      <c r="I6" s="799"/>
    </row>
    <row r="7" spans="1:9" ht="15.75" x14ac:dyDescent="0.2">
      <c r="D7" s="798" t="s">
        <v>281</v>
      </c>
      <c r="E7" s="798"/>
      <c r="F7" s="798"/>
      <c r="G7" s="111"/>
      <c r="H7" s="111"/>
      <c r="I7" s="111"/>
    </row>
    <row r="8" spans="1:9" ht="15.75" x14ac:dyDescent="0.2">
      <c r="D8" s="800" t="s">
        <v>291</v>
      </c>
      <c r="E8" s="800"/>
      <c r="F8" s="800"/>
      <c r="G8" s="111"/>
      <c r="H8" s="111"/>
      <c r="I8" s="111"/>
    </row>
    <row r="9" spans="1:9" ht="15.75" x14ac:dyDescent="0.2">
      <c r="D9" s="800" t="s">
        <v>282</v>
      </c>
      <c r="E9" s="800"/>
      <c r="F9" s="800"/>
      <c r="G9" s="111"/>
      <c r="H9" s="111"/>
      <c r="I9" s="111"/>
    </row>
    <row r="10" spans="1:9" ht="15.75" x14ac:dyDescent="0.25">
      <c r="D10" s="797" t="s">
        <v>456</v>
      </c>
      <c r="E10" s="797"/>
      <c r="F10" s="797"/>
      <c r="G10" s="798"/>
      <c r="H10" s="798"/>
      <c r="I10" s="798"/>
    </row>
    <row r="11" spans="1:9" ht="15.75" x14ac:dyDescent="0.25">
      <c r="D11" s="797" t="s">
        <v>292</v>
      </c>
      <c r="E11" s="801"/>
      <c r="F11" s="801"/>
      <c r="G11" s="800"/>
      <c r="H11" s="800"/>
      <c r="I11" s="800"/>
    </row>
    <row r="12" spans="1:9" ht="15.75" x14ac:dyDescent="0.25">
      <c r="D12" s="801" t="s">
        <v>457</v>
      </c>
      <c r="E12" s="801"/>
      <c r="F12" s="801"/>
      <c r="G12" s="800"/>
      <c r="H12" s="800"/>
      <c r="I12" s="800"/>
    </row>
    <row r="13" spans="1:9" ht="34.5" customHeight="1" x14ac:dyDescent="0.3">
      <c r="A13" s="802" t="s">
        <v>293</v>
      </c>
      <c r="B13" s="803"/>
      <c r="C13" s="803"/>
      <c r="D13" s="803"/>
      <c r="E13" s="803"/>
      <c r="F13" s="803"/>
      <c r="G13" s="797"/>
      <c r="H13" s="797"/>
      <c r="I13" s="797"/>
    </row>
    <row r="14" spans="1:9" ht="15.75" x14ac:dyDescent="0.25">
      <c r="A14" s="806" t="s">
        <v>166</v>
      </c>
      <c r="B14" s="806"/>
      <c r="C14" s="1"/>
      <c r="D14" s="1"/>
      <c r="E14" s="1"/>
      <c r="F14" s="1"/>
      <c r="G14" s="801"/>
      <c r="H14" s="801"/>
      <c r="I14" s="801"/>
    </row>
    <row r="15" spans="1:9" ht="16.5" thickBot="1" x14ac:dyDescent="0.3">
      <c r="A15" s="1" t="s">
        <v>0</v>
      </c>
      <c r="B15" s="1"/>
      <c r="C15" s="1"/>
      <c r="D15" s="1"/>
      <c r="E15" s="1"/>
      <c r="F15" s="2" t="s">
        <v>283</v>
      </c>
      <c r="G15" s="801"/>
      <c r="H15" s="801"/>
      <c r="I15" s="801"/>
    </row>
    <row r="16" spans="1:9" ht="15.75" x14ac:dyDescent="0.2">
      <c r="A16" s="807" t="s">
        <v>294</v>
      </c>
      <c r="B16" s="809" t="s">
        <v>295</v>
      </c>
      <c r="C16" s="809" t="s">
        <v>1</v>
      </c>
      <c r="D16" s="809" t="s">
        <v>2</v>
      </c>
      <c r="E16" s="809" t="s">
        <v>3</v>
      </c>
      <c r="F16" s="811"/>
    </row>
    <row r="17" spans="1:7" x14ac:dyDescent="0.2">
      <c r="A17" s="808"/>
      <c r="B17" s="810"/>
      <c r="C17" s="810"/>
      <c r="D17" s="810"/>
      <c r="E17" s="810" t="s">
        <v>4</v>
      </c>
      <c r="F17" s="812" t="s">
        <v>5</v>
      </c>
    </row>
    <row r="18" spans="1:7" x14ac:dyDescent="0.2">
      <c r="A18" s="808"/>
      <c r="B18" s="810"/>
      <c r="C18" s="810"/>
      <c r="D18" s="810"/>
      <c r="E18" s="810"/>
      <c r="F18" s="812"/>
    </row>
    <row r="19" spans="1:7" ht="15.75" x14ac:dyDescent="0.2">
      <c r="A19" s="25">
        <v>1</v>
      </c>
      <c r="B19" s="226">
        <v>2</v>
      </c>
      <c r="C19" s="226">
        <v>3</v>
      </c>
      <c r="D19" s="226">
        <v>4</v>
      </c>
      <c r="E19" s="226">
        <v>5</v>
      </c>
      <c r="F19" s="227">
        <v>6</v>
      </c>
    </row>
    <row r="20" spans="1:7" ht="15.75" x14ac:dyDescent="0.2">
      <c r="A20" s="228" t="s">
        <v>296</v>
      </c>
      <c r="B20" s="112" t="s">
        <v>297</v>
      </c>
      <c r="C20" s="113">
        <f t="shared" ref="C20:C27" si="0">D20</f>
        <v>479291416</v>
      </c>
      <c r="D20" s="113">
        <f>D21+D24+D28</f>
        <v>479291416</v>
      </c>
      <c r="E20" s="114">
        <f>E42</f>
        <v>359600</v>
      </c>
      <c r="F20" s="229">
        <v>0</v>
      </c>
      <c r="G20" s="115"/>
    </row>
    <row r="21" spans="1:7" ht="45" customHeight="1" x14ac:dyDescent="0.2">
      <c r="A21" s="230" t="s">
        <v>298</v>
      </c>
      <c r="B21" s="116" t="s">
        <v>299</v>
      </c>
      <c r="C21" s="117">
        <f t="shared" si="0"/>
        <v>301090216</v>
      </c>
      <c r="D21" s="117">
        <f>D22+D23</f>
        <v>301090216</v>
      </c>
      <c r="E21" s="114">
        <v>0</v>
      </c>
      <c r="F21" s="229">
        <v>0</v>
      </c>
      <c r="G21" s="115"/>
    </row>
    <row r="22" spans="1:7" ht="21" customHeight="1" x14ac:dyDescent="0.2">
      <c r="A22" s="231" t="s">
        <v>300</v>
      </c>
      <c r="B22" s="118" t="s">
        <v>301</v>
      </c>
      <c r="C22" s="12">
        <f t="shared" si="0"/>
        <v>300987916</v>
      </c>
      <c r="D22" s="12">
        <f>207344500+32239700+9230396+27255800+7256640+12102060+1408820+4150000</f>
        <v>300987916</v>
      </c>
      <c r="E22" s="114">
        <v>0</v>
      </c>
      <c r="F22" s="229">
        <v>0</v>
      </c>
      <c r="G22" s="115"/>
    </row>
    <row r="23" spans="1:7" ht="15.75" x14ac:dyDescent="0.2">
      <c r="A23" s="231" t="s">
        <v>302</v>
      </c>
      <c r="B23" s="118" t="s">
        <v>303</v>
      </c>
      <c r="C23" s="12">
        <f t="shared" si="0"/>
        <v>102300</v>
      </c>
      <c r="D23" s="12">
        <v>102300</v>
      </c>
      <c r="E23" s="12">
        <v>0</v>
      </c>
      <c r="F23" s="229">
        <v>0</v>
      </c>
      <c r="G23" s="115"/>
    </row>
    <row r="24" spans="1:7" ht="29.45" customHeight="1" x14ac:dyDescent="0.2">
      <c r="A24" s="230" t="s">
        <v>304</v>
      </c>
      <c r="B24" s="116" t="s">
        <v>305</v>
      </c>
      <c r="C24" s="119">
        <f t="shared" si="0"/>
        <v>19638200</v>
      </c>
      <c r="D24" s="119">
        <f>D25+D26+D27</f>
        <v>19638200</v>
      </c>
      <c r="E24" s="114">
        <v>0</v>
      </c>
      <c r="F24" s="229">
        <v>0</v>
      </c>
      <c r="G24" s="115"/>
    </row>
    <row r="25" spans="1:7" ht="31.5" x14ac:dyDescent="0.2">
      <c r="A25" s="231" t="s">
        <v>306</v>
      </c>
      <c r="B25" s="118" t="s">
        <v>307</v>
      </c>
      <c r="C25" s="12">
        <f t="shared" si="0"/>
        <v>443200</v>
      </c>
      <c r="D25" s="12">
        <v>443200</v>
      </c>
      <c r="E25" s="12">
        <v>0</v>
      </c>
      <c r="F25" s="229">
        <v>0</v>
      </c>
      <c r="G25" s="115"/>
    </row>
    <row r="26" spans="1:7" ht="47.25" x14ac:dyDescent="0.2">
      <c r="A26" s="231" t="s">
        <v>308</v>
      </c>
      <c r="B26" s="118" t="s">
        <v>309</v>
      </c>
      <c r="C26" s="12">
        <f t="shared" si="0"/>
        <v>5118800</v>
      </c>
      <c r="D26" s="12">
        <v>5118800</v>
      </c>
      <c r="E26" s="12">
        <v>0</v>
      </c>
      <c r="F26" s="229">
        <v>0</v>
      </c>
      <c r="G26" s="115"/>
    </row>
    <row r="27" spans="1:7" ht="47.25" x14ac:dyDescent="0.2">
      <c r="A27" s="231" t="s">
        <v>310</v>
      </c>
      <c r="B27" s="118" t="s">
        <v>311</v>
      </c>
      <c r="C27" s="12">
        <f t="shared" si="0"/>
        <v>14076200</v>
      </c>
      <c r="D27" s="12">
        <v>14076200</v>
      </c>
      <c r="E27" s="12">
        <v>0</v>
      </c>
      <c r="F27" s="229">
        <v>0</v>
      </c>
      <c r="G27" s="115"/>
    </row>
    <row r="28" spans="1:7" ht="47.25" x14ac:dyDescent="0.2">
      <c r="A28" s="230" t="s">
        <v>312</v>
      </c>
      <c r="B28" s="116" t="s">
        <v>313</v>
      </c>
      <c r="C28" s="119">
        <f>D28</f>
        <v>158563000</v>
      </c>
      <c r="D28" s="119">
        <f>D29+D40+D41</f>
        <v>158563000</v>
      </c>
      <c r="E28" s="114">
        <v>0</v>
      </c>
      <c r="F28" s="229">
        <v>0</v>
      </c>
      <c r="G28" s="115"/>
    </row>
    <row r="29" spans="1:7" ht="15.75" x14ac:dyDescent="0.2">
      <c r="A29" s="231" t="s">
        <v>314</v>
      </c>
      <c r="B29" s="118" t="s">
        <v>315</v>
      </c>
      <c r="C29" s="12">
        <f>D29</f>
        <v>126863100</v>
      </c>
      <c r="D29" s="12">
        <f>D30+D35</f>
        <v>126863100</v>
      </c>
      <c r="E29" s="12">
        <v>0</v>
      </c>
      <c r="F29" s="229">
        <v>0</v>
      </c>
      <c r="G29" s="115"/>
    </row>
    <row r="30" spans="1:7" ht="35.25" customHeight="1" x14ac:dyDescent="0.2">
      <c r="A30" s="231"/>
      <c r="B30" s="118" t="s">
        <v>316</v>
      </c>
      <c r="C30" s="12">
        <f>D30+E30</f>
        <v>6666700</v>
      </c>
      <c r="D30" s="12">
        <f>D31+D32+D33+D34</f>
        <v>6666700</v>
      </c>
      <c r="E30" s="12"/>
      <c r="F30" s="229"/>
      <c r="G30" s="115"/>
    </row>
    <row r="31" spans="1:7" ht="67.5" customHeight="1" x14ac:dyDescent="0.2">
      <c r="A31" s="202">
        <v>18010100</v>
      </c>
      <c r="B31" s="118" t="s">
        <v>317</v>
      </c>
      <c r="C31" s="12">
        <f t="shared" ref="C31:C34" si="1">D31+E31</f>
        <v>17400</v>
      </c>
      <c r="D31" s="12">
        <v>17400</v>
      </c>
      <c r="E31" s="12"/>
      <c r="F31" s="229"/>
      <c r="G31" s="115"/>
    </row>
    <row r="32" spans="1:7" ht="63" x14ac:dyDescent="0.2">
      <c r="A32" s="202">
        <v>18010200</v>
      </c>
      <c r="B32" s="118" t="s">
        <v>318</v>
      </c>
      <c r="C32" s="12">
        <f t="shared" si="1"/>
        <v>522000</v>
      </c>
      <c r="D32" s="12">
        <v>522000</v>
      </c>
      <c r="E32" s="12"/>
      <c r="F32" s="229"/>
      <c r="G32" s="115"/>
    </row>
    <row r="33" spans="1:7" ht="63" x14ac:dyDescent="0.2">
      <c r="A33" s="202">
        <v>18010300</v>
      </c>
      <c r="B33" s="118" t="s">
        <v>319</v>
      </c>
      <c r="C33" s="12">
        <f t="shared" si="1"/>
        <v>1641500</v>
      </c>
      <c r="D33" s="12">
        <v>1641500</v>
      </c>
      <c r="E33" s="12"/>
      <c r="F33" s="229"/>
      <c r="G33" s="115"/>
    </row>
    <row r="34" spans="1:7" ht="72" customHeight="1" x14ac:dyDescent="0.2">
      <c r="A34" s="202">
        <v>18010400</v>
      </c>
      <c r="B34" s="118" t="s">
        <v>320</v>
      </c>
      <c r="C34" s="12">
        <f t="shared" si="1"/>
        <v>4485800</v>
      </c>
      <c r="D34" s="12">
        <v>4485800</v>
      </c>
      <c r="E34" s="12"/>
      <c r="F34" s="229"/>
      <c r="G34" s="115"/>
    </row>
    <row r="35" spans="1:7" ht="15.75" x14ac:dyDescent="0.2">
      <c r="A35" s="202"/>
      <c r="B35" s="118" t="s">
        <v>321</v>
      </c>
      <c r="C35" s="12">
        <f>D35+E35</f>
        <v>120196400</v>
      </c>
      <c r="D35" s="12">
        <f>D36+D37+D38+D39</f>
        <v>120196400</v>
      </c>
      <c r="E35" s="12"/>
      <c r="F35" s="229"/>
      <c r="G35" s="115"/>
    </row>
    <row r="36" spans="1:7" ht="15.75" x14ac:dyDescent="0.2">
      <c r="A36" s="202">
        <v>18010500</v>
      </c>
      <c r="B36" s="118" t="s">
        <v>322</v>
      </c>
      <c r="C36" s="12">
        <f t="shared" ref="C36:C39" si="2">D36+E36</f>
        <v>82596100</v>
      </c>
      <c r="D36" s="12">
        <v>82596100</v>
      </c>
      <c r="E36" s="12"/>
      <c r="F36" s="229"/>
      <c r="G36" s="115"/>
    </row>
    <row r="37" spans="1:7" ht="15.75" x14ac:dyDescent="0.2">
      <c r="A37" s="202">
        <v>18010600</v>
      </c>
      <c r="B37" s="118" t="s">
        <v>323</v>
      </c>
      <c r="C37" s="12">
        <f t="shared" si="2"/>
        <v>34176000</v>
      </c>
      <c r="D37" s="12">
        <f>36876000-2700000</f>
        <v>34176000</v>
      </c>
      <c r="E37" s="12"/>
      <c r="F37" s="229"/>
      <c r="G37" s="115"/>
    </row>
    <row r="38" spans="1:7" ht="15.75" x14ac:dyDescent="0.2">
      <c r="A38" s="202">
        <v>18010700</v>
      </c>
      <c r="B38" s="118" t="s">
        <v>324</v>
      </c>
      <c r="C38" s="12">
        <f t="shared" si="2"/>
        <v>1289300</v>
      </c>
      <c r="D38" s="12">
        <v>1289300</v>
      </c>
      <c r="E38" s="12"/>
      <c r="F38" s="229"/>
      <c r="G38" s="115"/>
    </row>
    <row r="39" spans="1:7" ht="15.75" x14ac:dyDescent="0.2">
      <c r="A39" s="202">
        <v>18010900</v>
      </c>
      <c r="B39" s="118" t="s">
        <v>325</v>
      </c>
      <c r="C39" s="12">
        <f t="shared" si="2"/>
        <v>2135000</v>
      </c>
      <c r="D39" s="12">
        <v>2135000</v>
      </c>
      <c r="E39" s="12"/>
      <c r="F39" s="229"/>
      <c r="G39" s="115"/>
    </row>
    <row r="40" spans="1:7" ht="15.75" x14ac:dyDescent="0.2">
      <c r="A40" s="231" t="s">
        <v>326</v>
      </c>
      <c r="B40" s="118" t="s">
        <v>327</v>
      </c>
      <c r="C40" s="12">
        <f>D40</f>
        <v>20000</v>
      </c>
      <c r="D40" s="12">
        <f>105600-85600</f>
        <v>20000</v>
      </c>
      <c r="E40" s="12">
        <v>0</v>
      </c>
      <c r="F40" s="229">
        <v>0</v>
      </c>
      <c r="G40" s="115"/>
    </row>
    <row r="41" spans="1:7" ht="15.75" x14ac:dyDescent="0.2">
      <c r="A41" s="231" t="s">
        <v>328</v>
      </c>
      <c r="B41" s="118" t="s">
        <v>329</v>
      </c>
      <c r="C41" s="12">
        <f>D41</f>
        <v>31679900</v>
      </c>
      <c r="D41" s="12">
        <f>29602000+2077900</f>
        <v>31679900</v>
      </c>
      <c r="E41" s="12">
        <v>0</v>
      </c>
      <c r="F41" s="229">
        <v>0</v>
      </c>
      <c r="G41" s="115"/>
    </row>
    <row r="42" spans="1:7" ht="15.75" x14ac:dyDescent="0.2">
      <c r="A42" s="230" t="s">
        <v>330</v>
      </c>
      <c r="B42" s="116" t="s">
        <v>331</v>
      </c>
      <c r="C42" s="119">
        <f>E42</f>
        <v>359600</v>
      </c>
      <c r="D42" s="119">
        <v>0</v>
      </c>
      <c r="E42" s="119">
        <f>E43</f>
        <v>359600</v>
      </c>
      <c r="F42" s="229">
        <v>0</v>
      </c>
      <c r="G42" s="115"/>
    </row>
    <row r="43" spans="1:7" ht="15.75" x14ac:dyDescent="0.2">
      <c r="A43" s="231" t="s">
        <v>332</v>
      </c>
      <c r="B43" s="118" t="s">
        <v>333</v>
      </c>
      <c r="C43" s="12">
        <f>E43</f>
        <v>359600</v>
      </c>
      <c r="D43" s="12">
        <v>0</v>
      </c>
      <c r="E43" s="12">
        <v>359600</v>
      </c>
      <c r="F43" s="13">
        <v>0</v>
      </c>
      <c r="G43" s="115"/>
    </row>
    <row r="44" spans="1:7" ht="15.75" x14ac:dyDescent="0.2">
      <c r="A44" s="228" t="s">
        <v>334</v>
      </c>
      <c r="B44" s="112" t="s">
        <v>335</v>
      </c>
      <c r="C44" s="114">
        <f>D44+E44</f>
        <v>16057500</v>
      </c>
      <c r="D44" s="114">
        <f>D45+D49+D55</f>
        <v>6090100</v>
      </c>
      <c r="E44" s="114">
        <f>E55+E59</f>
        <v>9967400</v>
      </c>
      <c r="F44" s="229">
        <f>F55</f>
        <v>5900</v>
      </c>
      <c r="G44" s="115"/>
    </row>
    <row r="45" spans="1:7" ht="31.5" x14ac:dyDescent="0.2">
      <c r="A45" s="230" t="s">
        <v>336</v>
      </c>
      <c r="B45" s="116" t="s">
        <v>337</v>
      </c>
      <c r="C45" s="119">
        <f t="shared" ref="C45:C54" si="3">D45</f>
        <v>942600</v>
      </c>
      <c r="D45" s="119">
        <f>D46+D47+D48</f>
        <v>942600</v>
      </c>
      <c r="E45" s="114">
        <v>0</v>
      </c>
      <c r="F45" s="229">
        <v>0</v>
      </c>
      <c r="G45" s="115"/>
    </row>
    <row r="46" spans="1:7" ht="63" x14ac:dyDescent="0.2">
      <c r="A46" s="231" t="s">
        <v>338</v>
      </c>
      <c r="B46" s="118" t="s">
        <v>339</v>
      </c>
      <c r="C46" s="12">
        <f t="shared" si="3"/>
        <v>24000</v>
      </c>
      <c r="D46" s="12">
        <v>24000</v>
      </c>
      <c r="E46" s="12">
        <v>0</v>
      </c>
      <c r="F46" s="13">
        <v>0</v>
      </c>
      <c r="G46" s="115"/>
    </row>
    <row r="47" spans="1:7" ht="15.75" x14ac:dyDescent="0.2">
      <c r="A47" s="231" t="s">
        <v>340</v>
      </c>
      <c r="B47" s="118" t="s">
        <v>341</v>
      </c>
      <c r="C47" s="12">
        <f t="shared" si="3"/>
        <v>34300</v>
      </c>
      <c r="D47" s="12">
        <f>75300-41000</f>
        <v>34300</v>
      </c>
      <c r="E47" s="12">
        <v>0</v>
      </c>
      <c r="F47" s="13">
        <v>0</v>
      </c>
      <c r="G47" s="115"/>
    </row>
    <row r="48" spans="1:7" ht="15.75" x14ac:dyDescent="0.2">
      <c r="A48" s="231" t="s">
        <v>342</v>
      </c>
      <c r="B48" s="118" t="s">
        <v>343</v>
      </c>
      <c r="C48" s="12">
        <f t="shared" si="3"/>
        <v>884300</v>
      </c>
      <c r="D48" s="12">
        <v>884300</v>
      </c>
      <c r="E48" s="12">
        <v>0</v>
      </c>
      <c r="F48" s="13">
        <v>0</v>
      </c>
      <c r="G48" s="115"/>
    </row>
    <row r="49" spans="1:7" ht="46.15" customHeight="1" x14ac:dyDescent="0.2">
      <c r="A49" s="230" t="s">
        <v>344</v>
      </c>
      <c r="B49" s="116" t="s">
        <v>345</v>
      </c>
      <c r="C49" s="119">
        <f t="shared" si="3"/>
        <v>1704300</v>
      </c>
      <c r="D49" s="119">
        <f>D50+D51+D52+D53+D54</f>
        <v>1704300</v>
      </c>
      <c r="E49" s="114">
        <v>0</v>
      </c>
      <c r="F49" s="229">
        <v>0</v>
      </c>
      <c r="G49" s="115"/>
    </row>
    <row r="50" spans="1:7" ht="63" x14ac:dyDescent="0.2">
      <c r="A50" s="231" t="s">
        <v>346</v>
      </c>
      <c r="B50" s="118" t="s">
        <v>347</v>
      </c>
      <c r="C50" s="12">
        <f t="shared" si="3"/>
        <v>104500</v>
      </c>
      <c r="D50" s="12">
        <v>104500</v>
      </c>
      <c r="E50" s="12">
        <v>0</v>
      </c>
      <c r="F50" s="13">
        <v>0</v>
      </c>
      <c r="G50" s="115"/>
    </row>
    <row r="51" spans="1:7" ht="31.5" x14ac:dyDescent="0.2">
      <c r="A51" s="231" t="s">
        <v>348</v>
      </c>
      <c r="B51" s="118" t="s">
        <v>349</v>
      </c>
      <c r="C51" s="12">
        <f t="shared" si="3"/>
        <v>185700</v>
      </c>
      <c r="D51" s="12">
        <f>1515700-1330000</f>
        <v>185700</v>
      </c>
      <c r="E51" s="12">
        <v>0</v>
      </c>
      <c r="F51" s="13">
        <v>0</v>
      </c>
      <c r="G51" s="115"/>
    </row>
    <row r="52" spans="1:7" ht="47.25" x14ac:dyDescent="0.2">
      <c r="A52" s="231" t="s">
        <v>350</v>
      </c>
      <c r="B52" s="118" t="s">
        <v>351</v>
      </c>
      <c r="C52" s="12">
        <f t="shared" si="3"/>
        <v>485100</v>
      </c>
      <c r="D52" s="12">
        <v>485100</v>
      </c>
      <c r="E52" s="12">
        <v>0</v>
      </c>
      <c r="F52" s="13">
        <v>0</v>
      </c>
      <c r="G52" s="115"/>
    </row>
    <row r="53" spans="1:7" ht="54" customHeight="1" x14ac:dyDescent="0.2">
      <c r="A53" s="231" t="s">
        <v>352</v>
      </c>
      <c r="B53" s="118" t="s">
        <v>353</v>
      </c>
      <c r="C53" s="12">
        <f t="shared" si="3"/>
        <v>653000</v>
      </c>
      <c r="D53" s="12">
        <v>653000</v>
      </c>
      <c r="E53" s="12">
        <v>0</v>
      </c>
      <c r="F53" s="13">
        <v>0</v>
      </c>
      <c r="G53" s="115"/>
    </row>
    <row r="54" spans="1:7" ht="15.75" x14ac:dyDescent="0.2">
      <c r="A54" s="231" t="s">
        <v>354</v>
      </c>
      <c r="B54" s="118" t="s">
        <v>355</v>
      </c>
      <c r="C54" s="12">
        <f t="shared" si="3"/>
        <v>276000</v>
      </c>
      <c r="D54" s="12">
        <f>149400+126600</f>
        <v>276000</v>
      </c>
      <c r="E54" s="114">
        <v>0</v>
      </c>
      <c r="F54" s="229">
        <v>0</v>
      </c>
      <c r="G54" s="115"/>
    </row>
    <row r="55" spans="1:7" ht="15.75" x14ac:dyDescent="0.2">
      <c r="A55" s="230" t="s">
        <v>356</v>
      </c>
      <c r="B55" s="116" t="s">
        <v>357</v>
      </c>
      <c r="C55" s="119">
        <f>D55+E55</f>
        <v>3449100</v>
      </c>
      <c r="D55" s="119">
        <f>D56+D57</f>
        <v>3443200</v>
      </c>
      <c r="E55" s="119">
        <f>E58</f>
        <v>5900</v>
      </c>
      <c r="F55" s="232">
        <f>F58</f>
        <v>5900</v>
      </c>
      <c r="G55" s="115"/>
    </row>
    <row r="56" spans="1:7" ht="15.75" x14ac:dyDescent="0.2">
      <c r="A56" s="231" t="s">
        <v>358</v>
      </c>
      <c r="B56" s="118" t="s">
        <v>359</v>
      </c>
      <c r="C56" s="12">
        <f>D56</f>
        <v>3038600</v>
      </c>
      <c r="D56" s="12">
        <f>150000+2888600</f>
        <v>3038600</v>
      </c>
      <c r="E56" s="12">
        <v>0</v>
      </c>
      <c r="F56" s="13">
        <v>0</v>
      </c>
      <c r="G56" s="115"/>
    </row>
    <row r="57" spans="1:7" ht="94.5" x14ac:dyDescent="0.2">
      <c r="A57" s="231" t="s">
        <v>360</v>
      </c>
      <c r="B57" s="118" t="s">
        <v>361</v>
      </c>
      <c r="C57" s="12">
        <f>D57</f>
        <v>404600</v>
      </c>
      <c r="D57" s="12">
        <f>524600-120000</f>
        <v>404600</v>
      </c>
      <c r="E57" s="12">
        <v>0</v>
      </c>
      <c r="F57" s="13">
        <v>0</v>
      </c>
      <c r="G57" s="115"/>
    </row>
    <row r="58" spans="1:7" ht="31.5" x14ac:dyDescent="0.2">
      <c r="A58" s="231" t="s">
        <v>362</v>
      </c>
      <c r="B58" s="118" t="s">
        <v>363</v>
      </c>
      <c r="C58" s="12">
        <f>E58</f>
        <v>5900</v>
      </c>
      <c r="D58" s="12">
        <v>0</v>
      </c>
      <c r="E58" s="12">
        <f>1187400-1181500</f>
        <v>5900</v>
      </c>
      <c r="F58" s="13">
        <f>E58</f>
        <v>5900</v>
      </c>
      <c r="G58" s="115"/>
    </row>
    <row r="59" spans="1:7" ht="20.25" customHeight="1" x14ac:dyDescent="0.2">
      <c r="A59" s="230" t="s">
        <v>364</v>
      </c>
      <c r="B59" s="116" t="s">
        <v>365</v>
      </c>
      <c r="C59" s="119">
        <f>E59</f>
        <v>9961500</v>
      </c>
      <c r="D59" s="119">
        <v>0</v>
      </c>
      <c r="E59" s="119">
        <f>E60</f>
        <v>9961500</v>
      </c>
      <c r="F59" s="232">
        <v>0</v>
      </c>
      <c r="G59" s="115"/>
    </row>
    <row r="60" spans="1:7" ht="45" customHeight="1" x14ac:dyDescent="0.2">
      <c r="A60" s="231" t="s">
        <v>366</v>
      </c>
      <c r="B60" s="118" t="s">
        <v>367</v>
      </c>
      <c r="C60" s="12">
        <f>E60</f>
        <v>9961500</v>
      </c>
      <c r="D60" s="12">
        <v>0</v>
      </c>
      <c r="E60" s="12">
        <v>9961500</v>
      </c>
      <c r="F60" s="229">
        <v>0</v>
      </c>
      <c r="G60" s="115"/>
    </row>
    <row r="61" spans="1:7" ht="15.75" x14ac:dyDescent="0.2">
      <c r="A61" s="230" t="s">
        <v>368</v>
      </c>
      <c r="B61" s="116" t="s">
        <v>369</v>
      </c>
      <c r="C61" s="119">
        <f>C62</f>
        <v>5284526</v>
      </c>
      <c r="D61" s="119">
        <v>0</v>
      </c>
      <c r="E61" s="119">
        <f>E62</f>
        <v>5284526</v>
      </c>
      <c r="F61" s="232">
        <f>F62</f>
        <v>5284526</v>
      </c>
      <c r="G61" s="115"/>
    </row>
    <row r="62" spans="1:7" ht="94.5" x14ac:dyDescent="0.2">
      <c r="A62" s="231" t="s">
        <v>370</v>
      </c>
      <c r="B62" s="118" t="s">
        <v>371</v>
      </c>
      <c r="C62" s="12">
        <f>E62</f>
        <v>5284526</v>
      </c>
      <c r="D62" s="12">
        <v>0</v>
      </c>
      <c r="E62" s="8">
        <f>3787000+1497526</f>
        <v>5284526</v>
      </c>
      <c r="F62" s="13">
        <f>E62</f>
        <v>5284526</v>
      </c>
      <c r="G62" s="115"/>
    </row>
    <row r="63" spans="1:7" ht="31.5" x14ac:dyDescent="0.2">
      <c r="A63" s="228"/>
      <c r="B63" s="112" t="s">
        <v>372</v>
      </c>
      <c r="C63" s="114">
        <f>D63+E63</f>
        <v>500993042</v>
      </c>
      <c r="D63" s="114">
        <f>D20+D44</f>
        <v>485381516</v>
      </c>
      <c r="E63" s="114">
        <f>E61+E44+E20</f>
        <v>15611526</v>
      </c>
      <c r="F63" s="229">
        <f>F61+F44+F20</f>
        <v>5290426</v>
      </c>
      <c r="G63" s="115"/>
    </row>
    <row r="64" spans="1:7" ht="21" customHeight="1" x14ac:dyDescent="0.2">
      <c r="A64" s="233" t="s">
        <v>373</v>
      </c>
      <c r="B64" s="112" t="s">
        <v>374</v>
      </c>
      <c r="C64" s="114">
        <f>D64+E64</f>
        <v>161860080</v>
      </c>
      <c r="D64" s="114">
        <f>D65</f>
        <v>150239300</v>
      </c>
      <c r="E64" s="114">
        <f t="shared" ref="E64:F64" si="4">E65</f>
        <v>11620780</v>
      </c>
      <c r="F64" s="229">
        <f t="shared" si="4"/>
        <v>10000000</v>
      </c>
      <c r="G64" s="115"/>
    </row>
    <row r="65" spans="1:7" ht="19.5" customHeight="1" x14ac:dyDescent="0.2">
      <c r="A65" s="234" t="s">
        <v>375</v>
      </c>
      <c r="B65" s="116" t="s">
        <v>376</v>
      </c>
      <c r="C65" s="119">
        <f>D65+E65</f>
        <v>161860080</v>
      </c>
      <c r="D65" s="119">
        <f>D66+D68+D73+D71</f>
        <v>150239300</v>
      </c>
      <c r="E65" s="119">
        <f t="shared" ref="E65:F65" si="5">E66+E68+E73</f>
        <v>11620780</v>
      </c>
      <c r="F65" s="232">
        <f t="shared" si="5"/>
        <v>10000000</v>
      </c>
      <c r="G65" s="115"/>
    </row>
    <row r="66" spans="1:7" ht="29.25" customHeight="1" x14ac:dyDescent="0.2">
      <c r="A66" s="233">
        <v>41020000</v>
      </c>
      <c r="B66" s="112" t="s">
        <v>377</v>
      </c>
      <c r="C66" s="114">
        <f t="shared" ref="C66:C86" si="6">D66</f>
        <v>64371200</v>
      </c>
      <c r="D66" s="114">
        <f>D67</f>
        <v>64371200</v>
      </c>
      <c r="E66" s="114"/>
      <c r="F66" s="229"/>
      <c r="G66" s="115"/>
    </row>
    <row r="67" spans="1:7" ht="146.25" customHeight="1" x14ac:dyDescent="0.2">
      <c r="A67" s="202">
        <v>41021400</v>
      </c>
      <c r="B67" s="118" t="s">
        <v>378</v>
      </c>
      <c r="C67" s="12">
        <f t="shared" si="6"/>
        <v>64371200</v>
      </c>
      <c r="D67" s="12">
        <f>53910900+10460300</f>
        <v>64371200</v>
      </c>
      <c r="E67" s="12"/>
      <c r="F67" s="13"/>
      <c r="G67" s="115"/>
    </row>
    <row r="68" spans="1:7" ht="36" customHeight="1" x14ac:dyDescent="0.2">
      <c r="A68" s="233" t="s">
        <v>379</v>
      </c>
      <c r="B68" s="112" t="s">
        <v>380</v>
      </c>
      <c r="C68" s="114">
        <f>D68</f>
        <v>77800400</v>
      </c>
      <c r="D68" s="114">
        <f>D70+D69</f>
        <v>77800400</v>
      </c>
      <c r="E68" s="114">
        <v>0</v>
      </c>
      <c r="F68" s="229">
        <v>0</v>
      </c>
      <c r="G68" s="115"/>
    </row>
    <row r="69" spans="1:7" ht="68.45" customHeight="1" x14ac:dyDescent="0.2">
      <c r="A69" s="202">
        <v>41033300</v>
      </c>
      <c r="B69" s="118" t="s">
        <v>642</v>
      </c>
      <c r="C69" s="201">
        <f>D69+E69</f>
        <v>2289800</v>
      </c>
      <c r="D69" s="8">
        <f>2278000+11800</f>
        <v>2289800</v>
      </c>
      <c r="E69" s="114"/>
      <c r="F69" s="229"/>
      <c r="G69" s="115"/>
    </row>
    <row r="70" spans="1:7" ht="31.5" x14ac:dyDescent="0.2">
      <c r="A70" s="202" t="s">
        <v>381</v>
      </c>
      <c r="B70" s="118" t="s">
        <v>382</v>
      </c>
      <c r="C70" s="12">
        <f>D70</f>
        <v>75510600</v>
      </c>
      <c r="D70" s="8">
        <v>75510600</v>
      </c>
      <c r="E70" s="12">
        <v>0</v>
      </c>
      <c r="F70" s="13">
        <v>0</v>
      </c>
      <c r="G70" s="115"/>
    </row>
    <row r="71" spans="1:7" ht="31.5" x14ac:dyDescent="0.2">
      <c r="A71" s="233">
        <v>41040000</v>
      </c>
      <c r="B71" s="112" t="s">
        <v>474</v>
      </c>
      <c r="C71" s="114">
        <f>C72</f>
        <v>144388</v>
      </c>
      <c r="D71" s="113">
        <f>D72</f>
        <v>144388</v>
      </c>
      <c r="E71" s="12"/>
      <c r="F71" s="13"/>
      <c r="G71" s="115"/>
    </row>
    <row r="72" spans="1:7" ht="15.75" x14ac:dyDescent="0.2">
      <c r="A72" s="202">
        <v>41040400</v>
      </c>
      <c r="B72" s="118" t="s">
        <v>475</v>
      </c>
      <c r="C72" s="12">
        <f>D72+E72</f>
        <v>144388</v>
      </c>
      <c r="D72" s="8">
        <f>38667+26774+23331+24056+21083+10477</f>
        <v>144388</v>
      </c>
      <c r="E72" s="12"/>
      <c r="F72" s="13"/>
      <c r="G72" s="115"/>
    </row>
    <row r="73" spans="1:7" ht="31.5" x14ac:dyDescent="0.2">
      <c r="A73" s="233">
        <v>41050000</v>
      </c>
      <c r="B73" s="112" t="s">
        <v>434</v>
      </c>
      <c r="C73" s="114">
        <f>C74+C75+C76+C77+C78+C83+C84+C85+C80+C81+C79+C82+C86</f>
        <v>19544092</v>
      </c>
      <c r="D73" s="114">
        <f>D74+D75+D76+D77+D78+D83+D84+D85+D80+D81+D79+D82+D86</f>
        <v>7923312</v>
      </c>
      <c r="E73" s="114">
        <f>E74+E75+E76+E77+E78+E83+E84+E85+E80+E81+E79+E82</f>
        <v>11620780</v>
      </c>
      <c r="F73" s="114">
        <f>F74+F75+F76+F77+F78+F83+F84+F85+F80+F81+F79+F82</f>
        <v>10000000</v>
      </c>
      <c r="G73" s="115"/>
    </row>
    <row r="74" spans="1:7" ht="333.6" customHeight="1" x14ac:dyDescent="0.2">
      <c r="A74" s="443">
        <v>41050600</v>
      </c>
      <c r="B74" s="118" t="s">
        <v>581</v>
      </c>
      <c r="C74" s="12">
        <f>D74</f>
        <v>3708133</v>
      </c>
      <c r="D74" s="8">
        <f>2164782+1543351</f>
        <v>3708133</v>
      </c>
      <c r="E74" s="114"/>
      <c r="F74" s="235"/>
      <c r="G74" s="115"/>
    </row>
    <row r="75" spans="1:7" ht="47.25" x14ac:dyDescent="0.2">
      <c r="A75" s="202" t="s">
        <v>383</v>
      </c>
      <c r="B75" s="118" t="s">
        <v>384</v>
      </c>
      <c r="C75" s="12">
        <f>D75</f>
        <v>1766200</v>
      </c>
      <c r="D75" s="8">
        <v>1766200</v>
      </c>
      <c r="E75" s="12"/>
      <c r="F75" s="13"/>
      <c r="G75" s="115"/>
    </row>
    <row r="76" spans="1:7" ht="47.25" x14ac:dyDescent="0.2">
      <c r="A76" s="202">
        <v>41051100</v>
      </c>
      <c r="B76" s="118" t="s">
        <v>433</v>
      </c>
      <c r="C76" s="201">
        <f>D76+E76</f>
        <v>1620780</v>
      </c>
      <c r="D76" s="8"/>
      <c r="E76" s="12">
        <f>696780+924000</f>
        <v>1620780</v>
      </c>
      <c r="F76" s="13"/>
      <c r="G76" s="115"/>
    </row>
    <row r="77" spans="1:7" ht="126" x14ac:dyDescent="0.2">
      <c r="A77" s="442">
        <v>41051200</v>
      </c>
      <c r="B77" s="31" t="s">
        <v>507</v>
      </c>
      <c r="C77" s="201">
        <f t="shared" ref="C77:C79" si="7">D77+E77</f>
        <v>239625</v>
      </c>
      <c r="D77" s="49">
        <f>187785+51840</f>
        <v>239625</v>
      </c>
      <c r="E77" s="12"/>
      <c r="F77" s="13"/>
      <c r="G77" s="115"/>
    </row>
    <row r="78" spans="1:7" ht="126" x14ac:dyDescent="0.2">
      <c r="A78" s="442">
        <v>41051200</v>
      </c>
      <c r="B78" s="31" t="s">
        <v>508</v>
      </c>
      <c r="C78" s="201">
        <f t="shared" si="7"/>
        <v>161725</v>
      </c>
      <c r="D78" s="49">
        <f>104325+57400</f>
        <v>161725</v>
      </c>
      <c r="E78" s="12"/>
      <c r="F78" s="13"/>
      <c r="G78" s="115"/>
    </row>
    <row r="79" spans="1:7" ht="91.5" customHeight="1" x14ac:dyDescent="0.2">
      <c r="A79" s="442">
        <v>41051400</v>
      </c>
      <c r="B79" s="31" t="s">
        <v>629</v>
      </c>
      <c r="C79" s="201">
        <f t="shared" si="7"/>
        <v>1049568</v>
      </c>
      <c r="D79" s="49">
        <v>1049568</v>
      </c>
      <c r="E79" s="12"/>
      <c r="F79" s="13"/>
      <c r="G79" s="115"/>
    </row>
    <row r="80" spans="1:7" ht="77.45" customHeight="1" x14ac:dyDescent="0.2">
      <c r="A80" s="202">
        <v>41051700</v>
      </c>
      <c r="B80" s="118" t="s">
        <v>472</v>
      </c>
      <c r="C80" s="201">
        <f>D80+E80</f>
        <v>323630</v>
      </c>
      <c r="D80" s="12">
        <f>110550+213080</f>
        <v>323630</v>
      </c>
      <c r="E80" s="12"/>
      <c r="F80" s="13"/>
      <c r="G80" s="115"/>
    </row>
    <row r="81" spans="1:7" ht="77.45" customHeight="1" x14ac:dyDescent="0.2">
      <c r="A81" s="202">
        <v>41057700</v>
      </c>
      <c r="B81" s="118" t="s">
        <v>473</v>
      </c>
      <c r="C81" s="201">
        <f>D81+E81</f>
        <v>166311</v>
      </c>
      <c r="D81" s="12">
        <v>166311</v>
      </c>
      <c r="E81" s="12"/>
      <c r="F81" s="13"/>
      <c r="G81" s="115"/>
    </row>
    <row r="82" spans="1:7" ht="47.45" customHeight="1" x14ac:dyDescent="0.2">
      <c r="A82" s="202">
        <v>41053400</v>
      </c>
      <c r="B82" s="118" t="s">
        <v>630</v>
      </c>
      <c r="C82" s="201">
        <f>D82+E82</f>
        <v>10000000</v>
      </c>
      <c r="D82" s="12"/>
      <c r="E82" s="12">
        <v>10000000</v>
      </c>
      <c r="F82" s="13">
        <v>10000000</v>
      </c>
      <c r="G82" s="115"/>
    </row>
    <row r="83" spans="1:7" ht="63" x14ac:dyDescent="0.2">
      <c r="A83" s="203">
        <v>41053900</v>
      </c>
      <c r="B83" s="31" t="s">
        <v>385</v>
      </c>
      <c r="C83" s="12">
        <f t="shared" si="6"/>
        <v>57773</v>
      </c>
      <c r="D83" s="12">
        <f>28193+29580</f>
        <v>57773</v>
      </c>
      <c r="E83" s="12"/>
      <c r="F83" s="13"/>
      <c r="G83" s="115"/>
    </row>
    <row r="84" spans="1:7" ht="47.25" x14ac:dyDescent="0.2">
      <c r="A84" s="204">
        <v>41053900</v>
      </c>
      <c r="B84" s="31" t="s">
        <v>386</v>
      </c>
      <c r="C84" s="12">
        <f t="shared" si="6"/>
        <v>164690</v>
      </c>
      <c r="D84" s="12">
        <f>91319+73371</f>
        <v>164690</v>
      </c>
      <c r="E84" s="12"/>
      <c r="F84" s="13"/>
      <c r="G84" s="115"/>
    </row>
    <row r="85" spans="1:7" ht="78.75" x14ac:dyDescent="0.2">
      <c r="A85" s="204">
        <v>41053900</v>
      </c>
      <c r="B85" s="31" t="s">
        <v>387</v>
      </c>
      <c r="C85" s="12">
        <f t="shared" si="6"/>
        <v>17623</v>
      </c>
      <c r="D85" s="12">
        <v>17623</v>
      </c>
      <c r="E85" s="12"/>
      <c r="F85" s="13"/>
      <c r="G85" s="115"/>
    </row>
    <row r="86" spans="1:7" ht="63" x14ac:dyDescent="0.2">
      <c r="A86" s="204">
        <v>41053900</v>
      </c>
      <c r="B86" s="118" t="s">
        <v>653</v>
      </c>
      <c r="C86" s="12">
        <f t="shared" si="6"/>
        <v>268034</v>
      </c>
      <c r="D86" s="12">
        <f>185562+82472</f>
        <v>268034</v>
      </c>
      <c r="E86" s="12"/>
      <c r="F86" s="13"/>
      <c r="G86" s="115"/>
    </row>
    <row r="87" spans="1:7" ht="16.5" thickBot="1" x14ac:dyDescent="0.25">
      <c r="A87" s="236" t="s">
        <v>6</v>
      </c>
      <c r="B87" s="237" t="s">
        <v>388</v>
      </c>
      <c r="C87" s="238">
        <f>D87+E87</f>
        <v>662853122</v>
      </c>
      <c r="D87" s="238">
        <f>D63+D64</f>
        <v>635620816</v>
      </c>
      <c r="E87" s="238">
        <f>E63+E64</f>
        <v>27232306</v>
      </c>
      <c r="F87" s="239">
        <f>F63+F64</f>
        <v>15290426</v>
      </c>
      <c r="G87" s="115"/>
    </row>
    <row r="88" spans="1:7" ht="15.75" x14ac:dyDescent="0.25">
      <c r="A88" s="1"/>
      <c r="B88" s="1"/>
      <c r="C88" s="1"/>
      <c r="D88" s="1"/>
      <c r="E88" s="1"/>
      <c r="F88" s="1"/>
    </row>
    <row r="89" spans="1:7" x14ac:dyDescent="0.2">
      <c r="A89" s="804"/>
      <c r="B89" s="804"/>
      <c r="C89" s="804"/>
      <c r="D89" s="804"/>
      <c r="E89" s="804"/>
      <c r="F89" s="804"/>
    </row>
    <row r="91" spans="1:7" ht="18.75" x14ac:dyDescent="0.2">
      <c r="A91" s="29" t="s">
        <v>668</v>
      </c>
      <c r="B91" s="29"/>
      <c r="C91" s="120"/>
      <c r="D91" s="110"/>
      <c r="E91" s="805" t="s">
        <v>458</v>
      </c>
      <c r="F91" s="805"/>
    </row>
  </sheetData>
  <mergeCells count="26">
    <mergeCell ref="A89:F89"/>
    <mergeCell ref="E91:F91"/>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L21" sqref="L21"/>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99" t="s">
        <v>167</v>
      </c>
      <c r="E1" s="4"/>
    </row>
    <row r="2" spans="1:6" ht="15.75" x14ac:dyDescent="0.2">
      <c r="D2" s="99" t="s">
        <v>667</v>
      </c>
      <c r="E2" s="4"/>
    </row>
    <row r="3" spans="1:6" ht="15.75" x14ac:dyDescent="0.25">
      <c r="D3" s="100" t="s">
        <v>691</v>
      </c>
      <c r="E3" s="7"/>
    </row>
    <row r="4" spans="1:6" ht="15.75" x14ac:dyDescent="0.25">
      <c r="D4" s="101" t="s">
        <v>684</v>
      </c>
      <c r="E4" s="102"/>
    </row>
    <row r="5" spans="1:6" ht="15.75" x14ac:dyDescent="0.2">
      <c r="D5" s="796" t="s">
        <v>466</v>
      </c>
      <c r="E5" s="796"/>
    </row>
    <row r="7" spans="1:6" ht="15.75" x14ac:dyDescent="0.2">
      <c r="D7" s="3" t="s">
        <v>460</v>
      </c>
      <c r="E7" s="4"/>
      <c r="F7" s="5"/>
    </row>
    <row r="8" spans="1:6" ht="15.75" x14ac:dyDescent="0.2">
      <c r="D8" s="3" t="s">
        <v>281</v>
      </c>
      <c r="E8" s="4"/>
      <c r="F8" s="5"/>
    </row>
    <row r="9" spans="1:6" ht="15.75" x14ac:dyDescent="0.2">
      <c r="D9" s="3" t="s">
        <v>8</v>
      </c>
      <c r="E9" s="4"/>
      <c r="F9" s="5"/>
    </row>
    <row r="10" spans="1:6" ht="15.75" x14ac:dyDescent="0.2">
      <c r="D10" s="3" t="s">
        <v>282</v>
      </c>
      <c r="E10" s="4"/>
      <c r="F10" s="5"/>
    </row>
    <row r="11" spans="1:6" ht="15.75" x14ac:dyDescent="0.25">
      <c r="D11" s="6" t="s">
        <v>456</v>
      </c>
      <c r="E11" s="7"/>
      <c r="F11" s="5"/>
    </row>
    <row r="12" spans="1:6" ht="15.75" x14ac:dyDescent="0.25">
      <c r="D12" s="6" t="s">
        <v>389</v>
      </c>
      <c r="E12" s="4"/>
      <c r="F12" s="5"/>
    </row>
    <row r="13" spans="1:6" ht="15.75" x14ac:dyDescent="0.2">
      <c r="D13" s="800" t="s">
        <v>457</v>
      </c>
      <c r="E13" s="800"/>
      <c r="F13" s="5"/>
    </row>
    <row r="15" spans="1:6" ht="20.25" x14ac:dyDescent="0.3">
      <c r="A15" s="813" t="s">
        <v>390</v>
      </c>
      <c r="B15" s="814"/>
      <c r="C15" s="814"/>
      <c r="D15" s="814"/>
      <c r="E15" s="814"/>
      <c r="F15" s="814"/>
    </row>
    <row r="16" spans="1:6" ht="20.25" x14ac:dyDescent="0.3">
      <c r="A16" s="108"/>
      <c r="B16" s="109"/>
      <c r="C16" s="109"/>
      <c r="D16" s="109"/>
      <c r="E16" s="109"/>
      <c r="F16" s="109"/>
    </row>
    <row r="17" spans="1:6" ht="15.75" x14ac:dyDescent="0.25">
      <c r="A17" s="121" t="s">
        <v>166</v>
      </c>
      <c r="B17" s="1"/>
      <c r="C17" s="1"/>
      <c r="D17" s="1"/>
      <c r="E17" s="1"/>
      <c r="F17" s="1"/>
    </row>
    <row r="18" spans="1:6" ht="16.5" thickBot="1" x14ac:dyDescent="0.3">
      <c r="A18" s="122" t="s">
        <v>0</v>
      </c>
      <c r="B18" s="1"/>
      <c r="C18" s="1"/>
      <c r="D18" s="1"/>
      <c r="E18" s="1"/>
      <c r="F18" s="2" t="s">
        <v>283</v>
      </c>
    </row>
    <row r="19" spans="1:6" ht="15.75" x14ac:dyDescent="0.2">
      <c r="A19" s="815" t="s">
        <v>294</v>
      </c>
      <c r="B19" s="818" t="s">
        <v>391</v>
      </c>
      <c r="C19" s="818" t="s">
        <v>1</v>
      </c>
      <c r="D19" s="818" t="s">
        <v>2</v>
      </c>
      <c r="E19" s="818" t="s">
        <v>3</v>
      </c>
      <c r="F19" s="821"/>
    </row>
    <row r="20" spans="1:6" x14ac:dyDescent="0.2">
      <c r="A20" s="816"/>
      <c r="B20" s="819"/>
      <c r="C20" s="819"/>
      <c r="D20" s="819"/>
      <c r="E20" s="819" t="s">
        <v>4</v>
      </c>
      <c r="F20" s="822" t="s">
        <v>5</v>
      </c>
    </row>
    <row r="21" spans="1:6" ht="44.45" customHeight="1" thickBot="1" x14ac:dyDescent="0.25">
      <c r="A21" s="817"/>
      <c r="B21" s="820"/>
      <c r="C21" s="820"/>
      <c r="D21" s="820"/>
      <c r="E21" s="820"/>
      <c r="F21" s="823"/>
    </row>
    <row r="22" spans="1:6" ht="15.75" x14ac:dyDescent="0.2">
      <c r="A22" s="23">
        <v>1</v>
      </c>
      <c r="B22" s="24">
        <v>2</v>
      </c>
      <c r="C22" s="24">
        <v>3</v>
      </c>
      <c r="D22" s="24">
        <v>4</v>
      </c>
      <c r="E22" s="24">
        <v>5</v>
      </c>
      <c r="F22" s="123">
        <v>6</v>
      </c>
    </row>
    <row r="23" spans="1:6" ht="21.6" customHeight="1" x14ac:dyDescent="0.25">
      <c r="A23" s="824" t="s">
        <v>392</v>
      </c>
      <c r="B23" s="825"/>
      <c r="C23" s="825"/>
      <c r="D23" s="825"/>
      <c r="E23" s="825"/>
      <c r="F23" s="826"/>
    </row>
    <row r="24" spans="1:6" ht="22.9" customHeight="1" x14ac:dyDescent="0.2">
      <c r="A24" s="124" t="s">
        <v>393</v>
      </c>
      <c r="B24" s="125" t="s">
        <v>394</v>
      </c>
      <c r="C24" s="113">
        <f>C25</f>
        <v>120026687</v>
      </c>
      <c r="D24" s="113">
        <f>D25</f>
        <v>-35409856</v>
      </c>
      <c r="E24" s="113">
        <f>E25</f>
        <v>155436543</v>
      </c>
      <c r="F24" s="126">
        <f>F25</f>
        <v>155436543</v>
      </c>
    </row>
    <row r="25" spans="1:6" ht="31.5" x14ac:dyDescent="0.2">
      <c r="A25" s="127" t="s">
        <v>395</v>
      </c>
      <c r="B25" s="128" t="s">
        <v>396</v>
      </c>
      <c r="C25" s="8">
        <f>C26-C27+C28</f>
        <v>120026687</v>
      </c>
      <c r="D25" s="8">
        <f>D26-D27+D28</f>
        <v>-35409856</v>
      </c>
      <c r="E25" s="8">
        <f>E28</f>
        <v>155436543</v>
      </c>
      <c r="F25" s="129">
        <f>F28</f>
        <v>155436543</v>
      </c>
    </row>
    <row r="26" spans="1:6" ht="15.75" x14ac:dyDescent="0.2">
      <c r="A26" s="127" t="s">
        <v>397</v>
      </c>
      <c r="B26" s="128" t="s">
        <v>398</v>
      </c>
      <c r="C26" s="8">
        <f>D26</f>
        <v>125026687</v>
      </c>
      <c r="D26" s="8">
        <f>1000000+25340511+40131417+20498000+18379851+16761523+2915385</f>
        <v>125026687</v>
      </c>
      <c r="E26" s="8">
        <v>0</v>
      </c>
      <c r="F26" s="130">
        <v>0</v>
      </c>
    </row>
    <row r="27" spans="1:6" ht="15.75" x14ac:dyDescent="0.2">
      <c r="A27" s="127" t="s">
        <v>399</v>
      </c>
      <c r="B27" s="128" t="s">
        <v>400</v>
      </c>
      <c r="C27" s="8">
        <f>D27</f>
        <v>5000000</v>
      </c>
      <c r="D27" s="8">
        <f>1000000+4000000</f>
        <v>5000000</v>
      </c>
      <c r="E27" s="8">
        <v>0</v>
      </c>
      <c r="F27" s="130">
        <v>0</v>
      </c>
    </row>
    <row r="28" spans="1:6" ht="47.25" x14ac:dyDescent="0.2">
      <c r="A28" s="127" t="s">
        <v>401</v>
      </c>
      <c r="B28" s="128" t="s">
        <v>402</v>
      </c>
      <c r="C28" s="8">
        <v>0</v>
      </c>
      <c r="D28" s="8">
        <f>-883500-26657365-56092284-4572000-2164782-32518042-17846380-8981071-64500-6145168-1543351-6968100+9000000</f>
        <v>-155436543</v>
      </c>
      <c r="E28" s="8">
        <f>883500+26657365+56092284+4572000+2164782+32518042+17846380+8981071+64500+6145168+1543351+6968100-9000000</f>
        <v>155436543</v>
      </c>
      <c r="F28" s="130">
        <f>E28</f>
        <v>155436543</v>
      </c>
    </row>
    <row r="29" spans="1:6" ht="15.75" x14ac:dyDescent="0.25">
      <c r="A29" s="131" t="s">
        <v>6</v>
      </c>
      <c r="B29" s="132" t="s">
        <v>403</v>
      </c>
      <c r="C29" s="133">
        <f>C24</f>
        <v>120026687</v>
      </c>
      <c r="D29" s="133">
        <f>D24</f>
        <v>-35409856</v>
      </c>
      <c r="E29" s="133">
        <f>E24</f>
        <v>155436543</v>
      </c>
      <c r="F29" s="134">
        <f>F24</f>
        <v>155436543</v>
      </c>
    </row>
    <row r="30" spans="1:6" ht="22.9" customHeight="1" x14ac:dyDescent="0.25">
      <c r="A30" s="827" t="s">
        <v>404</v>
      </c>
      <c r="B30" s="828"/>
      <c r="C30" s="828"/>
      <c r="D30" s="828"/>
      <c r="E30" s="828"/>
      <c r="F30" s="829"/>
    </row>
    <row r="31" spans="1:6" ht="31.5" x14ac:dyDescent="0.2">
      <c r="A31" s="124" t="s">
        <v>405</v>
      </c>
      <c r="B31" s="125" t="s">
        <v>406</v>
      </c>
      <c r="C31" s="113">
        <f>C24</f>
        <v>120026687</v>
      </c>
      <c r="D31" s="113">
        <f>D24</f>
        <v>-35409856</v>
      </c>
      <c r="E31" s="113">
        <f>E24</f>
        <v>155436543</v>
      </c>
      <c r="F31" s="135">
        <f>F24</f>
        <v>155436543</v>
      </c>
    </row>
    <row r="32" spans="1:6" ht="15.75" x14ac:dyDescent="0.2">
      <c r="A32" s="127" t="s">
        <v>407</v>
      </c>
      <c r="B32" s="128" t="s">
        <v>408</v>
      </c>
      <c r="C32" s="8">
        <f>C25</f>
        <v>120026687</v>
      </c>
      <c r="D32" s="8">
        <f>D25</f>
        <v>-35409856</v>
      </c>
      <c r="E32" s="8">
        <f>E35</f>
        <v>155436543</v>
      </c>
      <c r="F32" s="130">
        <f>F35</f>
        <v>155436543</v>
      </c>
    </row>
    <row r="33" spans="1:16" ht="15.75" x14ac:dyDescent="0.2">
      <c r="A33" s="127" t="s">
        <v>409</v>
      </c>
      <c r="B33" s="128" t="s">
        <v>398</v>
      </c>
      <c r="C33" s="8">
        <f>D33</f>
        <v>125026687</v>
      </c>
      <c r="D33" s="8">
        <f>D26</f>
        <v>125026687</v>
      </c>
      <c r="E33" s="8">
        <v>0</v>
      </c>
      <c r="F33" s="130">
        <v>0</v>
      </c>
      <c r="I33" s="136"/>
    </row>
    <row r="34" spans="1:16" ht="15.75" x14ac:dyDescent="0.2">
      <c r="A34" s="127" t="s">
        <v>410</v>
      </c>
      <c r="B34" s="128" t="s">
        <v>400</v>
      </c>
      <c r="C34" s="8">
        <f>C27</f>
        <v>5000000</v>
      </c>
      <c r="D34" s="8">
        <f>D27</f>
        <v>5000000</v>
      </c>
      <c r="E34" s="8">
        <v>0</v>
      </c>
      <c r="F34" s="130">
        <v>0</v>
      </c>
    </row>
    <row r="35" spans="1:16" ht="51.6" customHeight="1" thickBot="1" x14ac:dyDescent="0.25">
      <c r="A35" s="137" t="s">
        <v>411</v>
      </c>
      <c r="B35" s="138" t="s">
        <v>402</v>
      </c>
      <c r="C35" s="14">
        <v>0</v>
      </c>
      <c r="D35" s="14">
        <f t="shared" ref="D35:F36" si="0">D28</f>
        <v>-155436543</v>
      </c>
      <c r="E35" s="14">
        <f>E28</f>
        <v>155436543</v>
      </c>
      <c r="F35" s="139">
        <f>F28</f>
        <v>155436543</v>
      </c>
    </row>
    <row r="36" spans="1:16" ht="19.149999999999999" customHeight="1" thickBot="1" x14ac:dyDescent="0.3">
      <c r="A36" s="140" t="s">
        <v>6</v>
      </c>
      <c r="B36" s="141" t="s">
        <v>403</v>
      </c>
      <c r="C36" s="142">
        <f>C29</f>
        <v>120026687</v>
      </c>
      <c r="D36" s="142">
        <f t="shared" si="0"/>
        <v>-35409856</v>
      </c>
      <c r="E36" s="142">
        <f t="shared" si="0"/>
        <v>155436543</v>
      </c>
      <c r="F36" s="143">
        <f t="shared" si="0"/>
        <v>155436543</v>
      </c>
    </row>
    <row r="38" spans="1:16" ht="13.5" customHeight="1" x14ac:dyDescent="0.2"/>
    <row r="39" spans="1:16" s="5" customFormat="1" ht="42.6" customHeight="1" x14ac:dyDescent="0.2">
      <c r="A39" s="830" t="s">
        <v>668</v>
      </c>
      <c r="B39" s="830"/>
      <c r="C39" s="144"/>
      <c r="D39" s="144"/>
      <c r="E39" s="831" t="s">
        <v>458</v>
      </c>
      <c r="F39" s="831"/>
      <c r="G39" s="3"/>
      <c r="H39" s="3"/>
      <c r="I39" s="3"/>
      <c r="K39" s="3"/>
      <c r="L39" s="145"/>
      <c r="M39" s="3"/>
      <c r="N39" s="146"/>
      <c r="O39" s="147"/>
      <c r="P39" s="148"/>
    </row>
    <row r="40" spans="1:16" s="20" customFormat="1" ht="20.25" x14ac:dyDescent="0.3">
      <c r="A40" s="19"/>
      <c r="B40" s="19"/>
      <c r="F40" s="21"/>
    </row>
    <row r="41" spans="1:16" ht="15.75" x14ac:dyDescent="0.2">
      <c r="A41" s="22"/>
      <c r="B41" s="22"/>
    </row>
    <row r="42" spans="1:16" ht="15.75" x14ac:dyDescent="0.2">
      <c r="A42" s="832"/>
      <c r="B42" s="832"/>
    </row>
    <row r="43" spans="1:16" ht="15.75" x14ac:dyDescent="0.25">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3"/>
  <sheetViews>
    <sheetView view="pageBreakPreview" zoomScale="90" zoomScaleNormal="100" zoomScaleSheetLayoutView="90" workbookViewId="0">
      <selection activeCell="Q15" sqref="Q15"/>
    </sheetView>
  </sheetViews>
  <sheetFormatPr defaultColWidth="8.85546875" defaultRowHeight="15.75" x14ac:dyDescent="0.25"/>
  <cols>
    <col min="1" max="1" width="15.140625" style="54" customWidth="1"/>
    <col min="2" max="2" width="13.140625" style="54" customWidth="1"/>
    <col min="3" max="3" width="14" style="54" customWidth="1"/>
    <col min="4" max="4" width="47.28515625" style="55" customWidth="1"/>
    <col min="5" max="8" width="15.7109375" style="55" customWidth="1"/>
    <col min="9" max="15" width="15.7109375" style="56" customWidth="1"/>
    <col min="16" max="16" width="15.7109375" style="55" customWidth="1"/>
    <col min="17" max="17" width="10.140625" style="1" bestFit="1" customWidth="1"/>
    <col min="18" max="18" width="8.85546875" style="1"/>
    <col min="19" max="19" width="10.5703125" style="1" bestFit="1" customWidth="1"/>
    <col min="20" max="16384" width="8.85546875" style="1"/>
  </cols>
  <sheetData>
    <row r="1" spans="1:17" x14ac:dyDescent="0.25">
      <c r="N1" s="99" t="s">
        <v>285</v>
      </c>
      <c r="O1" s="4"/>
    </row>
    <row r="2" spans="1:17" x14ac:dyDescent="0.25">
      <c r="N2" s="99" t="s">
        <v>667</v>
      </c>
      <c r="O2" s="4"/>
    </row>
    <row r="3" spans="1:17" x14ac:dyDescent="0.25">
      <c r="N3" s="100" t="s">
        <v>683</v>
      </c>
      <c r="O3" s="7"/>
    </row>
    <row r="4" spans="1:17" x14ac:dyDescent="0.25">
      <c r="N4" s="101" t="s">
        <v>684</v>
      </c>
      <c r="O4" s="102"/>
    </row>
    <row r="5" spans="1:17" x14ac:dyDescent="0.25">
      <c r="N5" s="796" t="s">
        <v>465</v>
      </c>
      <c r="O5" s="796"/>
    </row>
    <row r="7" spans="1:17" ht="29.25" customHeight="1" x14ac:dyDescent="0.25">
      <c r="K7" s="55"/>
      <c r="L7" s="55"/>
      <c r="M7" s="55"/>
      <c r="N7" s="836" t="s">
        <v>280</v>
      </c>
      <c r="O7" s="836"/>
      <c r="P7" s="836"/>
      <c r="Q7" s="2"/>
    </row>
    <row r="8" spans="1:17" x14ac:dyDescent="0.25">
      <c r="K8" s="55"/>
      <c r="L8" s="55"/>
      <c r="M8" s="55"/>
      <c r="N8" s="837" t="s">
        <v>7</v>
      </c>
      <c r="O8" s="837"/>
      <c r="P8" s="837"/>
      <c r="Q8" s="32"/>
    </row>
    <row r="9" spans="1:17" x14ac:dyDescent="0.25">
      <c r="K9" s="55"/>
      <c r="L9" s="55"/>
      <c r="M9" s="55"/>
      <c r="N9" s="837" t="s">
        <v>8</v>
      </c>
      <c r="O9" s="837"/>
      <c r="P9" s="837"/>
      <c r="Q9" s="32"/>
    </row>
    <row r="10" spans="1:17" x14ac:dyDescent="0.25">
      <c r="K10" s="55"/>
      <c r="L10" s="55"/>
      <c r="M10" s="55"/>
      <c r="N10" s="837" t="s">
        <v>228</v>
      </c>
      <c r="O10" s="837"/>
      <c r="P10" s="837"/>
      <c r="Q10" s="32"/>
    </row>
    <row r="11" spans="1:17" x14ac:dyDescent="0.25">
      <c r="K11" s="55"/>
      <c r="L11" s="55"/>
      <c r="M11" s="55"/>
      <c r="N11" s="833" t="s">
        <v>456</v>
      </c>
      <c r="O11" s="833"/>
      <c r="P11" s="107"/>
      <c r="Q11" s="32"/>
    </row>
    <row r="12" spans="1:17" x14ac:dyDescent="0.25">
      <c r="K12" s="55"/>
      <c r="L12" s="55"/>
      <c r="M12" s="55"/>
      <c r="N12" s="833" t="s">
        <v>462</v>
      </c>
      <c r="O12" s="833"/>
      <c r="P12" s="107"/>
      <c r="Q12" s="32"/>
    </row>
    <row r="13" spans="1:17" x14ac:dyDescent="0.25">
      <c r="K13" s="55"/>
      <c r="L13" s="55"/>
      <c r="M13" s="55"/>
      <c r="N13" s="837" t="s">
        <v>461</v>
      </c>
      <c r="O13" s="837"/>
      <c r="P13" s="837"/>
      <c r="Q13" s="21"/>
    </row>
    <row r="14" spans="1:17" x14ac:dyDescent="0.25">
      <c r="A14" s="839" t="s">
        <v>168</v>
      </c>
      <c r="B14" s="840"/>
      <c r="C14" s="840"/>
      <c r="D14" s="840"/>
      <c r="E14" s="840"/>
      <c r="F14" s="840"/>
      <c r="G14" s="840"/>
      <c r="H14" s="840"/>
      <c r="I14" s="840"/>
      <c r="J14" s="840"/>
      <c r="K14" s="840"/>
      <c r="L14" s="840"/>
      <c r="M14" s="840"/>
      <c r="N14" s="840"/>
      <c r="O14" s="840"/>
      <c r="P14" s="840"/>
    </row>
    <row r="15" spans="1:17" x14ac:dyDescent="0.25">
      <c r="A15" s="839" t="s">
        <v>253</v>
      </c>
      <c r="B15" s="840"/>
      <c r="C15" s="840"/>
      <c r="D15" s="840"/>
      <c r="E15" s="840"/>
      <c r="F15" s="840"/>
      <c r="G15" s="840"/>
      <c r="H15" s="840"/>
      <c r="I15" s="840"/>
      <c r="J15" s="840"/>
      <c r="K15" s="840"/>
      <c r="L15" s="840"/>
      <c r="M15" s="840"/>
      <c r="N15" s="840"/>
      <c r="O15" s="840"/>
      <c r="P15" s="840"/>
    </row>
    <row r="16" spans="1:17" x14ac:dyDescent="0.25">
      <c r="A16" s="57" t="s">
        <v>166</v>
      </c>
    </row>
    <row r="17" spans="1:16" ht="17.45" customHeight="1" thickBot="1" x14ac:dyDescent="0.3">
      <c r="A17" s="54" t="s">
        <v>0</v>
      </c>
      <c r="P17" s="56" t="s">
        <v>9</v>
      </c>
    </row>
    <row r="18" spans="1:16" s="33" customFormat="1" ht="12.75" x14ac:dyDescent="0.2">
      <c r="A18" s="841" t="s">
        <v>10</v>
      </c>
      <c r="B18" s="843" t="s">
        <v>11</v>
      </c>
      <c r="C18" s="843" t="s">
        <v>12</v>
      </c>
      <c r="D18" s="843" t="s">
        <v>13</v>
      </c>
      <c r="E18" s="843" t="s">
        <v>2</v>
      </c>
      <c r="F18" s="843"/>
      <c r="G18" s="843"/>
      <c r="H18" s="843"/>
      <c r="I18" s="843"/>
      <c r="J18" s="843" t="s">
        <v>3</v>
      </c>
      <c r="K18" s="843"/>
      <c r="L18" s="843"/>
      <c r="M18" s="843"/>
      <c r="N18" s="843"/>
      <c r="O18" s="843"/>
      <c r="P18" s="844" t="s">
        <v>169</v>
      </c>
    </row>
    <row r="19" spans="1:16" s="33" customFormat="1" ht="12.75" x14ac:dyDescent="0.2">
      <c r="A19" s="842"/>
      <c r="B19" s="835"/>
      <c r="C19" s="835"/>
      <c r="D19" s="835"/>
      <c r="E19" s="835" t="s">
        <v>4</v>
      </c>
      <c r="F19" s="835" t="s">
        <v>14</v>
      </c>
      <c r="G19" s="835" t="s">
        <v>170</v>
      </c>
      <c r="H19" s="835"/>
      <c r="I19" s="834" t="s">
        <v>171</v>
      </c>
      <c r="J19" s="835" t="s">
        <v>4</v>
      </c>
      <c r="K19" s="835" t="s">
        <v>5</v>
      </c>
      <c r="L19" s="835" t="s">
        <v>14</v>
      </c>
      <c r="M19" s="835" t="s">
        <v>170</v>
      </c>
      <c r="N19" s="835"/>
      <c r="O19" s="835" t="s">
        <v>171</v>
      </c>
      <c r="P19" s="845"/>
    </row>
    <row r="20" spans="1:16" s="33" customFormat="1" ht="12.75" x14ac:dyDescent="0.2">
      <c r="A20" s="842"/>
      <c r="B20" s="835"/>
      <c r="C20" s="835"/>
      <c r="D20" s="835"/>
      <c r="E20" s="835"/>
      <c r="F20" s="835"/>
      <c r="G20" s="835" t="s">
        <v>227</v>
      </c>
      <c r="H20" s="835" t="s">
        <v>172</v>
      </c>
      <c r="I20" s="834"/>
      <c r="J20" s="835"/>
      <c r="K20" s="835"/>
      <c r="L20" s="835"/>
      <c r="M20" s="835" t="s">
        <v>227</v>
      </c>
      <c r="N20" s="835" t="s">
        <v>172</v>
      </c>
      <c r="O20" s="835"/>
      <c r="P20" s="845"/>
    </row>
    <row r="21" spans="1:16" s="33" customFormat="1" ht="51" customHeight="1" x14ac:dyDescent="0.2">
      <c r="A21" s="842"/>
      <c r="B21" s="835"/>
      <c r="C21" s="835"/>
      <c r="D21" s="835"/>
      <c r="E21" s="835"/>
      <c r="F21" s="835"/>
      <c r="G21" s="835"/>
      <c r="H21" s="835"/>
      <c r="I21" s="834"/>
      <c r="J21" s="835"/>
      <c r="K21" s="835"/>
      <c r="L21" s="835"/>
      <c r="M21" s="835"/>
      <c r="N21" s="835"/>
      <c r="O21" s="835"/>
      <c r="P21" s="845"/>
    </row>
    <row r="22" spans="1:16" ht="12" customHeight="1" thickBot="1" x14ac:dyDescent="0.3">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
      <c r="A23" s="43" t="s">
        <v>15</v>
      </c>
      <c r="B23" s="44" t="s">
        <v>16</v>
      </c>
      <c r="C23" s="44" t="s">
        <v>16</v>
      </c>
      <c r="D23" s="45" t="s">
        <v>17</v>
      </c>
      <c r="E23" s="60">
        <f>E24</f>
        <v>125651259</v>
      </c>
      <c r="F23" s="60">
        <f>F24</f>
        <v>125651259</v>
      </c>
      <c r="G23" s="60">
        <f t="shared" ref="G23:I23" si="0">G24</f>
        <v>23566881</v>
      </c>
      <c r="H23" s="60">
        <f t="shared" si="0"/>
        <v>2835579</v>
      </c>
      <c r="I23" s="61">
        <f t="shared" si="0"/>
        <v>0</v>
      </c>
      <c r="J23" s="61">
        <f>J24</f>
        <v>50189664</v>
      </c>
      <c r="K23" s="61">
        <f>K24</f>
        <v>50189664</v>
      </c>
      <c r="L23" s="61">
        <f t="shared" ref="L23:O23" si="1">L24</f>
        <v>0</v>
      </c>
      <c r="M23" s="61">
        <f t="shared" si="1"/>
        <v>0</v>
      </c>
      <c r="N23" s="61">
        <f t="shared" si="1"/>
        <v>0</v>
      </c>
      <c r="O23" s="61">
        <f t="shared" si="1"/>
        <v>50189664</v>
      </c>
      <c r="P23" s="62">
        <f>E23+J23</f>
        <v>175840923</v>
      </c>
    </row>
    <row r="24" spans="1:16" ht="31.5" x14ac:dyDescent="0.25">
      <c r="A24" s="63" t="s">
        <v>18</v>
      </c>
      <c r="B24" s="64" t="s">
        <v>16</v>
      </c>
      <c r="C24" s="64" t="s">
        <v>16</v>
      </c>
      <c r="D24" s="65" t="s">
        <v>17</v>
      </c>
      <c r="E24" s="66">
        <f>E25+E27+E28+E30+E33+E35+E36+E38+E26+E29+E39+E34+E37</f>
        <v>125651259</v>
      </c>
      <c r="F24" s="66">
        <f>F25+F27+F28+F30+F33+F35+F36+F38+F26+F29+F39+F34+F37</f>
        <v>125651259</v>
      </c>
      <c r="G24" s="66">
        <f>G25+G27+G28+G30+G33+G35+G36+G38+G26+G29</f>
        <v>23566881</v>
      </c>
      <c r="H24" s="66">
        <f>H25+H27+H28+H30+H33+H35+H36+H38+H26+H29</f>
        <v>2835579</v>
      </c>
      <c r="I24" s="67">
        <f>I25+I27+I28+I30+I33+I35+I36+I38+I26+I29</f>
        <v>0</v>
      </c>
      <c r="J24" s="67">
        <f>J25+J26+J27+J28+J29+J30+J31+J32+J33+J34+J35+J36+J38+J39</f>
        <v>50189664</v>
      </c>
      <c r="K24" s="67">
        <f>K25+K26+K27+K28+K29+K30+K31+K32+K33+K34+K35+K36+K38+K39</f>
        <v>50189664</v>
      </c>
      <c r="L24" s="67">
        <f t="shared" ref="L24:N24" si="2">L25+L26+L27+L29+L30+L31+L32+L33+L35+L36+L36+L38+L28</f>
        <v>0</v>
      </c>
      <c r="M24" s="67">
        <f t="shared" si="2"/>
        <v>0</v>
      </c>
      <c r="N24" s="67">
        <f t="shared" si="2"/>
        <v>0</v>
      </c>
      <c r="O24" s="67">
        <f>O25+O26+O27+O28+O29+O30+O31+O32+O33+O34+O35+O36+O38+O39</f>
        <v>50189664</v>
      </c>
      <c r="P24" s="68">
        <f>E24+J24</f>
        <v>175840923</v>
      </c>
    </row>
    <row r="25" spans="1:16" ht="78.75" x14ac:dyDescent="0.25">
      <c r="A25" s="751" t="s">
        <v>173</v>
      </c>
      <c r="B25" s="753" t="s">
        <v>174</v>
      </c>
      <c r="C25" s="753"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ht="31.5" x14ac:dyDescent="0.25">
      <c r="A26" s="70" t="s">
        <v>446</v>
      </c>
      <c r="B26" s="69" t="s">
        <v>226</v>
      </c>
      <c r="C26" s="69" t="s">
        <v>224</v>
      </c>
      <c r="D26" s="30" t="s">
        <v>469</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5" x14ac:dyDescent="0.25">
      <c r="A27" s="751" t="s">
        <v>20</v>
      </c>
      <c r="B27" s="753" t="s">
        <v>21</v>
      </c>
      <c r="C27" s="753" t="s">
        <v>22</v>
      </c>
      <c r="D27" s="30" t="s">
        <v>23</v>
      </c>
      <c r="E27" s="49">
        <f t="shared" ref="E27:E37" si="5">F27+I27</f>
        <v>27331824</v>
      </c>
      <c r="F27" s="49">
        <f>22925874+4405950</f>
        <v>27331824</v>
      </c>
      <c r="G27" s="49">
        <v>0</v>
      </c>
      <c r="H27" s="49">
        <v>0</v>
      </c>
      <c r="I27" s="8">
        <v>0</v>
      </c>
      <c r="J27" s="67">
        <f t="shared" si="3"/>
        <v>2173600</v>
      </c>
      <c r="K27" s="8">
        <f>0+2173600</f>
        <v>2173600</v>
      </c>
      <c r="L27" s="8">
        <v>0</v>
      </c>
      <c r="M27" s="8">
        <v>0</v>
      </c>
      <c r="N27" s="8">
        <v>0</v>
      </c>
      <c r="O27" s="8">
        <v>2173600</v>
      </c>
      <c r="P27" s="95">
        <f t="shared" si="4"/>
        <v>29505424</v>
      </c>
    </row>
    <row r="28" spans="1:16" ht="47.25" x14ac:dyDescent="0.25">
      <c r="A28" s="751" t="s">
        <v>24</v>
      </c>
      <c r="B28" s="753" t="s">
        <v>25</v>
      </c>
      <c r="C28" s="753"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5" x14ac:dyDescent="0.25">
      <c r="A29" s="70" t="s">
        <v>236</v>
      </c>
      <c r="B29" s="753">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5" x14ac:dyDescent="0.25">
      <c r="A30" s="751" t="s">
        <v>31</v>
      </c>
      <c r="B30" s="753" t="s">
        <v>32</v>
      </c>
      <c r="C30" s="753"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25">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75" x14ac:dyDescent="0.25">
      <c r="A32" s="70" t="s">
        <v>257</v>
      </c>
      <c r="B32" s="69" t="s">
        <v>258</v>
      </c>
      <c r="C32" s="69" t="s">
        <v>178</v>
      </c>
      <c r="D32" s="30" t="s">
        <v>259</v>
      </c>
      <c r="E32" s="49">
        <f t="shared" si="5"/>
        <v>0</v>
      </c>
      <c r="F32" s="49">
        <v>0</v>
      </c>
      <c r="G32" s="49">
        <v>0</v>
      </c>
      <c r="H32" s="49">
        <v>0</v>
      </c>
      <c r="I32" s="8">
        <v>0</v>
      </c>
      <c r="J32" s="240">
        <f>L32+O32</f>
        <v>16900</v>
      </c>
      <c r="K32" s="8">
        <v>16900</v>
      </c>
      <c r="L32" s="8">
        <v>0</v>
      </c>
      <c r="M32" s="49">
        <v>0</v>
      </c>
      <c r="N32" s="49">
        <v>0</v>
      </c>
      <c r="O32" s="8">
        <v>16900</v>
      </c>
      <c r="P32" s="241">
        <f t="shared" si="4"/>
        <v>16900</v>
      </c>
    </row>
    <row r="33" spans="1:16" ht="31.5" x14ac:dyDescent="0.25">
      <c r="A33" s="751" t="s">
        <v>176</v>
      </c>
      <c r="B33" s="753" t="s">
        <v>177</v>
      </c>
      <c r="C33" s="753" t="s">
        <v>178</v>
      </c>
      <c r="D33" s="30" t="s">
        <v>179</v>
      </c>
      <c r="E33" s="49">
        <f t="shared" si="5"/>
        <v>39188</v>
      </c>
      <c r="F33" s="49">
        <v>39188</v>
      </c>
      <c r="G33" s="49">
        <v>0</v>
      </c>
      <c r="H33" s="49">
        <v>0</v>
      </c>
      <c r="I33" s="8">
        <v>0</v>
      </c>
      <c r="J33" s="240">
        <f t="shared" ref="J33:J38" si="7">L33+O33</f>
        <v>0</v>
      </c>
      <c r="K33" s="8">
        <v>0</v>
      </c>
      <c r="L33" s="8">
        <v>0</v>
      </c>
      <c r="M33" s="8">
        <v>0</v>
      </c>
      <c r="N33" s="8">
        <v>0</v>
      </c>
      <c r="O33" s="8">
        <v>0</v>
      </c>
      <c r="P33" s="241">
        <f t="shared" si="4"/>
        <v>39188</v>
      </c>
    </row>
    <row r="34" spans="1:16" ht="47.25" x14ac:dyDescent="0.25">
      <c r="A34" s="70" t="s">
        <v>587</v>
      </c>
      <c r="B34" s="753">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5" x14ac:dyDescent="0.25">
      <c r="A35" s="751" t="s">
        <v>35</v>
      </c>
      <c r="B35" s="753" t="s">
        <v>36</v>
      </c>
      <c r="C35" s="753" t="s">
        <v>37</v>
      </c>
      <c r="D35" s="30" t="s">
        <v>38</v>
      </c>
      <c r="E35" s="49">
        <f t="shared" si="5"/>
        <v>6000</v>
      </c>
      <c r="F35" s="49">
        <v>6000</v>
      </c>
      <c r="G35" s="49">
        <v>0</v>
      </c>
      <c r="H35" s="49">
        <v>0</v>
      </c>
      <c r="I35" s="8">
        <v>0</v>
      </c>
      <c r="J35" s="240">
        <f t="shared" si="7"/>
        <v>0</v>
      </c>
      <c r="K35" s="8">
        <v>0</v>
      </c>
      <c r="L35" s="8">
        <v>0</v>
      </c>
      <c r="M35" s="8">
        <v>0</v>
      </c>
      <c r="N35" s="8">
        <v>0</v>
      </c>
      <c r="O35" s="8">
        <v>0</v>
      </c>
      <c r="P35" s="241">
        <f t="shared" si="4"/>
        <v>6000</v>
      </c>
    </row>
    <row r="36" spans="1:16" ht="36" customHeight="1" x14ac:dyDescent="0.25">
      <c r="A36" s="751" t="s">
        <v>159</v>
      </c>
      <c r="B36" s="753" t="s">
        <v>180</v>
      </c>
      <c r="C36" s="753"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25">
      <c r="A37" s="751"/>
      <c r="B37" s="753">
        <v>8240</v>
      </c>
      <c r="C37" s="753" t="s">
        <v>37</v>
      </c>
      <c r="D37" s="30" t="s">
        <v>652</v>
      </c>
      <c r="E37" s="49">
        <f t="shared" si="5"/>
        <v>183976</v>
      </c>
      <c r="F37" s="49">
        <f>126880+57096</f>
        <v>183976</v>
      </c>
      <c r="G37" s="49"/>
      <c r="H37" s="49"/>
      <c r="I37" s="8"/>
      <c r="J37" s="67"/>
      <c r="K37" s="8"/>
      <c r="L37" s="8"/>
      <c r="M37" s="8"/>
      <c r="N37" s="8"/>
      <c r="O37" s="8"/>
      <c r="P37" s="95">
        <f t="shared" si="8"/>
        <v>183976</v>
      </c>
    </row>
    <row r="38" spans="1:16" ht="31.5" x14ac:dyDescent="0.25">
      <c r="A38" s="751" t="s">
        <v>39</v>
      </c>
      <c r="B38" s="753" t="s">
        <v>40</v>
      </c>
      <c r="C38" s="753"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8" thickBot="1" x14ac:dyDescent="0.3">
      <c r="A39" s="217" t="s">
        <v>435</v>
      </c>
      <c r="B39" s="9">
        <v>9800</v>
      </c>
      <c r="C39" s="69" t="s">
        <v>226</v>
      </c>
      <c r="D39" s="213" t="s">
        <v>436</v>
      </c>
      <c r="E39" s="49">
        <f>F39+I39</f>
        <v>39892364</v>
      </c>
      <c r="F39" s="214">
        <f>5000000+1500000+521164+850000+63000+30300+14500000-1300000+428000+10000000+1000000+4000000+1299900+2000000</f>
        <v>39892364</v>
      </c>
      <c r="G39" s="214">
        <v>0</v>
      </c>
      <c r="H39" s="214">
        <v>0</v>
      </c>
      <c r="I39" s="215">
        <v>0</v>
      </c>
      <c r="J39" s="67">
        <f>L39+O39</f>
        <v>46278400</v>
      </c>
      <c r="K39" s="216">
        <f>0+1000000+150000+2937000+26000+310400+13500000+1300000+4572000+4000000-4000000+5000000+3000000+1000000+2500000+900000+1000000+3000000+5000000+1083000</f>
        <v>46278400</v>
      </c>
      <c r="L39" s="216">
        <v>0</v>
      </c>
      <c r="M39" s="216">
        <v>0</v>
      </c>
      <c r="N39" s="216">
        <v>0</v>
      </c>
      <c r="O39" s="216">
        <f>K39</f>
        <v>46278400</v>
      </c>
      <c r="P39" s="95">
        <f t="shared" si="8"/>
        <v>86170764</v>
      </c>
    </row>
    <row r="40" spans="1:16" ht="32.25" thickBot="1" x14ac:dyDescent="0.3">
      <c r="A40" s="43" t="s">
        <v>43</v>
      </c>
      <c r="B40" s="44" t="s">
        <v>16</v>
      </c>
      <c r="C40" s="44" t="s">
        <v>16</v>
      </c>
      <c r="D40" s="45" t="s">
        <v>44</v>
      </c>
      <c r="E40" s="71">
        <f>E41</f>
        <v>242903673</v>
      </c>
      <c r="F40" s="71">
        <f>F41</f>
        <v>242903673</v>
      </c>
      <c r="G40" s="71">
        <f t="shared" ref="G40:I40" si="9">G41</f>
        <v>179639834</v>
      </c>
      <c r="H40" s="71">
        <f t="shared" si="9"/>
        <v>26485120</v>
      </c>
      <c r="I40" s="71">
        <f t="shared" si="9"/>
        <v>0</v>
      </c>
      <c r="J40" s="71">
        <f>J41</f>
        <v>12133826</v>
      </c>
      <c r="K40" s="71">
        <f>K41</f>
        <v>1549318</v>
      </c>
      <c r="L40" s="71">
        <f t="shared" ref="L40:N40" si="10">L41</f>
        <v>9448178</v>
      </c>
      <c r="M40" s="71">
        <f>M41</f>
        <v>1183367</v>
      </c>
      <c r="N40" s="71">
        <f t="shared" si="10"/>
        <v>55353</v>
      </c>
      <c r="O40" s="71">
        <f>O41</f>
        <v>2685648</v>
      </c>
      <c r="P40" s="72">
        <f t="shared" si="8"/>
        <v>255037499</v>
      </c>
    </row>
    <row r="41" spans="1:16" s="34" customFormat="1" ht="31.5" x14ac:dyDescent="0.25">
      <c r="A41" s="63" t="s">
        <v>45</v>
      </c>
      <c r="B41" s="64" t="s">
        <v>16</v>
      </c>
      <c r="C41" s="64" t="s">
        <v>16</v>
      </c>
      <c r="D41" s="65" t="s">
        <v>44</v>
      </c>
      <c r="E41" s="51">
        <f>E42+E43+E44+E45+E46+E47+E48+E50+E51+E53+E54+E55+E57+E56+E49+E60+E58+E59+E52</f>
        <v>242903673</v>
      </c>
      <c r="F41" s="51">
        <f>F42+F43+F44+F45+F46+F47+F48+F50+F51+F53+F54+F55+F57+F56+F49+F60+F58+F59+F52</f>
        <v>242903673</v>
      </c>
      <c r="G41" s="51">
        <f>G42+G43+G44+G45+G46+G47+G48+G50+G51+G53+G54+G55+G57+G56+G49+G60+G58+G59</f>
        <v>179639834</v>
      </c>
      <c r="H41" s="51">
        <f>H42+H43+H44+H45+H46+H47+H48+H50+H51+H53+H54+H55+H57+H56+H49+H60+H58+H59</f>
        <v>26485120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255037499</v>
      </c>
    </row>
    <row r="42" spans="1:16" ht="55.5" customHeight="1" x14ac:dyDescent="0.25">
      <c r="A42" s="751" t="s">
        <v>181</v>
      </c>
      <c r="B42" s="753" t="s">
        <v>46</v>
      </c>
      <c r="C42" s="753" t="s">
        <v>19</v>
      </c>
      <c r="D42" s="30" t="s">
        <v>182</v>
      </c>
      <c r="E42" s="49">
        <f>F42+I42</f>
        <v>4306803</v>
      </c>
      <c r="F42" s="49">
        <f>3424257+709486+96770+46676+29614</f>
        <v>4306803</v>
      </c>
      <c r="G42" s="49">
        <f>2882617+709486</f>
        <v>3592103</v>
      </c>
      <c r="H42" s="49">
        <f>140633+17100</f>
        <v>157733</v>
      </c>
      <c r="I42" s="8">
        <v>0</v>
      </c>
      <c r="J42" s="8">
        <f>L42+O42</f>
        <v>0</v>
      </c>
      <c r="K42" s="8">
        <v>0</v>
      </c>
      <c r="L42" s="8">
        <v>0</v>
      </c>
      <c r="M42" s="8">
        <v>0</v>
      </c>
      <c r="N42" s="8">
        <v>0</v>
      </c>
      <c r="O42" s="8">
        <v>0</v>
      </c>
      <c r="P42" s="74">
        <f t="shared" ref="P42:P60" si="12">E42+J42</f>
        <v>4306803</v>
      </c>
    </row>
    <row r="43" spans="1:16" ht="24" customHeight="1" x14ac:dyDescent="0.25">
      <c r="A43" s="751" t="s">
        <v>47</v>
      </c>
      <c r="B43" s="753" t="s">
        <v>48</v>
      </c>
      <c r="C43" s="753" t="s">
        <v>49</v>
      </c>
      <c r="D43" s="30" t="s">
        <v>50</v>
      </c>
      <c r="E43" s="49">
        <f t="shared" ref="E43:E60" si="13">F43+I43</f>
        <v>76597717</v>
      </c>
      <c r="F43" s="49">
        <f>80978471-119222-4459-997112-2735805+721263-1683000+752594-315013</f>
        <v>76597717</v>
      </c>
      <c r="G43" s="49">
        <f>62483112-85683-997112-2735805-1683000-315013</f>
        <v>56666499</v>
      </c>
      <c r="H43" s="49">
        <f>8498224+81917+355423</f>
        <v>8935564</v>
      </c>
      <c r="I43" s="8">
        <v>0</v>
      </c>
      <c r="J43" s="8">
        <f>L43+O43</f>
        <v>2882033</v>
      </c>
      <c r="K43" s="8">
        <f>0+499750</f>
        <v>499750</v>
      </c>
      <c r="L43" s="8">
        <v>2382283</v>
      </c>
      <c r="M43" s="8"/>
      <c r="N43" s="8">
        <v>0</v>
      </c>
      <c r="O43" s="8">
        <f>K43</f>
        <v>499750</v>
      </c>
      <c r="P43" s="74">
        <f>E43+J43</f>
        <v>79479750</v>
      </c>
    </row>
    <row r="44" spans="1:16" ht="47.25" x14ac:dyDescent="0.25">
      <c r="A44" s="751" t="s">
        <v>51</v>
      </c>
      <c r="B44" s="753" t="s">
        <v>52</v>
      </c>
      <c r="C44" s="753" t="s">
        <v>53</v>
      </c>
      <c r="D44" s="30" t="s">
        <v>443</v>
      </c>
      <c r="E44" s="49">
        <f t="shared" si="13"/>
        <v>67153871</v>
      </c>
      <c r="F44" s="49">
        <f>63503220+499070+72600-179398-47847-30000+30000+47847+498000+175000-4823568+330058+3964258+2211161+618071+285399-290222+290222</f>
        <v>67153871</v>
      </c>
      <c r="G44" s="49">
        <f>31257988+4214390-4823568-315996-109389</f>
        <v>30223425</v>
      </c>
      <c r="H44" s="49">
        <f>15409909+47847+1237554-209330</f>
        <v>16485980</v>
      </c>
      <c r="I44" s="8">
        <v>0</v>
      </c>
      <c r="J44" s="8">
        <f>L44+O44</f>
        <v>6581445</v>
      </c>
      <c r="K44" s="8">
        <v>0</v>
      </c>
      <c r="L44" s="8">
        <v>6581445</v>
      </c>
      <c r="M44" s="8">
        <v>1183367</v>
      </c>
      <c r="N44" s="8">
        <v>55353</v>
      </c>
      <c r="O44" s="8">
        <v>0</v>
      </c>
      <c r="P44" s="74">
        <f>E44+J44</f>
        <v>73735316</v>
      </c>
    </row>
    <row r="45" spans="1:16" ht="60.6" customHeight="1" x14ac:dyDescent="0.25">
      <c r="A45" s="90" t="s">
        <v>183</v>
      </c>
      <c r="B45" s="91" t="s">
        <v>184</v>
      </c>
      <c r="C45" s="91" t="s">
        <v>53</v>
      </c>
      <c r="D45" s="30" t="s">
        <v>444</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7.25" x14ac:dyDescent="0.25">
      <c r="A46" s="751" t="s">
        <v>55</v>
      </c>
      <c r="B46" s="753" t="s">
        <v>56</v>
      </c>
      <c r="C46" s="753"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6" x14ac:dyDescent="0.25">
      <c r="A47" s="252" t="s">
        <v>503</v>
      </c>
      <c r="B47" s="253" t="s">
        <v>504</v>
      </c>
      <c r="C47" s="253" t="s">
        <v>59</v>
      </c>
      <c r="D47" s="254" t="s">
        <v>505</v>
      </c>
      <c r="E47" s="49">
        <f t="shared" ref="E47:E49" si="15">F47+I47</f>
        <v>161725</v>
      </c>
      <c r="F47" s="49">
        <f>104325+57400</f>
        <v>161725</v>
      </c>
      <c r="G47" s="49">
        <f>104325+57400</f>
        <v>161725</v>
      </c>
      <c r="H47" s="49"/>
      <c r="I47" s="8"/>
      <c r="J47" s="8"/>
      <c r="K47" s="8"/>
      <c r="L47" s="8"/>
      <c r="M47" s="8"/>
      <c r="N47" s="8"/>
      <c r="O47" s="8"/>
      <c r="P47" s="74">
        <f t="shared" si="12"/>
        <v>161725</v>
      </c>
    </row>
    <row r="48" spans="1:16" ht="126" x14ac:dyDescent="0.25">
      <c r="A48" s="255" t="s">
        <v>503</v>
      </c>
      <c r="B48" s="256" t="s">
        <v>504</v>
      </c>
      <c r="C48" s="256" t="s">
        <v>59</v>
      </c>
      <c r="D48" s="257" t="s">
        <v>506</v>
      </c>
      <c r="E48" s="49">
        <f t="shared" si="15"/>
        <v>239625</v>
      </c>
      <c r="F48" s="49">
        <f>187785+51840</f>
        <v>239625</v>
      </c>
      <c r="G48" s="49">
        <f>F48</f>
        <v>239625</v>
      </c>
      <c r="H48" s="49"/>
      <c r="I48" s="8"/>
      <c r="J48" s="8"/>
      <c r="K48" s="8"/>
      <c r="L48" s="8"/>
      <c r="M48" s="8"/>
      <c r="N48" s="8"/>
      <c r="O48" s="8"/>
      <c r="P48" s="74">
        <f t="shared" si="12"/>
        <v>239625</v>
      </c>
    </row>
    <row r="49" spans="1:16" ht="78.75" x14ac:dyDescent="0.25">
      <c r="A49" s="70" t="s">
        <v>476</v>
      </c>
      <c r="B49" s="753">
        <v>1210</v>
      </c>
      <c r="C49" s="69" t="s">
        <v>59</v>
      </c>
      <c r="D49" s="30" t="s">
        <v>477</v>
      </c>
      <c r="E49" s="49">
        <f t="shared" si="15"/>
        <v>323630</v>
      </c>
      <c r="F49" s="49">
        <f>110550+213080</f>
        <v>323630</v>
      </c>
      <c r="G49" s="49">
        <f>F49</f>
        <v>323630</v>
      </c>
      <c r="H49" s="49"/>
      <c r="I49" s="8"/>
      <c r="J49" s="8"/>
      <c r="K49" s="8"/>
      <c r="L49" s="8"/>
      <c r="M49" s="8"/>
      <c r="N49" s="8"/>
      <c r="O49" s="8"/>
      <c r="P49" s="74">
        <f t="shared" si="12"/>
        <v>323630</v>
      </c>
    </row>
    <row r="50" spans="1:16" ht="110.25" x14ac:dyDescent="0.25">
      <c r="A50" s="70" t="s">
        <v>439</v>
      </c>
      <c r="B50" s="69" t="s">
        <v>441</v>
      </c>
      <c r="C50" s="69" t="s">
        <v>59</v>
      </c>
      <c r="D50" s="30" t="s">
        <v>437</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10.25" x14ac:dyDescent="0.25">
      <c r="A51" s="70" t="s">
        <v>440</v>
      </c>
      <c r="B51" s="69" t="s">
        <v>442</v>
      </c>
      <c r="C51" s="69" t="s">
        <v>59</v>
      </c>
      <c r="D51" s="30" t="s">
        <v>438</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3" x14ac:dyDescent="0.25">
      <c r="A52" s="70" t="s">
        <v>639</v>
      </c>
      <c r="B52" s="69" t="s">
        <v>641</v>
      </c>
      <c r="C52" s="69" t="s">
        <v>59</v>
      </c>
      <c r="D52" s="30" t="s">
        <v>640</v>
      </c>
      <c r="E52" s="49">
        <f t="shared" si="16"/>
        <v>2289800</v>
      </c>
      <c r="F52" s="49">
        <f>2278000+11800</f>
        <v>2289800</v>
      </c>
      <c r="G52" s="49"/>
      <c r="H52" s="49"/>
      <c r="I52" s="49"/>
      <c r="J52" s="8"/>
      <c r="K52" s="8"/>
      <c r="L52" s="8"/>
      <c r="M52" s="8"/>
      <c r="N52" s="8"/>
      <c r="O52" s="8"/>
      <c r="P52" s="74">
        <f t="shared" si="12"/>
        <v>2289800</v>
      </c>
    </row>
    <row r="53" spans="1:16" ht="31.5" x14ac:dyDescent="0.25">
      <c r="A53" s="751" t="s">
        <v>185</v>
      </c>
      <c r="B53" s="753" t="s">
        <v>186</v>
      </c>
      <c r="C53" s="753"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25">
      <c r="A54" s="751" t="s">
        <v>60</v>
      </c>
      <c r="B54" s="753" t="s">
        <v>61</v>
      </c>
      <c r="C54" s="753"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7.25" x14ac:dyDescent="0.25">
      <c r="A55" s="751" t="s">
        <v>63</v>
      </c>
      <c r="B55" s="753" t="s">
        <v>64</v>
      </c>
      <c r="C55" s="753"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7.25" x14ac:dyDescent="0.25">
      <c r="A56" s="749" t="s">
        <v>264</v>
      </c>
      <c r="B56" s="750" t="s">
        <v>265</v>
      </c>
      <c r="C56" s="750" t="s">
        <v>59</v>
      </c>
      <c r="D56" s="11" t="s">
        <v>266</v>
      </c>
      <c r="E56" s="49">
        <f t="shared" si="13"/>
        <v>1766200</v>
      </c>
      <c r="F56" s="49">
        <v>1766200</v>
      </c>
      <c r="G56" s="49">
        <v>1766200</v>
      </c>
      <c r="H56" s="49"/>
      <c r="I56" s="8"/>
      <c r="J56" s="8"/>
      <c r="K56" s="8"/>
      <c r="L56" s="8"/>
      <c r="M56" s="8"/>
      <c r="N56" s="8"/>
      <c r="O56" s="8"/>
      <c r="P56" s="74">
        <f t="shared" si="12"/>
        <v>1766200</v>
      </c>
    </row>
    <row r="57" spans="1:16" ht="47.25" x14ac:dyDescent="0.25">
      <c r="A57" s="751" t="s">
        <v>66</v>
      </c>
      <c r="B57" s="753" t="s">
        <v>67</v>
      </c>
      <c r="C57" s="753"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75" x14ac:dyDescent="0.25">
      <c r="A58" s="70" t="s">
        <v>624</v>
      </c>
      <c r="B58" s="753">
        <v>1181</v>
      </c>
      <c r="C58" s="753" t="s">
        <v>59</v>
      </c>
      <c r="D58" s="30" t="s">
        <v>625</v>
      </c>
      <c r="E58" s="49">
        <f t="shared" si="13"/>
        <v>449824</v>
      </c>
      <c r="F58" s="49">
        <v>449824</v>
      </c>
      <c r="G58" s="49"/>
      <c r="H58" s="49"/>
      <c r="I58" s="8"/>
      <c r="J58" s="8"/>
      <c r="K58" s="8"/>
      <c r="L58" s="8"/>
      <c r="M58" s="8"/>
      <c r="N58" s="8"/>
      <c r="O58" s="8"/>
      <c r="P58" s="74">
        <f t="shared" si="12"/>
        <v>449824</v>
      </c>
    </row>
    <row r="59" spans="1:16" ht="78.75" x14ac:dyDescent="0.25">
      <c r="A59" s="70" t="s">
        <v>626</v>
      </c>
      <c r="B59" s="753">
        <v>1182</v>
      </c>
      <c r="C59" s="753" t="s">
        <v>59</v>
      </c>
      <c r="D59" s="30" t="s">
        <v>628</v>
      </c>
      <c r="E59" s="49">
        <f t="shared" si="13"/>
        <v>0</v>
      </c>
      <c r="F59" s="49"/>
      <c r="G59" s="49"/>
      <c r="H59" s="49"/>
      <c r="I59" s="8"/>
      <c r="J59" s="8">
        <v>1049568</v>
      </c>
      <c r="K59" s="8">
        <v>1049568</v>
      </c>
      <c r="L59" s="8"/>
      <c r="M59" s="8"/>
      <c r="N59" s="8"/>
      <c r="O59" s="8">
        <f>K59</f>
        <v>1049568</v>
      </c>
      <c r="P59" s="74">
        <f t="shared" si="12"/>
        <v>1049568</v>
      </c>
    </row>
    <row r="60" spans="1:16" ht="79.5" thickBot="1" x14ac:dyDescent="0.3">
      <c r="A60" s="217" t="s">
        <v>478</v>
      </c>
      <c r="B60" s="9">
        <v>3140</v>
      </c>
      <c r="C60" s="9">
        <v>1040</v>
      </c>
      <c r="D60" s="251" t="s">
        <v>479</v>
      </c>
      <c r="E60" s="52">
        <f t="shared" si="13"/>
        <v>864500</v>
      </c>
      <c r="F60" s="214">
        <f>1300000-230000-205500</f>
        <v>864500</v>
      </c>
      <c r="G60" s="214">
        <f>464878-66683-14670-60968-13413</f>
        <v>309144</v>
      </c>
      <c r="H60" s="214">
        <f>13770-687-1181-542-629-1080-494</f>
        <v>9157</v>
      </c>
      <c r="I60" s="215"/>
      <c r="J60" s="215"/>
      <c r="K60" s="215"/>
      <c r="L60" s="215"/>
      <c r="M60" s="215"/>
      <c r="N60" s="215"/>
      <c r="O60" s="215"/>
      <c r="P60" s="605">
        <f t="shared" si="12"/>
        <v>864500</v>
      </c>
    </row>
    <row r="61" spans="1:16" ht="48" thickBot="1" x14ac:dyDescent="0.3">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3847633</v>
      </c>
      <c r="K61" s="71">
        <f>K62</f>
        <v>3834633</v>
      </c>
      <c r="L61" s="71">
        <f t="shared" ref="L61:O61" si="18">L62</f>
        <v>13000</v>
      </c>
      <c r="M61" s="71">
        <f t="shared" si="18"/>
        <v>0</v>
      </c>
      <c r="N61" s="71">
        <f t="shared" si="18"/>
        <v>0</v>
      </c>
      <c r="O61" s="71">
        <f t="shared" si="18"/>
        <v>3834633</v>
      </c>
      <c r="P61" s="72">
        <f>E61+J61</f>
        <v>45744758</v>
      </c>
    </row>
    <row r="62" spans="1:16" ht="48" thickBot="1" x14ac:dyDescent="0.3">
      <c r="A62" s="755" t="s">
        <v>72</v>
      </c>
      <c r="B62" s="756" t="s">
        <v>16</v>
      </c>
      <c r="C62" s="756" t="s">
        <v>16</v>
      </c>
      <c r="D62" s="757" t="s">
        <v>71</v>
      </c>
      <c r="E62" s="758">
        <f>E63+E64+E65+E66+E69+E72+E73+E67+E68+E70+E71</f>
        <v>41897125</v>
      </c>
      <c r="F62" s="758">
        <f>F63+F64+F65+F66+F69+F72+F73+F67+F68+F70+F71</f>
        <v>41897125</v>
      </c>
      <c r="G62" s="758">
        <f>G63+G64+G65+G66+G69+G72+G73+G67+G68+G70+G71</f>
        <v>17732544</v>
      </c>
      <c r="H62" s="758">
        <f t="shared" ref="H62:N62" si="19">H63+H64+H65+H66+H69+H72+H73+H67+H68+H70+H71</f>
        <v>365021</v>
      </c>
      <c r="I62" s="758">
        <f t="shared" si="19"/>
        <v>0</v>
      </c>
      <c r="J62" s="758">
        <f>J63+J64+J65+J66+J69+J72+J73+J67+J68+J70+J71</f>
        <v>3847633</v>
      </c>
      <c r="K62" s="758">
        <f>K63+K64+K65+K66+K69+K72+K73+K67+K68+K70+K71</f>
        <v>3834633</v>
      </c>
      <c r="L62" s="758">
        <f t="shared" si="19"/>
        <v>13000</v>
      </c>
      <c r="M62" s="758">
        <f t="shared" si="19"/>
        <v>0</v>
      </c>
      <c r="N62" s="758">
        <f t="shared" si="19"/>
        <v>0</v>
      </c>
      <c r="O62" s="758">
        <f>O63+O64+O65+O66+O69+O72+O73+O67+O68+O70+O71</f>
        <v>3834633</v>
      </c>
      <c r="P62" s="759">
        <f>E62+J62</f>
        <v>45744758</v>
      </c>
    </row>
    <row r="63" spans="1:16" ht="47.25" x14ac:dyDescent="0.25">
      <c r="A63" s="23" t="s">
        <v>188</v>
      </c>
      <c r="B63" s="24" t="s">
        <v>46</v>
      </c>
      <c r="C63" s="24" t="s">
        <v>19</v>
      </c>
      <c r="D63" s="251" t="s">
        <v>182</v>
      </c>
      <c r="E63" s="52">
        <f>F63+I63</f>
        <v>8297992</v>
      </c>
      <c r="F63" s="52">
        <f>6900686+1397306</f>
        <v>8297992</v>
      </c>
      <c r="G63" s="52">
        <f>6491282+1397306</f>
        <v>7888588</v>
      </c>
      <c r="H63" s="52">
        <v>175849</v>
      </c>
      <c r="I63" s="585">
        <v>0</v>
      </c>
      <c r="J63" s="585">
        <f>L63+O63</f>
        <v>46000</v>
      </c>
      <c r="K63" s="585">
        <v>46000</v>
      </c>
      <c r="L63" s="585">
        <v>0</v>
      </c>
      <c r="M63" s="585">
        <v>0</v>
      </c>
      <c r="N63" s="585">
        <v>0</v>
      </c>
      <c r="O63" s="585">
        <v>46000</v>
      </c>
      <c r="P63" s="605">
        <f>E63+J63</f>
        <v>8343992</v>
      </c>
    </row>
    <row r="64" spans="1:16" ht="31.5" x14ac:dyDescent="0.25">
      <c r="A64" s="751" t="s">
        <v>73</v>
      </c>
      <c r="B64" s="753" t="s">
        <v>74</v>
      </c>
      <c r="C64" s="753"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2" si="22">E64+J64</f>
        <v>12750</v>
      </c>
    </row>
    <row r="65" spans="1:16" ht="31.5" x14ac:dyDescent="0.25">
      <c r="A65" s="751" t="s">
        <v>77</v>
      </c>
      <c r="B65" s="753" t="s">
        <v>78</v>
      </c>
      <c r="C65" s="753"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5" x14ac:dyDescent="0.25">
      <c r="A66" s="751" t="s">
        <v>189</v>
      </c>
      <c r="B66" s="753" t="s">
        <v>190</v>
      </c>
      <c r="C66" s="753"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7.25" x14ac:dyDescent="0.25">
      <c r="A67" s="97" t="s">
        <v>267</v>
      </c>
      <c r="B67" s="38" t="s">
        <v>268</v>
      </c>
      <c r="C67" s="750" t="s">
        <v>56</v>
      </c>
      <c r="D67" s="11" t="s">
        <v>269</v>
      </c>
      <c r="E67" s="49">
        <f t="shared" si="20"/>
        <v>57773</v>
      </c>
      <c r="F67" s="49">
        <f>28193+29580</f>
        <v>57773</v>
      </c>
      <c r="G67" s="49"/>
      <c r="H67" s="49"/>
      <c r="I67" s="8"/>
      <c r="J67" s="8"/>
      <c r="K67" s="8"/>
      <c r="L67" s="8"/>
      <c r="M67" s="8"/>
      <c r="N67" s="8"/>
      <c r="O67" s="8"/>
      <c r="P67" s="74">
        <f t="shared" si="22"/>
        <v>57773</v>
      </c>
    </row>
    <row r="68" spans="1:16" ht="31.5" x14ac:dyDescent="0.25">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4.5" x14ac:dyDescent="0.25">
      <c r="A69" s="751" t="s">
        <v>192</v>
      </c>
      <c r="B69" s="753" t="s">
        <v>193</v>
      </c>
      <c r="C69" s="753"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3" x14ac:dyDescent="0.25">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50.25" customHeight="1" x14ac:dyDescent="0.25">
      <c r="A71" s="444" t="s">
        <v>582</v>
      </c>
      <c r="B71" s="445" t="s">
        <v>583</v>
      </c>
      <c r="C71" s="445" t="s">
        <v>584</v>
      </c>
      <c r="D71" s="446" t="s">
        <v>585</v>
      </c>
      <c r="E71" s="49">
        <f t="shared" si="20"/>
        <v>0</v>
      </c>
      <c r="F71" s="49"/>
      <c r="G71" s="49"/>
      <c r="H71" s="49"/>
      <c r="I71" s="8"/>
      <c r="J71" s="8">
        <f>L71+O71</f>
        <v>3708133</v>
      </c>
      <c r="K71" s="8">
        <f>2164782+1543351</f>
        <v>3708133</v>
      </c>
      <c r="L71" s="8"/>
      <c r="M71" s="8"/>
      <c r="N71" s="8"/>
      <c r="O71" s="8">
        <f>K71</f>
        <v>3708133</v>
      </c>
      <c r="P71" s="74">
        <f t="shared" si="22"/>
        <v>3708133</v>
      </c>
    </row>
    <row r="72" spans="1:16" ht="47.25" x14ac:dyDescent="0.25">
      <c r="A72" s="751" t="s">
        <v>195</v>
      </c>
      <c r="B72" s="753" t="s">
        <v>196</v>
      </c>
      <c r="C72" s="753"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2.25" thickBot="1" x14ac:dyDescent="0.3">
      <c r="A73" s="752" t="s">
        <v>81</v>
      </c>
      <c r="B73" s="754" t="s">
        <v>82</v>
      </c>
      <c r="C73" s="754"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47.25" x14ac:dyDescent="0.25">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7.25" x14ac:dyDescent="0.25">
      <c r="A76" s="751" t="s">
        <v>198</v>
      </c>
      <c r="B76" s="753" t="s">
        <v>46</v>
      </c>
      <c r="C76" s="753"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2.25" thickBot="1" x14ac:dyDescent="0.3">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
      <c r="A78" s="43" t="s">
        <v>90</v>
      </c>
      <c r="B78" s="44" t="s">
        <v>16</v>
      </c>
      <c r="C78" s="44" t="s">
        <v>16</v>
      </c>
      <c r="D78" s="45" t="s">
        <v>91</v>
      </c>
      <c r="E78" s="71">
        <f>E79</f>
        <v>91456718</v>
      </c>
      <c r="F78" s="71">
        <f>F79</f>
        <v>91456718</v>
      </c>
      <c r="G78" s="71">
        <f t="shared" ref="G78:I78" si="27">G79</f>
        <v>50718252</v>
      </c>
      <c r="H78" s="71">
        <f t="shared" si="27"/>
        <v>6230466</v>
      </c>
      <c r="I78" s="71">
        <f t="shared" si="27"/>
        <v>0</v>
      </c>
      <c r="J78" s="71">
        <f>J79</f>
        <v>2869769</v>
      </c>
      <c r="K78" s="71">
        <f>K79</f>
        <v>1884997</v>
      </c>
      <c r="L78" s="71">
        <f t="shared" ref="L78:O78" si="28">L79</f>
        <v>984772</v>
      </c>
      <c r="M78" s="71">
        <f t="shared" si="28"/>
        <v>850986</v>
      </c>
      <c r="N78" s="71">
        <f t="shared" si="28"/>
        <v>0</v>
      </c>
      <c r="O78" s="71">
        <f t="shared" si="28"/>
        <v>1884997</v>
      </c>
      <c r="P78" s="72">
        <f t="shared" si="22"/>
        <v>94326487</v>
      </c>
    </row>
    <row r="79" spans="1:16" s="34" customFormat="1" ht="47.25" x14ac:dyDescent="0.25">
      <c r="A79" s="63" t="s">
        <v>92</v>
      </c>
      <c r="B79" s="64" t="s">
        <v>16</v>
      </c>
      <c r="C79" s="64" t="s">
        <v>16</v>
      </c>
      <c r="D79" s="65" t="s">
        <v>91</v>
      </c>
      <c r="E79" s="51">
        <f>E80+E81+E82+E83+E84+E85+E86+E87+E88+E89+E90+E92+E93+E94+E91</f>
        <v>91456718</v>
      </c>
      <c r="F79" s="51">
        <f>F80+F81+F82+F83+F84+F85+F86+F87+F88+F89+F90+F92+F93+F94+F91</f>
        <v>91456718</v>
      </c>
      <c r="G79" s="51">
        <f>G80+G81+G82+G83+G84+G85+G86+G87+G88+G89+G90+G92+G93+G94+G91</f>
        <v>50718252</v>
      </c>
      <c r="H79" s="51">
        <f>H80+H81+H82+H83+H84+H85+H86+H87+H88+H89+H90+H92+H93+H94</f>
        <v>6230466</v>
      </c>
      <c r="I79" s="51">
        <f t="shared" ref="I79" si="29">I80+I81+I82+I83+I84+I85+I86+I87+I88+I89+I90+I92+I93+I94</f>
        <v>0</v>
      </c>
      <c r="J79" s="51">
        <f>J80+J81+J82+J83+J84+J85+J86+J87+J88+J89+J90+J92+J93+J94</f>
        <v>2869769</v>
      </c>
      <c r="K79" s="51">
        <f t="shared" ref="K79:L79" si="30">K80+K81+K82+K83+K84+K85+K86+K87+K88+K89+K90+K92+K93+K94</f>
        <v>1884997</v>
      </c>
      <c r="L79" s="51">
        <f t="shared" si="30"/>
        <v>984772</v>
      </c>
      <c r="M79" s="51">
        <f>M80+M81+M82+M83+M84+M85+M86+M87+M88+M89+M90+M92+M93+M94</f>
        <v>850986</v>
      </c>
      <c r="N79" s="51">
        <f t="shared" ref="N79" si="31">N80+N81+N82+N83+N84+N85+N86+N87+N88+N89+N90+N92+N93+N94</f>
        <v>0</v>
      </c>
      <c r="O79" s="51">
        <f>O80+O81+O82+O83+O84+O85+O86+O87+O88+O89+O90+O92+O93+O94</f>
        <v>1884997</v>
      </c>
      <c r="P79" s="73">
        <f>P80+P81+P82+P83+P84+P85+P86+P87+P88+P89+P90+P92+P93+P94+P91</f>
        <v>94326487</v>
      </c>
    </row>
    <row r="80" spans="1:16" ht="50.25" customHeight="1" x14ac:dyDescent="0.25">
      <c r="A80" s="751" t="s">
        <v>199</v>
      </c>
      <c r="B80" s="753" t="s">
        <v>46</v>
      </c>
      <c r="C80" s="753"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5" x14ac:dyDescent="0.25">
      <c r="A81" s="751" t="s">
        <v>93</v>
      </c>
      <c r="B81" s="753" t="s">
        <v>94</v>
      </c>
      <c r="C81" s="753" t="s">
        <v>57</v>
      </c>
      <c r="D81" s="30" t="s">
        <v>95</v>
      </c>
      <c r="E81" s="49">
        <f>F81+I81</f>
        <v>14526837</v>
      </c>
      <c r="F81" s="49">
        <f>14795535-268698</f>
        <v>14526837</v>
      </c>
      <c r="G81" s="49">
        <f>14259107-268698</f>
        <v>13990409</v>
      </c>
      <c r="H81" s="49">
        <v>410204</v>
      </c>
      <c r="I81" s="8">
        <v>0</v>
      </c>
      <c r="J81" s="8">
        <f t="shared" ref="J81:J94" si="32">L81+O81</f>
        <v>904685</v>
      </c>
      <c r="K81" s="8">
        <f>O81</f>
        <v>53699</v>
      </c>
      <c r="L81" s="8">
        <v>850986</v>
      </c>
      <c r="M81" s="8">
        <v>850986</v>
      </c>
      <c r="N81" s="8">
        <v>0</v>
      </c>
      <c r="O81" s="8">
        <f>27000+26699</f>
        <v>53699</v>
      </c>
      <c r="P81" s="74">
        <f t="shared" si="22"/>
        <v>15431522</v>
      </c>
    </row>
    <row r="82" spans="1:16" x14ac:dyDescent="0.25">
      <c r="A82" s="751" t="s">
        <v>96</v>
      </c>
      <c r="B82" s="753" t="s">
        <v>97</v>
      </c>
      <c r="C82" s="753" t="s">
        <v>69</v>
      </c>
      <c r="D82" s="30" t="s">
        <v>98</v>
      </c>
      <c r="E82" s="49">
        <f t="shared" ref="E82:E94" si="33">F82+I82</f>
        <v>240526</v>
      </c>
      <c r="F82" s="49">
        <v>240526</v>
      </c>
      <c r="G82" s="49">
        <v>0</v>
      </c>
      <c r="H82" s="49">
        <v>0</v>
      </c>
      <c r="I82" s="8">
        <v>0</v>
      </c>
      <c r="J82" s="8">
        <f t="shared" si="32"/>
        <v>0</v>
      </c>
      <c r="K82" s="8">
        <v>0</v>
      </c>
      <c r="L82" s="8">
        <v>0</v>
      </c>
      <c r="M82" s="8">
        <v>0</v>
      </c>
      <c r="N82" s="8">
        <v>0</v>
      </c>
      <c r="O82" s="8">
        <v>0</v>
      </c>
      <c r="P82" s="74">
        <f t="shared" si="22"/>
        <v>240526</v>
      </c>
    </row>
    <row r="83" spans="1:16" ht="21.75" customHeight="1" x14ac:dyDescent="0.25">
      <c r="A83" s="751" t="s">
        <v>99</v>
      </c>
      <c r="B83" s="753" t="s">
        <v>100</v>
      </c>
      <c r="C83" s="753" t="s">
        <v>101</v>
      </c>
      <c r="D83" s="30" t="s">
        <v>102</v>
      </c>
      <c r="E83" s="49">
        <f t="shared" si="33"/>
        <v>4819279</v>
      </c>
      <c r="F83" s="49">
        <f>4760466+58813</f>
        <v>4819279</v>
      </c>
      <c r="G83" s="49">
        <v>4315718</v>
      </c>
      <c r="H83" s="49">
        <f>246246+58813</f>
        <v>305059</v>
      </c>
      <c r="I83" s="8">
        <v>0</v>
      </c>
      <c r="J83" s="8">
        <f t="shared" si="32"/>
        <v>117999</v>
      </c>
      <c r="K83" s="8">
        <f t="shared" ref="K83:K84" si="34">O83</f>
        <v>117999</v>
      </c>
      <c r="L83" s="8">
        <v>0</v>
      </c>
      <c r="M83" s="8">
        <v>0</v>
      </c>
      <c r="N83" s="8">
        <v>0</v>
      </c>
      <c r="O83" s="8">
        <f>50000+67999</f>
        <v>117999</v>
      </c>
      <c r="P83" s="74">
        <f t="shared" si="22"/>
        <v>4937278</v>
      </c>
    </row>
    <row r="84" spans="1:16" ht="19.5" customHeight="1" x14ac:dyDescent="0.25">
      <c r="A84" s="751" t="s">
        <v>103</v>
      </c>
      <c r="B84" s="753" t="s">
        <v>104</v>
      </c>
      <c r="C84" s="753" t="s">
        <v>101</v>
      </c>
      <c r="D84" s="30" t="s">
        <v>105</v>
      </c>
      <c r="E84" s="49">
        <f>F84+I84</f>
        <v>1300972</v>
      </c>
      <c r="F84" s="49">
        <f>1287949+13023</f>
        <v>1300972</v>
      </c>
      <c r="G84" s="49">
        <v>1112147</v>
      </c>
      <c r="H84" s="49">
        <f>94304+13023</f>
        <v>107327</v>
      </c>
      <c r="I84" s="8">
        <v>0</v>
      </c>
      <c r="J84" s="8">
        <f t="shared" si="32"/>
        <v>50299</v>
      </c>
      <c r="K84" s="8">
        <f t="shared" si="34"/>
        <v>50299</v>
      </c>
      <c r="L84" s="8">
        <v>0</v>
      </c>
      <c r="M84" s="8">
        <v>0</v>
      </c>
      <c r="N84" s="8">
        <v>0</v>
      </c>
      <c r="O84" s="8">
        <v>50299</v>
      </c>
      <c r="P84" s="74">
        <f t="shared" si="22"/>
        <v>1351271</v>
      </c>
    </row>
    <row r="85" spans="1:16" ht="45.75" customHeight="1" x14ac:dyDescent="0.25">
      <c r="A85" s="751" t="s">
        <v>106</v>
      </c>
      <c r="B85" s="753" t="s">
        <v>107</v>
      </c>
      <c r="C85" s="753" t="s">
        <v>108</v>
      </c>
      <c r="D85" s="30" t="s">
        <v>109</v>
      </c>
      <c r="E85" s="49">
        <f t="shared" si="33"/>
        <v>23095620</v>
      </c>
      <c r="F85" s="49">
        <f>23959997-23550-1027554+186727-367168-80776+447944-19600+19600</f>
        <v>23095620</v>
      </c>
      <c r="G85" s="49">
        <f>18713009-1027554-367168-80776</f>
        <v>17237511</v>
      </c>
      <c r="H85" s="49">
        <f>4152748-23550+69155+447944+19600</f>
        <v>4665897</v>
      </c>
      <c r="I85" s="8">
        <v>0</v>
      </c>
      <c r="J85" s="8">
        <f t="shared" si="32"/>
        <v>133786</v>
      </c>
      <c r="K85" s="8">
        <v>0</v>
      </c>
      <c r="L85" s="8">
        <v>133786</v>
      </c>
      <c r="M85" s="8">
        <v>0</v>
      </c>
      <c r="N85" s="8">
        <v>0</v>
      </c>
      <c r="O85" s="8">
        <v>0</v>
      </c>
      <c r="P85" s="74">
        <f t="shared" si="22"/>
        <v>23229406</v>
      </c>
    </row>
    <row r="86" spans="1:16" ht="31.5" x14ac:dyDescent="0.25">
      <c r="A86" s="751" t="s">
        <v>200</v>
      </c>
      <c r="B86" s="753" t="s">
        <v>201</v>
      </c>
      <c r="C86" s="753" t="s">
        <v>110</v>
      </c>
      <c r="D86" s="30" t="s">
        <v>202</v>
      </c>
      <c r="E86" s="49">
        <f t="shared" si="33"/>
        <v>1826056</v>
      </c>
      <c r="F86" s="49">
        <v>1826056</v>
      </c>
      <c r="G86" s="49">
        <v>1735698</v>
      </c>
      <c r="H86" s="49">
        <v>0</v>
      </c>
      <c r="I86" s="8">
        <v>0</v>
      </c>
      <c r="J86" s="8">
        <f t="shared" si="32"/>
        <v>23000</v>
      </c>
      <c r="K86" s="8">
        <f>O86</f>
        <v>23000</v>
      </c>
      <c r="L86" s="8">
        <v>0</v>
      </c>
      <c r="M86" s="8">
        <v>0</v>
      </c>
      <c r="N86" s="8">
        <v>0</v>
      </c>
      <c r="O86" s="8">
        <v>23000</v>
      </c>
      <c r="P86" s="74">
        <f t="shared" si="22"/>
        <v>1849056</v>
      </c>
    </row>
    <row r="87" spans="1:16" x14ac:dyDescent="0.25">
      <c r="A87" s="751" t="s">
        <v>111</v>
      </c>
      <c r="B87" s="753" t="s">
        <v>112</v>
      </c>
      <c r="C87" s="753" t="s">
        <v>110</v>
      </c>
      <c r="D87" s="30" t="s">
        <v>113</v>
      </c>
      <c r="E87" s="49">
        <f t="shared" si="33"/>
        <v>194000</v>
      </c>
      <c r="F87" s="49">
        <v>194000</v>
      </c>
      <c r="G87" s="49">
        <v>0</v>
      </c>
      <c r="H87" s="49">
        <v>0</v>
      </c>
      <c r="I87" s="8">
        <v>0</v>
      </c>
      <c r="J87" s="8">
        <f t="shared" si="32"/>
        <v>0</v>
      </c>
      <c r="K87" s="8">
        <v>0</v>
      </c>
      <c r="L87" s="8">
        <v>0</v>
      </c>
      <c r="M87" s="8">
        <v>0</v>
      </c>
      <c r="N87" s="8">
        <v>0</v>
      </c>
      <c r="O87" s="8">
        <v>0</v>
      </c>
      <c r="P87" s="74">
        <f t="shared" si="22"/>
        <v>194000</v>
      </c>
    </row>
    <row r="88" spans="1:16" ht="31.5" x14ac:dyDescent="0.25">
      <c r="A88" s="751" t="s">
        <v>114</v>
      </c>
      <c r="B88" s="753" t="s">
        <v>115</v>
      </c>
      <c r="C88" s="753" t="s">
        <v>116</v>
      </c>
      <c r="D88" s="30" t="s">
        <v>117</v>
      </c>
      <c r="E88" s="49">
        <f t="shared" si="33"/>
        <v>32750</v>
      </c>
      <c r="F88" s="49">
        <v>32750</v>
      </c>
      <c r="G88" s="49">
        <v>0</v>
      </c>
      <c r="H88" s="49">
        <v>0</v>
      </c>
      <c r="I88" s="8">
        <v>0</v>
      </c>
      <c r="J88" s="8">
        <f t="shared" si="32"/>
        <v>0</v>
      </c>
      <c r="K88" s="8">
        <v>0</v>
      </c>
      <c r="L88" s="8">
        <v>0</v>
      </c>
      <c r="M88" s="8">
        <v>0</v>
      </c>
      <c r="N88" s="8">
        <v>0</v>
      </c>
      <c r="O88" s="8">
        <v>0</v>
      </c>
      <c r="P88" s="74">
        <f t="shared" si="22"/>
        <v>32750</v>
      </c>
    </row>
    <row r="89" spans="1:16" ht="47.25" x14ac:dyDescent="0.25">
      <c r="A89" s="751" t="s">
        <v>118</v>
      </c>
      <c r="B89" s="753" t="s">
        <v>119</v>
      </c>
      <c r="C89" s="753" t="s">
        <v>116</v>
      </c>
      <c r="D89" s="30" t="s">
        <v>120</v>
      </c>
      <c r="E89" s="49">
        <f t="shared" si="33"/>
        <v>8128835</v>
      </c>
      <c r="F89" s="49">
        <f>8007751+500000+162399-469479-119304-26247+73715</f>
        <v>8128835</v>
      </c>
      <c r="G89" s="49">
        <f>6310703-469479-119304-26247</f>
        <v>5695673</v>
      </c>
      <c r="H89" s="49">
        <f>452628+73715</f>
        <v>526343</v>
      </c>
      <c r="I89" s="8">
        <v>0</v>
      </c>
      <c r="J89" s="8">
        <f t="shared" si="32"/>
        <v>0</v>
      </c>
      <c r="K89" s="8">
        <v>0</v>
      </c>
      <c r="L89" s="8">
        <v>0</v>
      </c>
      <c r="M89" s="8">
        <v>0</v>
      </c>
      <c r="N89" s="8">
        <v>0</v>
      </c>
      <c r="O89" s="8">
        <v>0</v>
      </c>
      <c r="P89" s="74">
        <f t="shared" si="22"/>
        <v>8128835</v>
      </c>
    </row>
    <row r="90" spans="1:16" ht="31.5" x14ac:dyDescent="0.25">
      <c r="A90" s="751" t="s">
        <v>203</v>
      </c>
      <c r="B90" s="753" t="s">
        <v>204</v>
      </c>
      <c r="C90" s="753" t="s">
        <v>116</v>
      </c>
      <c r="D90" s="30" t="s">
        <v>161</v>
      </c>
      <c r="E90" s="49">
        <f t="shared" si="33"/>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7.25" x14ac:dyDescent="0.25">
      <c r="A91" s="751">
        <v>1015049</v>
      </c>
      <c r="B91" s="753">
        <v>5049</v>
      </c>
      <c r="C91" s="69" t="s">
        <v>116</v>
      </c>
      <c r="D91" s="30" t="s">
        <v>480</v>
      </c>
      <c r="E91" s="49">
        <f t="shared" si="33"/>
        <v>166311</v>
      </c>
      <c r="F91" s="49">
        <v>166311</v>
      </c>
      <c r="G91" s="49">
        <v>166311</v>
      </c>
      <c r="H91" s="49"/>
      <c r="I91" s="8"/>
      <c r="J91" s="8"/>
      <c r="K91" s="8"/>
      <c r="L91" s="8"/>
      <c r="M91" s="8"/>
      <c r="N91" s="8"/>
      <c r="O91" s="8"/>
      <c r="P91" s="74">
        <f t="shared" si="22"/>
        <v>166311</v>
      </c>
    </row>
    <row r="92" spans="1:16" ht="69.75" customHeight="1" x14ac:dyDescent="0.25">
      <c r="A92" s="751" t="s">
        <v>121</v>
      </c>
      <c r="B92" s="753" t="s">
        <v>122</v>
      </c>
      <c r="C92" s="753" t="s">
        <v>116</v>
      </c>
      <c r="D92" s="30" t="s">
        <v>123</v>
      </c>
      <c r="E92" s="49">
        <f t="shared" si="33"/>
        <v>5273449</v>
      </c>
      <c r="F92" s="49">
        <f>5129899+143550</f>
        <v>5273449</v>
      </c>
      <c r="G92" s="49">
        <v>3780354</v>
      </c>
      <c r="H92" s="49">
        <v>114836</v>
      </c>
      <c r="I92" s="8">
        <v>0</v>
      </c>
      <c r="J92" s="8">
        <f t="shared" si="32"/>
        <v>46000</v>
      </c>
      <c r="K92" s="8">
        <f>O92</f>
        <v>46000</v>
      </c>
      <c r="L92" s="8">
        <v>0</v>
      </c>
      <c r="M92" s="8">
        <v>0</v>
      </c>
      <c r="N92" s="8">
        <v>0</v>
      </c>
      <c r="O92" s="8">
        <f>0+46000</f>
        <v>46000</v>
      </c>
      <c r="P92" s="74">
        <f t="shared" si="22"/>
        <v>5319449</v>
      </c>
    </row>
    <row r="93" spans="1:16" ht="57" customHeight="1" x14ac:dyDescent="0.25">
      <c r="A93" s="751" t="s">
        <v>124</v>
      </c>
      <c r="B93" s="753" t="s">
        <v>125</v>
      </c>
      <c r="C93" s="753" t="s">
        <v>116</v>
      </c>
      <c r="D93" s="30" t="s">
        <v>126</v>
      </c>
      <c r="E93" s="49">
        <f t="shared" si="33"/>
        <v>566000</v>
      </c>
      <c r="F93" s="49">
        <f>558000-120000+128000</f>
        <v>566000</v>
      </c>
      <c r="G93" s="49">
        <v>0</v>
      </c>
      <c r="H93" s="49">
        <v>0</v>
      </c>
      <c r="I93" s="8">
        <v>0</v>
      </c>
      <c r="J93" s="8">
        <f t="shared" si="32"/>
        <v>0</v>
      </c>
      <c r="K93" s="8">
        <v>0</v>
      </c>
      <c r="L93" s="8">
        <v>0</v>
      </c>
      <c r="M93" s="8">
        <v>0</v>
      </c>
      <c r="N93" s="8">
        <v>0</v>
      </c>
      <c r="O93" s="8">
        <v>0</v>
      </c>
      <c r="P93" s="74">
        <f t="shared" si="22"/>
        <v>566000</v>
      </c>
    </row>
    <row r="94" spans="1:16" ht="48" thickBot="1" x14ac:dyDescent="0.3">
      <c r="A94" s="77">
        <v>1018110</v>
      </c>
      <c r="B94" s="78">
        <v>8110</v>
      </c>
      <c r="C94" s="79" t="s">
        <v>239</v>
      </c>
      <c r="D94" s="80" t="s">
        <v>240</v>
      </c>
      <c r="E94" s="666">
        <f t="shared" si="33"/>
        <v>102300</v>
      </c>
      <c r="F94" s="666">
        <f>102300-100800+100800</f>
        <v>102300</v>
      </c>
      <c r="G94" s="666">
        <v>0</v>
      </c>
      <c r="H94" s="666">
        <v>100800</v>
      </c>
      <c r="I94" s="667">
        <v>0</v>
      </c>
      <c r="J94" s="667">
        <f t="shared" si="32"/>
        <v>0</v>
      </c>
      <c r="K94" s="667">
        <v>0</v>
      </c>
      <c r="L94" s="667">
        <v>0</v>
      </c>
      <c r="M94" s="667">
        <v>0</v>
      </c>
      <c r="N94" s="667">
        <v>0</v>
      </c>
      <c r="O94" s="667">
        <v>0</v>
      </c>
      <c r="P94" s="668">
        <f t="shared" si="22"/>
        <v>102300</v>
      </c>
    </row>
    <row r="95" spans="1:16" s="35" customFormat="1" ht="64.150000000000006" customHeight="1" thickBot="1" x14ac:dyDescent="0.3">
      <c r="A95" s="43" t="s">
        <v>127</v>
      </c>
      <c r="B95" s="44" t="s">
        <v>16</v>
      </c>
      <c r="C95" s="44" t="s">
        <v>16</v>
      </c>
      <c r="D95" s="45" t="s">
        <v>128</v>
      </c>
      <c r="E95" s="71">
        <f>E96</f>
        <v>70063660</v>
      </c>
      <c r="F95" s="71">
        <f>F96</f>
        <v>70063660</v>
      </c>
      <c r="G95" s="71">
        <f t="shared" ref="G95:I95" si="35">G96</f>
        <v>3989655</v>
      </c>
      <c r="H95" s="71">
        <f t="shared" si="35"/>
        <v>0</v>
      </c>
      <c r="I95" s="71">
        <f t="shared" si="35"/>
        <v>0</v>
      </c>
      <c r="J95" s="10">
        <f>J96</f>
        <v>10830100</v>
      </c>
      <c r="K95" s="71">
        <f t="shared" ref="K95:O95" si="36">K96</f>
        <v>10470500</v>
      </c>
      <c r="L95" s="71">
        <f t="shared" si="36"/>
        <v>264650</v>
      </c>
      <c r="M95" s="71">
        <f t="shared" si="36"/>
        <v>0</v>
      </c>
      <c r="N95" s="71">
        <f t="shared" si="36"/>
        <v>0</v>
      </c>
      <c r="O95" s="71">
        <f t="shared" si="36"/>
        <v>10565450</v>
      </c>
      <c r="P95" s="72">
        <f>E95+J95</f>
        <v>80893760</v>
      </c>
    </row>
    <row r="96" spans="1:16" s="34" customFormat="1" ht="46.5" customHeight="1" x14ac:dyDescent="0.25">
      <c r="A96" s="63" t="s">
        <v>129</v>
      </c>
      <c r="B96" s="64" t="s">
        <v>16</v>
      </c>
      <c r="C96" s="64" t="s">
        <v>16</v>
      </c>
      <c r="D96" s="65" t="s">
        <v>128</v>
      </c>
      <c r="E96" s="51">
        <f>E97+E98+E100+E102+E103+E104+E107+E99+E105+E106</f>
        <v>70063660</v>
      </c>
      <c r="F96" s="51">
        <f>F97+F98+F100+F102+F103+F104+F107+F99+F105+F106</f>
        <v>70063660</v>
      </c>
      <c r="G96" s="51">
        <f t="shared" ref="G96:N96" si="37">G97+G98+G100+G102+G104+G107+G99</f>
        <v>3989655</v>
      </c>
      <c r="H96" s="51">
        <f t="shared" si="37"/>
        <v>0</v>
      </c>
      <c r="I96" s="51">
        <f t="shared" si="37"/>
        <v>0</v>
      </c>
      <c r="J96" s="51">
        <f>J97+J98+J100+J102+J104+J107+J99+J101</f>
        <v>10830100</v>
      </c>
      <c r="K96" s="51">
        <f>K97+K98+K100+K102+K104+K107+K99+K101</f>
        <v>10470500</v>
      </c>
      <c r="L96" s="51">
        <f t="shared" si="37"/>
        <v>264650</v>
      </c>
      <c r="M96" s="51">
        <f t="shared" si="37"/>
        <v>0</v>
      </c>
      <c r="N96" s="51">
        <f t="shared" si="37"/>
        <v>0</v>
      </c>
      <c r="O96" s="51">
        <f>O97+O98+O100+O102+O104+O107+O99+O101</f>
        <v>10565450</v>
      </c>
      <c r="P96" s="73">
        <f>P97+P98+P100+P102+P103+P104+P107+P99+P105+P101+P106</f>
        <v>80893760</v>
      </c>
    </row>
    <row r="97" spans="1:16" ht="47.25" x14ac:dyDescent="0.25">
      <c r="A97" s="751" t="s">
        <v>130</v>
      </c>
      <c r="B97" s="753" t="s">
        <v>46</v>
      </c>
      <c r="C97" s="753" t="s">
        <v>19</v>
      </c>
      <c r="D97" s="30" t="s">
        <v>182</v>
      </c>
      <c r="E97" s="49">
        <f>F97</f>
        <v>4092162</v>
      </c>
      <c r="F97" s="49">
        <f>3359091+723071+10000</f>
        <v>4092162</v>
      </c>
      <c r="G97" s="49">
        <f>3266584+723071</f>
        <v>3989655</v>
      </c>
      <c r="H97" s="49">
        <v>0</v>
      </c>
      <c r="I97" s="8">
        <v>0</v>
      </c>
      <c r="J97" s="8">
        <f>L97+O97</f>
        <v>46000</v>
      </c>
      <c r="K97" s="8">
        <f>O97</f>
        <v>46000</v>
      </c>
      <c r="L97" s="8">
        <v>0</v>
      </c>
      <c r="M97" s="8">
        <v>0</v>
      </c>
      <c r="N97" s="8">
        <v>0</v>
      </c>
      <c r="O97" s="8">
        <f>23000+23000</f>
        <v>46000</v>
      </c>
      <c r="P97" s="74">
        <f t="shared" si="22"/>
        <v>4138162</v>
      </c>
    </row>
    <row r="98" spans="1:16" x14ac:dyDescent="0.25">
      <c r="A98" s="751" t="s">
        <v>131</v>
      </c>
      <c r="B98" s="753" t="s">
        <v>132</v>
      </c>
      <c r="C98" s="753"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47.25" x14ac:dyDescent="0.25">
      <c r="A99" s="751">
        <v>1216012</v>
      </c>
      <c r="B99" s="753">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5" x14ac:dyDescent="0.25">
      <c r="A100" s="751" t="s">
        <v>135</v>
      </c>
      <c r="B100" s="753" t="s">
        <v>136</v>
      </c>
      <c r="C100" s="753"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5" x14ac:dyDescent="0.25">
      <c r="A101" s="751">
        <v>1216014</v>
      </c>
      <c r="B101" s="753">
        <v>6014</v>
      </c>
      <c r="C101" s="753" t="s">
        <v>29</v>
      </c>
      <c r="D101" s="30" t="s">
        <v>448</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25">
      <c r="A102" s="751" t="s">
        <v>138</v>
      </c>
      <c r="B102" s="753" t="s">
        <v>28</v>
      </c>
      <c r="C102" s="753"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5" customHeight="1" x14ac:dyDescent="0.25">
      <c r="A103" s="751">
        <v>1216071</v>
      </c>
      <c r="B103" s="753">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15" customHeight="1" x14ac:dyDescent="0.25">
      <c r="A104" s="751" t="s">
        <v>139</v>
      </c>
      <c r="B104" s="753" t="s">
        <v>140</v>
      </c>
      <c r="C104" s="753" t="s">
        <v>141</v>
      </c>
      <c r="D104" s="30" t="s">
        <v>142</v>
      </c>
      <c r="E104" s="49">
        <f t="shared" si="38"/>
        <v>2980221</v>
      </c>
      <c r="F104" s="49">
        <f>2286103+347845+379273-33000</f>
        <v>2980221</v>
      </c>
      <c r="G104" s="49">
        <v>0</v>
      </c>
      <c r="H104" s="49">
        <v>0</v>
      </c>
      <c r="I104" s="8">
        <v>0</v>
      </c>
      <c r="J104" s="8">
        <f t="shared" si="39"/>
        <v>0</v>
      </c>
      <c r="K104" s="8">
        <v>0</v>
      </c>
      <c r="L104" s="8">
        <v>0</v>
      </c>
      <c r="M104" s="8">
        <v>0</v>
      </c>
      <c r="N104" s="8">
        <v>0</v>
      </c>
      <c r="O104" s="8">
        <v>0</v>
      </c>
      <c r="P104" s="74">
        <f t="shared" si="22"/>
        <v>2980221</v>
      </c>
    </row>
    <row r="105" spans="1:16" ht="45.75" customHeight="1" x14ac:dyDescent="0.25">
      <c r="A105" s="46">
        <v>1217693</v>
      </c>
      <c r="B105" s="47">
        <v>7693</v>
      </c>
      <c r="C105" s="106" t="s">
        <v>178</v>
      </c>
      <c r="D105" s="41" t="s">
        <v>445</v>
      </c>
      <c r="E105" s="50">
        <f t="shared" si="38"/>
        <v>1282713</v>
      </c>
      <c r="F105" s="50">
        <f>1236594+38667+26774+23331+24056-98269+21083+10477</f>
        <v>1282713</v>
      </c>
      <c r="G105" s="50"/>
      <c r="H105" s="50"/>
      <c r="I105" s="14"/>
      <c r="J105" s="8"/>
      <c r="K105" s="14"/>
      <c r="L105" s="14"/>
      <c r="M105" s="14"/>
      <c r="N105" s="14"/>
      <c r="O105" s="14"/>
      <c r="P105" s="74">
        <f t="shared" si="22"/>
        <v>1282713</v>
      </c>
    </row>
    <row r="106" spans="1:16" ht="45.75" customHeight="1" x14ac:dyDescent="0.25">
      <c r="A106" s="46">
        <v>1218240</v>
      </c>
      <c r="B106" s="753">
        <v>8240</v>
      </c>
      <c r="C106" s="69" t="s">
        <v>37</v>
      </c>
      <c r="D106" s="30" t="s">
        <v>652</v>
      </c>
      <c r="E106" s="50">
        <f t="shared" si="38"/>
        <v>84058</v>
      </c>
      <c r="F106" s="50">
        <f>58682+25376</f>
        <v>84058</v>
      </c>
      <c r="G106" s="50"/>
      <c r="H106" s="50"/>
      <c r="I106" s="14"/>
      <c r="J106" s="8"/>
      <c r="K106" s="14"/>
      <c r="L106" s="14"/>
      <c r="M106" s="14"/>
      <c r="N106" s="14"/>
      <c r="O106" s="14"/>
      <c r="P106" s="74">
        <f t="shared" si="22"/>
        <v>84058</v>
      </c>
    </row>
    <row r="107" spans="1:16" ht="40.9" customHeight="1" thickBot="1" x14ac:dyDescent="0.3">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95735557</v>
      </c>
      <c r="K108" s="71">
        <f>K109</f>
        <v>95735557</v>
      </c>
      <c r="L108" s="71">
        <f t="shared" ref="L108:O108" si="41">L109</f>
        <v>0</v>
      </c>
      <c r="M108" s="71">
        <f t="shared" si="41"/>
        <v>0</v>
      </c>
      <c r="N108" s="71">
        <f t="shared" si="41"/>
        <v>0</v>
      </c>
      <c r="O108" s="71">
        <f t="shared" si="41"/>
        <v>95735557</v>
      </c>
      <c r="P108" s="72">
        <f>E108+J108</f>
        <v>98875341</v>
      </c>
    </row>
    <row r="109" spans="1:16" s="34" customFormat="1" ht="48" thickBot="1" x14ac:dyDescent="0.3">
      <c r="A109" s="755" t="s">
        <v>149</v>
      </c>
      <c r="B109" s="756" t="s">
        <v>16</v>
      </c>
      <c r="C109" s="756" t="s">
        <v>16</v>
      </c>
      <c r="D109" s="757" t="s">
        <v>148</v>
      </c>
      <c r="E109" s="760">
        <f>E110+E113+E114+E116</f>
        <v>3139784</v>
      </c>
      <c r="F109" s="760">
        <f t="shared" ref="F109:I109" si="42">F110+F113+F114+F116</f>
        <v>3139784</v>
      </c>
      <c r="G109" s="760">
        <f t="shared" si="42"/>
        <v>2934416</v>
      </c>
      <c r="H109" s="760">
        <f t="shared" si="42"/>
        <v>91053</v>
      </c>
      <c r="I109" s="760">
        <f t="shared" si="42"/>
        <v>0</v>
      </c>
      <c r="J109" s="760">
        <f>J110+J113+J114+J116+J117+J111+J119+J120+J112+J118+J121+J115+J122</f>
        <v>95735557</v>
      </c>
      <c r="K109" s="760">
        <f>K110+K113+K114+K116+K117+K111+K119+K120+K112+K118+K121+K115+K122</f>
        <v>95735557</v>
      </c>
      <c r="L109" s="760">
        <f>L110+L113+L114+L116</f>
        <v>0</v>
      </c>
      <c r="M109" s="760">
        <f>M110+M113+M114+M116</f>
        <v>0</v>
      </c>
      <c r="N109" s="760">
        <f>N110+N113+N114+N116</f>
        <v>0</v>
      </c>
      <c r="O109" s="760">
        <f>O110+O111+O113+O114+O116+O117+O119+O120+O112+O118+O121+O122+O115</f>
        <v>95735557</v>
      </c>
      <c r="P109" s="759">
        <f>E109+J109</f>
        <v>98875341</v>
      </c>
    </row>
    <row r="110" spans="1:16" ht="57.6" customHeight="1" x14ac:dyDescent="0.25">
      <c r="A110" s="23" t="s">
        <v>205</v>
      </c>
      <c r="B110" s="24" t="s">
        <v>46</v>
      </c>
      <c r="C110" s="24" t="s">
        <v>19</v>
      </c>
      <c r="D110" s="251" t="s">
        <v>182</v>
      </c>
      <c r="E110" s="52">
        <f>F110+I110</f>
        <v>3139784</v>
      </c>
      <c r="F110" s="52">
        <f>2834288+17870+287626</f>
        <v>3139784</v>
      </c>
      <c r="G110" s="52">
        <f>2646790+287626</f>
        <v>2934416</v>
      </c>
      <c r="H110" s="52">
        <v>91053</v>
      </c>
      <c r="I110" s="585">
        <v>0</v>
      </c>
      <c r="J110" s="585">
        <f>L110+O110</f>
        <v>248550</v>
      </c>
      <c r="K110" s="585">
        <f>0+198750+49800</f>
        <v>248550</v>
      </c>
      <c r="L110" s="585">
        <v>0</v>
      </c>
      <c r="M110" s="585">
        <v>0</v>
      </c>
      <c r="N110" s="585">
        <v>0</v>
      </c>
      <c r="O110" s="585">
        <f>198750+49800</f>
        <v>248550</v>
      </c>
      <c r="P110" s="605">
        <f>E110+J110</f>
        <v>3388334</v>
      </c>
    </row>
    <row r="111" spans="1:16" ht="60.6" customHeight="1" x14ac:dyDescent="0.25">
      <c r="A111" s="751">
        <v>1511021</v>
      </c>
      <c r="B111" s="753">
        <v>1021</v>
      </c>
      <c r="C111" s="69" t="s">
        <v>53</v>
      </c>
      <c r="D111" s="30" t="s">
        <v>443</v>
      </c>
      <c r="E111" s="49"/>
      <c r="F111" s="49"/>
      <c r="G111" s="49"/>
      <c r="H111" s="49"/>
      <c r="I111" s="8"/>
      <c r="J111" s="8">
        <f>L111+O111</f>
        <v>32434652</v>
      </c>
      <c r="K111" s="8">
        <f>O111</f>
        <v>32434652</v>
      </c>
      <c r="L111" s="8"/>
      <c r="M111" s="8"/>
      <c r="N111" s="8"/>
      <c r="O111" s="8">
        <f>200000+11205842+268825+4384884+874564+12345379-874564+4389729+618654+258243-896882-388420+48398</f>
        <v>32434652</v>
      </c>
      <c r="P111" s="74">
        <f t="shared" si="22"/>
        <v>32434652</v>
      </c>
    </row>
    <row r="112" spans="1:16" ht="43.15" customHeight="1" x14ac:dyDescent="0.25">
      <c r="A112" s="751">
        <v>1512010</v>
      </c>
      <c r="B112" s="753">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25">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 customHeight="1" x14ac:dyDescent="0.25">
      <c r="A114" s="219">
        <v>1516012</v>
      </c>
      <c r="B114" s="93">
        <v>6012</v>
      </c>
      <c r="C114" s="94" t="s">
        <v>29</v>
      </c>
      <c r="D114" s="41" t="s">
        <v>244</v>
      </c>
      <c r="E114" s="14">
        <v>0</v>
      </c>
      <c r="F114" s="8">
        <v>0</v>
      </c>
      <c r="G114" s="8">
        <v>0</v>
      </c>
      <c r="H114" s="8">
        <v>0</v>
      </c>
      <c r="I114" s="8">
        <v>0</v>
      </c>
      <c r="J114" s="8">
        <f t="shared" ref="J114:J127" si="45">L114+O114</f>
        <v>35969517</v>
      </c>
      <c r="K114" s="8">
        <f t="shared" si="43"/>
        <v>35969517</v>
      </c>
      <c r="L114" s="8">
        <v>0</v>
      </c>
      <c r="M114" s="8">
        <v>0</v>
      </c>
      <c r="N114" s="8">
        <v>0</v>
      </c>
      <c r="O114" s="14">
        <f>1497526+752140+1748351+2894056+1183600+182148+8935634+4000000+187450+10000000+98014+2704350+1134373+651875</f>
        <v>35969517</v>
      </c>
      <c r="P114" s="74">
        <f t="shared" si="22"/>
        <v>35969517</v>
      </c>
    </row>
    <row r="115" spans="1:16" ht="39.6" customHeight="1" x14ac:dyDescent="0.25">
      <c r="A115" s="219">
        <v>1516013</v>
      </c>
      <c r="B115" s="93">
        <v>6013</v>
      </c>
      <c r="C115" s="94" t="s">
        <v>29</v>
      </c>
      <c r="D115" s="583" t="s">
        <v>137</v>
      </c>
      <c r="E115" s="586"/>
      <c r="F115" s="584"/>
      <c r="G115" s="8"/>
      <c r="H115" s="8"/>
      <c r="I115" s="8"/>
      <c r="J115" s="8">
        <f t="shared" si="45"/>
        <v>286222</v>
      </c>
      <c r="K115" s="8">
        <f t="shared" si="43"/>
        <v>286222</v>
      </c>
      <c r="L115" s="8"/>
      <c r="M115" s="8"/>
      <c r="N115" s="8"/>
      <c r="O115" s="14">
        <f>0+60000+226222</f>
        <v>286222</v>
      </c>
      <c r="P115" s="74">
        <f t="shared" si="22"/>
        <v>286222</v>
      </c>
    </row>
    <row r="116" spans="1:16" ht="30" customHeight="1" x14ac:dyDescent="0.25">
      <c r="A116" s="46">
        <v>1516030</v>
      </c>
      <c r="B116" s="47" t="s">
        <v>28</v>
      </c>
      <c r="C116" s="47" t="s">
        <v>29</v>
      </c>
      <c r="D116" s="42" t="s">
        <v>30</v>
      </c>
      <c r="E116" s="585">
        <v>0</v>
      </c>
      <c r="F116" s="8">
        <v>0</v>
      </c>
      <c r="G116" s="8">
        <v>0</v>
      </c>
      <c r="H116" s="8">
        <v>0</v>
      </c>
      <c r="I116" s="8">
        <v>0</v>
      </c>
      <c r="J116" s="14">
        <f t="shared" si="45"/>
        <v>7380527</v>
      </c>
      <c r="K116" s="8">
        <f t="shared" si="43"/>
        <v>7380527</v>
      </c>
      <c r="L116" s="8">
        <v>0</v>
      </c>
      <c r="M116" s="8">
        <v>0</v>
      </c>
      <c r="N116" s="8">
        <v>0</v>
      </c>
      <c r="O116" s="14">
        <f>1011118+1104357+4003149+406558-93145+549800+153683+67587+177420</f>
        <v>7380527</v>
      </c>
      <c r="P116" s="75">
        <f>E116+J116</f>
        <v>7380527</v>
      </c>
    </row>
    <row r="117" spans="1:16" ht="35.450000000000003" customHeight="1" x14ac:dyDescent="0.25">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15" customHeight="1" x14ac:dyDescent="0.25">
      <c r="A118" s="104">
        <v>1517324</v>
      </c>
      <c r="B118" s="47">
        <v>7324</v>
      </c>
      <c r="C118" s="220" t="s">
        <v>288</v>
      </c>
      <c r="D118" s="42" t="s">
        <v>481</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5" x14ac:dyDescent="0.25">
      <c r="A119" s="751">
        <v>1517330</v>
      </c>
      <c r="B119" s="753">
        <v>7330</v>
      </c>
      <c r="C119" s="69" t="s">
        <v>288</v>
      </c>
      <c r="D119" s="37" t="s">
        <v>447</v>
      </c>
      <c r="E119" s="8"/>
      <c r="F119" s="8"/>
      <c r="G119" s="8"/>
      <c r="H119" s="8"/>
      <c r="I119" s="8"/>
      <c r="J119" s="8">
        <f t="shared" si="45"/>
        <v>1264018</v>
      </c>
      <c r="K119" s="8">
        <f t="shared" si="46"/>
        <v>1264018</v>
      </c>
      <c r="L119" s="8"/>
      <c r="M119" s="8"/>
      <c r="N119" s="8"/>
      <c r="O119" s="8">
        <f>1477980-213962</f>
        <v>1264018</v>
      </c>
      <c r="P119" s="74">
        <f t="shared" si="22"/>
        <v>1264018</v>
      </c>
    </row>
    <row r="120" spans="1:16" ht="31.5" x14ac:dyDescent="0.25">
      <c r="A120" s="46">
        <v>1517693</v>
      </c>
      <c r="B120" s="47">
        <v>7693</v>
      </c>
      <c r="C120" s="106" t="s">
        <v>178</v>
      </c>
      <c r="D120" s="41" t="s">
        <v>445</v>
      </c>
      <c r="E120" s="14"/>
      <c r="F120" s="14"/>
      <c r="G120" s="14"/>
      <c r="H120" s="14"/>
      <c r="I120" s="14"/>
      <c r="J120" s="14">
        <f t="shared" si="45"/>
        <v>0</v>
      </c>
      <c r="K120" s="14">
        <f t="shared" si="46"/>
        <v>0</v>
      </c>
      <c r="L120" s="14"/>
      <c r="M120" s="14"/>
      <c r="N120" s="14"/>
      <c r="O120" s="14">
        <f>0</f>
        <v>0</v>
      </c>
      <c r="P120" s="75">
        <f t="shared" si="22"/>
        <v>0</v>
      </c>
    </row>
    <row r="121" spans="1:16" ht="48.6" customHeight="1" x14ac:dyDescent="0.25">
      <c r="A121" s="751">
        <v>1517461</v>
      </c>
      <c r="B121" s="753">
        <v>7461</v>
      </c>
      <c r="C121" s="69" t="s">
        <v>141</v>
      </c>
      <c r="D121" s="37" t="s">
        <v>142</v>
      </c>
      <c r="E121" s="8"/>
      <c r="F121" s="8"/>
      <c r="G121" s="8"/>
      <c r="H121" s="8"/>
      <c r="I121" s="8"/>
      <c r="J121" s="8">
        <f t="shared" si="45"/>
        <v>4880223</v>
      </c>
      <c r="K121" s="8">
        <f>O121</f>
        <v>4880223</v>
      </c>
      <c r="L121" s="8"/>
      <c r="M121" s="8"/>
      <c r="N121" s="8"/>
      <c r="O121" s="8">
        <f>0+12000000+6418944-478735+1059791+148634-12000000+531097-2799508</f>
        <v>4880223</v>
      </c>
      <c r="P121" s="74">
        <f t="shared" si="22"/>
        <v>4880223</v>
      </c>
    </row>
    <row r="122" spans="1:16" ht="48.6" customHeight="1" thickBot="1" x14ac:dyDescent="0.3">
      <c r="A122" s="40">
        <v>1518110</v>
      </c>
      <c r="B122" s="9">
        <v>8110</v>
      </c>
      <c r="C122" s="218" t="s">
        <v>239</v>
      </c>
      <c r="D122" s="718" t="s">
        <v>240</v>
      </c>
      <c r="E122" s="215"/>
      <c r="F122" s="215"/>
      <c r="G122" s="215"/>
      <c r="H122" s="215"/>
      <c r="I122" s="215"/>
      <c r="J122" s="14">
        <f t="shared" si="45"/>
        <v>5441652</v>
      </c>
      <c r="K122" s="14">
        <f>O122</f>
        <v>5441652</v>
      </c>
      <c r="L122" s="215"/>
      <c r="M122" s="215"/>
      <c r="N122" s="215"/>
      <c r="O122" s="215">
        <f>2042000+3399652</f>
        <v>5441652</v>
      </c>
      <c r="P122" s="75">
        <f t="shared" si="22"/>
        <v>5441652</v>
      </c>
    </row>
    <row r="123" spans="1:16" s="35" customFormat="1" ht="51" customHeight="1" thickBot="1" x14ac:dyDescent="0.3">
      <c r="A123" s="43" t="s">
        <v>206</v>
      </c>
      <c r="B123" s="44" t="s">
        <v>16</v>
      </c>
      <c r="C123" s="44" t="s">
        <v>16</v>
      </c>
      <c r="D123" s="45" t="s">
        <v>207</v>
      </c>
      <c r="E123" s="71">
        <f>E124</f>
        <v>4060438</v>
      </c>
      <c r="F123" s="71">
        <f t="shared" ref="F123:I123" si="47">F124</f>
        <v>4060438</v>
      </c>
      <c r="G123" s="71">
        <f t="shared" si="47"/>
        <v>3641143</v>
      </c>
      <c r="H123" s="71">
        <f t="shared" si="47"/>
        <v>0</v>
      </c>
      <c r="I123" s="71">
        <f t="shared" si="47"/>
        <v>0</v>
      </c>
      <c r="J123" s="10">
        <f t="shared" si="45"/>
        <v>6968100</v>
      </c>
      <c r="K123" s="10">
        <f>K124</f>
        <v>6968100</v>
      </c>
      <c r="L123" s="10">
        <f t="shared" ref="L123:O124" si="48">L124</f>
        <v>0</v>
      </c>
      <c r="M123" s="10">
        <f t="shared" si="48"/>
        <v>0</v>
      </c>
      <c r="N123" s="10">
        <f t="shared" si="48"/>
        <v>0</v>
      </c>
      <c r="O123" s="10">
        <f t="shared" si="48"/>
        <v>6968100</v>
      </c>
      <c r="P123" s="72">
        <f>E123+J123</f>
        <v>11028538</v>
      </c>
    </row>
    <row r="124" spans="1:16" s="34" customFormat="1" ht="47.25" x14ac:dyDescent="0.25">
      <c r="A124" s="63" t="s">
        <v>208</v>
      </c>
      <c r="B124" s="64" t="s">
        <v>16</v>
      </c>
      <c r="C124" s="64" t="s">
        <v>16</v>
      </c>
      <c r="D124" s="65" t="s">
        <v>207</v>
      </c>
      <c r="E124" s="51">
        <f>E125+E126</f>
        <v>4060438</v>
      </c>
      <c r="F124" s="51">
        <f>F125+F126</f>
        <v>4060438</v>
      </c>
      <c r="G124" s="51">
        <f>G125</f>
        <v>3641143</v>
      </c>
      <c r="H124" s="51">
        <f>H125</f>
        <v>0</v>
      </c>
      <c r="I124" s="15">
        <f>I125</f>
        <v>0</v>
      </c>
      <c r="J124" s="585">
        <f>L124+O124</f>
        <v>6968100</v>
      </c>
      <c r="K124" s="15">
        <f>K125+K126+K127</f>
        <v>6968100</v>
      </c>
      <c r="L124" s="15">
        <f t="shared" si="48"/>
        <v>0</v>
      </c>
      <c r="M124" s="15">
        <f t="shared" si="48"/>
        <v>0</v>
      </c>
      <c r="N124" s="15">
        <f t="shared" si="48"/>
        <v>0</v>
      </c>
      <c r="O124" s="15">
        <f>O125+O126+O127</f>
        <v>6968100</v>
      </c>
      <c r="P124" s="73">
        <f>E124+J124</f>
        <v>11028538</v>
      </c>
    </row>
    <row r="125" spans="1:16" ht="54.6" customHeight="1" x14ac:dyDescent="0.25">
      <c r="A125" s="751" t="s">
        <v>209</v>
      </c>
      <c r="B125" s="753" t="s">
        <v>46</v>
      </c>
      <c r="C125" s="753" t="s">
        <v>19</v>
      </c>
      <c r="D125" s="30" t="s">
        <v>182</v>
      </c>
      <c r="E125" s="49">
        <f>F125+I125</f>
        <v>3915438</v>
      </c>
      <c r="F125" s="49">
        <f>3271714+542231+7069593-6968100</f>
        <v>3915438</v>
      </c>
      <c r="G125" s="49">
        <f>3098912+542231</f>
        <v>3641143</v>
      </c>
      <c r="H125" s="49">
        <v>0</v>
      </c>
      <c r="I125" s="8">
        <v>0</v>
      </c>
      <c r="J125" s="8">
        <f t="shared" si="45"/>
        <v>0</v>
      </c>
      <c r="K125" s="15">
        <f t="shared" ref="K125" si="49">K126</f>
        <v>0</v>
      </c>
      <c r="L125" s="8">
        <v>0</v>
      </c>
      <c r="M125" s="8">
        <v>0</v>
      </c>
      <c r="N125" s="8">
        <v>0</v>
      </c>
      <c r="O125" s="8">
        <v>0</v>
      </c>
      <c r="P125" s="74">
        <f t="shared" si="22"/>
        <v>3915438</v>
      </c>
    </row>
    <row r="126" spans="1:16" ht="29.25" customHeight="1" x14ac:dyDescent="0.25">
      <c r="A126" s="751">
        <v>1616014</v>
      </c>
      <c r="B126" s="753">
        <v>6014</v>
      </c>
      <c r="C126" s="69" t="s">
        <v>29</v>
      </c>
      <c r="D126" s="30" t="s">
        <v>448</v>
      </c>
      <c r="E126" s="49">
        <f>F126+I126</f>
        <v>145000</v>
      </c>
      <c r="F126" s="49">
        <f>0+145000</f>
        <v>145000</v>
      </c>
      <c r="G126" s="49">
        <v>0</v>
      </c>
      <c r="H126" s="49">
        <v>0</v>
      </c>
      <c r="I126" s="8">
        <v>0</v>
      </c>
      <c r="J126" s="8">
        <f t="shared" si="45"/>
        <v>0</v>
      </c>
      <c r="K126" s="717">
        <f>K128</f>
        <v>0</v>
      </c>
      <c r="L126" s="8">
        <v>0</v>
      </c>
      <c r="M126" s="8">
        <v>0</v>
      </c>
      <c r="N126" s="8">
        <v>0</v>
      </c>
      <c r="O126" s="8">
        <v>0</v>
      </c>
      <c r="P126" s="74">
        <f t="shared" si="22"/>
        <v>145000</v>
      </c>
    </row>
    <row r="127" spans="1:16" ht="34.5" customHeight="1" thickBot="1" x14ac:dyDescent="0.3">
      <c r="A127" s="40">
        <v>1617351</v>
      </c>
      <c r="B127" s="9">
        <v>7351</v>
      </c>
      <c r="C127" s="218" t="s">
        <v>288</v>
      </c>
      <c r="D127" s="251" t="s">
        <v>669</v>
      </c>
      <c r="E127" s="214"/>
      <c r="F127" s="214"/>
      <c r="G127" s="214"/>
      <c r="H127" s="214"/>
      <c r="I127" s="215"/>
      <c r="J127" s="8">
        <f t="shared" si="45"/>
        <v>6968100</v>
      </c>
      <c r="K127" s="716">
        <f>O127</f>
        <v>6968100</v>
      </c>
      <c r="L127" s="215"/>
      <c r="M127" s="215"/>
      <c r="N127" s="215"/>
      <c r="O127" s="215">
        <v>6968100</v>
      </c>
      <c r="P127" s="74">
        <f t="shared" si="22"/>
        <v>6968100</v>
      </c>
    </row>
    <row r="128" spans="1:16" s="35" customFormat="1" ht="59.45" customHeight="1" thickBot="1" x14ac:dyDescent="0.3">
      <c r="A128" s="43" t="s">
        <v>210</v>
      </c>
      <c r="B128" s="44" t="s">
        <v>16</v>
      </c>
      <c r="C128" s="44" t="s">
        <v>16</v>
      </c>
      <c r="D128" s="45" t="s">
        <v>211</v>
      </c>
      <c r="E128" s="71">
        <f>E129</f>
        <v>8476135</v>
      </c>
      <c r="F128" s="71">
        <f>F129</f>
        <v>8476135</v>
      </c>
      <c r="G128" s="71">
        <f>G129</f>
        <v>3733629</v>
      </c>
      <c r="H128" s="71">
        <f t="shared" ref="H128:I129" si="50">H129</f>
        <v>0</v>
      </c>
      <c r="I128" s="71">
        <f t="shared" si="50"/>
        <v>0</v>
      </c>
      <c r="J128" s="10">
        <f>J129</f>
        <v>0</v>
      </c>
      <c r="K128" s="10">
        <f>K129</f>
        <v>0</v>
      </c>
      <c r="L128" s="10">
        <f t="shared" ref="L128:O129" si="51">L129</f>
        <v>0</v>
      </c>
      <c r="M128" s="10">
        <f t="shared" si="51"/>
        <v>0</v>
      </c>
      <c r="N128" s="10">
        <f t="shared" si="51"/>
        <v>0</v>
      </c>
      <c r="O128" s="10">
        <f t="shared" si="51"/>
        <v>0</v>
      </c>
      <c r="P128" s="72">
        <f t="shared" si="22"/>
        <v>8476135</v>
      </c>
    </row>
    <row r="129" spans="1:16" s="34" customFormat="1" ht="36" customHeight="1" x14ac:dyDescent="0.25">
      <c r="A129" s="242" t="s">
        <v>212</v>
      </c>
      <c r="B129" s="243" t="s">
        <v>16</v>
      </c>
      <c r="C129" s="243" t="s">
        <v>16</v>
      </c>
      <c r="D129" s="244" t="s">
        <v>211</v>
      </c>
      <c r="E129" s="245">
        <f>E130+E131+E132</f>
        <v>8476135</v>
      </c>
      <c r="F129" s="245">
        <f>F130+F131+F132</f>
        <v>8476135</v>
      </c>
      <c r="G129" s="245">
        <f>G130+G131</f>
        <v>3733629</v>
      </c>
      <c r="H129" s="245">
        <f t="shared" si="50"/>
        <v>0</v>
      </c>
      <c r="I129" s="245">
        <f t="shared" si="50"/>
        <v>0</v>
      </c>
      <c r="J129" s="16">
        <f>J130</f>
        <v>0</v>
      </c>
      <c r="K129" s="16">
        <f>K130</f>
        <v>0</v>
      </c>
      <c r="L129" s="16">
        <f t="shared" si="51"/>
        <v>0</v>
      </c>
      <c r="M129" s="16">
        <f t="shared" si="51"/>
        <v>0</v>
      </c>
      <c r="N129" s="16">
        <f t="shared" si="51"/>
        <v>0</v>
      </c>
      <c r="O129" s="16">
        <f t="shared" si="51"/>
        <v>0</v>
      </c>
      <c r="P129" s="246">
        <f>E129+J129</f>
        <v>8476135</v>
      </c>
    </row>
    <row r="130" spans="1:16" ht="47.25" x14ac:dyDescent="0.25">
      <c r="A130" s="46" t="s">
        <v>213</v>
      </c>
      <c r="B130" s="47" t="s">
        <v>46</v>
      </c>
      <c r="C130" s="47" t="s">
        <v>19</v>
      </c>
      <c r="D130" s="42" t="s">
        <v>182</v>
      </c>
      <c r="E130" s="50">
        <f>F130+I130</f>
        <v>3855475</v>
      </c>
      <c r="F130" s="50">
        <f>3234461+580752+17266+22996-2560+2560</f>
        <v>3855475</v>
      </c>
      <c r="G130" s="50">
        <f>3155437+580752-2560</f>
        <v>3733629</v>
      </c>
      <c r="H130" s="50">
        <v>0</v>
      </c>
      <c r="I130" s="14">
        <v>0</v>
      </c>
      <c r="J130" s="14">
        <f>K130+O130</f>
        <v>0</v>
      </c>
      <c r="K130" s="14">
        <v>0</v>
      </c>
      <c r="L130" s="14">
        <v>0</v>
      </c>
      <c r="M130" s="14">
        <v>0</v>
      </c>
      <c r="N130" s="14">
        <v>0</v>
      </c>
      <c r="O130" s="14">
        <v>0</v>
      </c>
      <c r="P130" s="75">
        <f>E130+J130</f>
        <v>3855475</v>
      </c>
    </row>
    <row r="131" spans="1:16" ht="24" customHeight="1" x14ac:dyDescent="0.25">
      <c r="A131" s="751">
        <v>2717413</v>
      </c>
      <c r="B131" s="753">
        <v>7413</v>
      </c>
      <c r="C131" s="69" t="s">
        <v>247</v>
      </c>
      <c r="D131" s="30" t="s">
        <v>246</v>
      </c>
      <c r="E131" s="49">
        <f>F131+I131</f>
        <v>4440660</v>
      </c>
      <c r="F131" s="49">
        <f>5407680-967020</f>
        <v>4440660</v>
      </c>
      <c r="G131" s="49">
        <v>0</v>
      </c>
      <c r="H131" s="49"/>
      <c r="I131" s="8"/>
      <c r="J131" s="8"/>
      <c r="K131" s="8"/>
      <c r="L131" s="8"/>
      <c r="M131" s="8"/>
      <c r="N131" s="8"/>
      <c r="O131" s="8"/>
      <c r="P131" s="74">
        <f t="shared" si="22"/>
        <v>4440660</v>
      </c>
    </row>
    <row r="132" spans="1:16" ht="24" customHeight="1" thickBot="1" x14ac:dyDescent="0.3">
      <c r="A132" s="40">
        <v>2719770</v>
      </c>
      <c r="B132" s="9">
        <v>9770</v>
      </c>
      <c r="C132" s="218" t="s">
        <v>226</v>
      </c>
      <c r="D132" s="30" t="s">
        <v>588</v>
      </c>
      <c r="E132" s="49">
        <f>F132+I132</f>
        <v>180000</v>
      </c>
      <c r="F132" s="214">
        <f>0+180000</f>
        <v>180000</v>
      </c>
      <c r="G132" s="214"/>
      <c r="H132" s="214"/>
      <c r="I132" s="215"/>
      <c r="J132" s="215"/>
      <c r="K132" s="215"/>
      <c r="L132" s="215"/>
      <c r="M132" s="215"/>
      <c r="N132" s="215"/>
      <c r="O132" s="215"/>
      <c r="P132" s="74">
        <f t="shared" si="22"/>
        <v>180000</v>
      </c>
    </row>
    <row r="133" spans="1:16" s="35" customFormat="1" ht="48" thickBot="1" x14ac:dyDescent="0.3">
      <c r="A133" s="43" t="s">
        <v>214</v>
      </c>
      <c r="B133" s="44" t="s">
        <v>16</v>
      </c>
      <c r="C133" s="44" t="s">
        <v>16</v>
      </c>
      <c r="D133" s="45" t="s">
        <v>215</v>
      </c>
      <c r="E133" s="71">
        <f>E134</f>
        <v>4718610</v>
      </c>
      <c r="F133" s="71">
        <f>F134</f>
        <v>4718610</v>
      </c>
      <c r="G133" s="71">
        <f t="shared" ref="G133:I133" si="52">G134</f>
        <v>2833890</v>
      </c>
      <c r="H133" s="71">
        <f t="shared" si="52"/>
        <v>0</v>
      </c>
      <c r="I133" s="71">
        <f t="shared" si="52"/>
        <v>0</v>
      </c>
      <c r="J133" s="10">
        <f>J134</f>
        <v>46000</v>
      </c>
      <c r="K133" s="71">
        <f>K134</f>
        <v>46000</v>
      </c>
      <c r="L133" s="71">
        <f t="shared" ref="L133:O133" si="53">L134</f>
        <v>0</v>
      </c>
      <c r="M133" s="71">
        <f t="shared" si="53"/>
        <v>0</v>
      </c>
      <c r="N133" s="71">
        <f t="shared" si="53"/>
        <v>0</v>
      </c>
      <c r="O133" s="71">
        <f t="shared" si="53"/>
        <v>46000</v>
      </c>
      <c r="P133" s="72">
        <f t="shared" si="22"/>
        <v>4764610</v>
      </c>
    </row>
    <row r="134" spans="1:16" s="34" customFormat="1" ht="47.25" x14ac:dyDescent="0.25">
      <c r="A134" s="63" t="s">
        <v>216</v>
      </c>
      <c r="B134" s="64" t="s">
        <v>16</v>
      </c>
      <c r="C134" s="64" t="s">
        <v>16</v>
      </c>
      <c r="D134" s="65" t="s">
        <v>215</v>
      </c>
      <c r="E134" s="51">
        <f>E135+E136+E137+E138</f>
        <v>4718610</v>
      </c>
      <c r="F134" s="51">
        <f>F135+F136+F137+F138</f>
        <v>4718610</v>
      </c>
      <c r="G134" s="51">
        <f>G135</f>
        <v>2833890</v>
      </c>
      <c r="H134" s="51">
        <f t="shared" ref="H134:N134" si="54">H135+H141</f>
        <v>0</v>
      </c>
      <c r="I134" s="51">
        <f t="shared" si="54"/>
        <v>0</v>
      </c>
      <c r="J134" s="15">
        <f>J135+J136+J137+J138</f>
        <v>46000</v>
      </c>
      <c r="K134" s="15">
        <f>K135+K136+K137+K138</f>
        <v>46000</v>
      </c>
      <c r="L134" s="51">
        <f t="shared" si="54"/>
        <v>0</v>
      </c>
      <c r="M134" s="51">
        <f t="shared" si="54"/>
        <v>0</v>
      </c>
      <c r="N134" s="51">
        <f t="shared" si="54"/>
        <v>0</v>
      </c>
      <c r="O134" s="51">
        <f>O135+O136+O137+O138</f>
        <v>46000</v>
      </c>
      <c r="P134" s="73">
        <f>P135+P136+P137+P138</f>
        <v>4764610</v>
      </c>
    </row>
    <row r="135" spans="1:16" ht="47.25" x14ac:dyDescent="0.25">
      <c r="A135" s="751" t="s">
        <v>217</v>
      </c>
      <c r="B135" s="753" t="s">
        <v>46</v>
      </c>
      <c r="C135" s="753" t="s">
        <v>19</v>
      </c>
      <c r="D135" s="30" t="s">
        <v>182</v>
      </c>
      <c r="E135" s="49">
        <f>F135+I135</f>
        <v>2920245</v>
      </c>
      <c r="F135" s="49">
        <f>2393892+504953+21400</f>
        <v>2920245</v>
      </c>
      <c r="G135" s="49">
        <f>2328937+504953</f>
        <v>2833890</v>
      </c>
      <c r="H135" s="49">
        <v>0</v>
      </c>
      <c r="I135" s="8">
        <v>0</v>
      </c>
      <c r="J135" s="8">
        <f>L135+O135</f>
        <v>46000</v>
      </c>
      <c r="K135" s="8">
        <f>O135</f>
        <v>46000</v>
      </c>
      <c r="L135" s="8">
        <v>0</v>
      </c>
      <c r="M135" s="8">
        <v>0</v>
      </c>
      <c r="N135" s="8">
        <v>0</v>
      </c>
      <c r="O135" s="8">
        <f>23000+23000</f>
        <v>46000</v>
      </c>
      <c r="P135" s="74">
        <f t="shared" si="22"/>
        <v>2966245</v>
      </c>
    </row>
    <row r="136" spans="1:16" ht="31.5" x14ac:dyDescent="0.25">
      <c r="A136" s="751">
        <v>3117693</v>
      </c>
      <c r="B136" s="753">
        <v>7693</v>
      </c>
      <c r="C136" s="69" t="s">
        <v>178</v>
      </c>
      <c r="D136" s="30" t="s">
        <v>445</v>
      </c>
      <c r="E136" s="49">
        <f t="shared" ref="E136:E138" si="55">F136+I136</f>
        <v>160062</v>
      </c>
      <c r="F136" s="49">
        <f>0+6562+153500</f>
        <v>160062</v>
      </c>
      <c r="G136" s="49"/>
      <c r="H136" s="49"/>
      <c r="I136" s="8"/>
      <c r="J136" s="8">
        <f t="shared" ref="J136:J138" si="56">L136+O136</f>
        <v>0</v>
      </c>
      <c r="K136" s="8"/>
      <c r="L136" s="8">
        <v>0</v>
      </c>
      <c r="M136" s="8"/>
      <c r="N136" s="8"/>
      <c r="O136" s="8"/>
      <c r="P136" s="74">
        <f t="shared" si="22"/>
        <v>160062</v>
      </c>
    </row>
    <row r="137" spans="1:16" ht="54.75" customHeight="1" x14ac:dyDescent="0.25">
      <c r="A137" s="751">
        <v>3118110</v>
      </c>
      <c r="B137" s="753">
        <v>8110</v>
      </c>
      <c r="C137" s="69" t="s">
        <v>239</v>
      </c>
      <c r="D137" s="30" t="s">
        <v>240</v>
      </c>
      <c r="E137" s="49">
        <f t="shared" si="55"/>
        <v>1338303</v>
      </c>
      <c r="F137" s="49">
        <f>0+73320+1264983</f>
        <v>1338303</v>
      </c>
      <c r="G137" s="49"/>
      <c r="H137" s="49"/>
      <c r="I137" s="8"/>
      <c r="J137" s="8">
        <f t="shared" si="56"/>
        <v>0</v>
      </c>
      <c r="K137" s="8"/>
      <c r="L137" s="8">
        <v>0</v>
      </c>
      <c r="M137" s="8"/>
      <c r="N137" s="8"/>
      <c r="O137" s="8"/>
      <c r="P137" s="74">
        <f t="shared" si="22"/>
        <v>1338303</v>
      </c>
    </row>
    <row r="138" spans="1:16" ht="46.15" customHeight="1" thickBot="1" x14ac:dyDescent="0.3">
      <c r="A138" s="40">
        <v>3118311</v>
      </c>
      <c r="B138" s="9">
        <v>8311</v>
      </c>
      <c r="C138" s="218" t="s">
        <v>590</v>
      </c>
      <c r="D138" s="251" t="s">
        <v>589</v>
      </c>
      <c r="E138" s="49">
        <f t="shared" si="55"/>
        <v>300000</v>
      </c>
      <c r="F138" s="214">
        <f>0+300000</f>
        <v>300000</v>
      </c>
      <c r="G138" s="214"/>
      <c r="H138" s="214"/>
      <c r="I138" s="215"/>
      <c r="J138" s="8">
        <f t="shared" si="56"/>
        <v>0</v>
      </c>
      <c r="K138" s="215">
        <f>O138</f>
        <v>0</v>
      </c>
      <c r="L138" s="215"/>
      <c r="M138" s="215"/>
      <c r="N138" s="215"/>
      <c r="O138" s="215">
        <f>300000-300000</f>
        <v>0</v>
      </c>
      <c r="P138" s="74">
        <f t="shared" si="22"/>
        <v>300000</v>
      </c>
    </row>
    <row r="139" spans="1:16" s="35" customFormat="1" ht="42" customHeight="1" thickBot="1" x14ac:dyDescent="0.3">
      <c r="A139" s="43" t="s">
        <v>218</v>
      </c>
      <c r="B139" s="44" t="s">
        <v>16</v>
      </c>
      <c r="C139" s="44" t="s">
        <v>16</v>
      </c>
      <c r="D139" s="45" t="s">
        <v>219</v>
      </c>
      <c r="E139" s="71">
        <f>E140</f>
        <v>9846511</v>
      </c>
      <c r="F139" s="71">
        <f>F140</f>
        <v>9846511</v>
      </c>
      <c r="G139" s="71">
        <f t="shared" ref="G139:I139" si="57">G140</f>
        <v>5441736</v>
      </c>
      <c r="H139" s="71">
        <f t="shared" si="57"/>
        <v>0</v>
      </c>
      <c r="I139" s="71">
        <f t="shared" si="57"/>
        <v>0</v>
      </c>
      <c r="J139" s="10">
        <f>J140</f>
        <v>48200</v>
      </c>
      <c r="K139" s="10">
        <f>K140</f>
        <v>48200</v>
      </c>
      <c r="L139" s="10"/>
      <c r="M139" s="10"/>
      <c r="N139" s="10"/>
      <c r="O139" s="10"/>
      <c r="P139" s="72">
        <f>E139+J139</f>
        <v>9894711</v>
      </c>
    </row>
    <row r="140" spans="1:16" s="34" customFormat="1" ht="43.15" customHeight="1" x14ac:dyDescent="0.25">
      <c r="A140" s="63" t="s">
        <v>220</v>
      </c>
      <c r="B140" s="64" t="s">
        <v>16</v>
      </c>
      <c r="C140" s="64" t="s">
        <v>16</v>
      </c>
      <c r="D140" s="65" t="s">
        <v>219</v>
      </c>
      <c r="E140" s="51">
        <f>E141+E142</f>
        <v>9846511</v>
      </c>
      <c r="F140" s="51">
        <f>F141+F142</f>
        <v>9846511</v>
      </c>
      <c r="G140" s="51">
        <f>G141+G142</f>
        <v>5441736</v>
      </c>
      <c r="H140" s="51">
        <f>H141+H142</f>
        <v>0</v>
      </c>
      <c r="I140" s="51">
        <f t="shared" ref="I140:O140" si="58">I141+I142</f>
        <v>0</v>
      </c>
      <c r="J140" s="51">
        <f t="shared" si="58"/>
        <v>48200</v>
      </c>
      <c r="K140" s="51">
        <f t="shared" si="58"/>
        <v>48200</v>
      </c>
      <c r="L140" s="51">
        <f t="shared" si="58"/>
        <v>0</v>
      </c>
      <c r="M140" s="51">
        <f t="shared" si="58"/>
        <v>0</v>
      </c>
      <c r="N140" s="51">
        <f t="shared" si="58"/>
        <v>0</v>
      </c>
      <c r="O140" s="51">
        <f t="shared" si="58"/>
        <v>48200</v>
      </c>
      <c r="P140" s="73">
        <f>E140+J140</f>
        <v>9894711</v>
      </c>
    </row>
    <row r="141" spans="1:16" ht="47.25" x14ac:dyDescent="0.25">
      <c r="A141" s="751" t="s">
        <v>221</v>
      </c>
      <c r="B141" s="753" t="s">
        <v>46</v>
      </c>
      <c r="C141" s="753" t="s">
        <v>19</v>
      </c>
      <c r="D141" s="30" t="s">
        <v>182</v>
      </c>
      <c r="E141" s="49">
        <f>F141+I141</f>
        <v>5646511</v>
      </c>
      <c r="F141" s="49">
        <f>4757372+848939+40200</f>
        <v>5646511</v>
      </c>
      <c r="G141" s="49">
        <f>4592797+848939</f>
        <v>5441736</v>
      </c>
      <c r="H141" s="49">
        <v>0</v>
      </c>
      <c r="I141" s="8">
        <v>0</v>
      </c>
      <c r="J141" s="14">
        <f>L141+O141</f>
        <v>48200</v>
      </c>
      <c r="K141" s="8">
        <f>O141</f>
        <v>48200</v>
      </c>
      <c r="L141" s="8">
        <v>0</v>
      </c>
      <c r="M141" s="8">
        <v>0</v>
      </c>
      <c r="N141" s="8">
        <v>0</v>
      </c>
      <c r="O141" s="8">
        <f>0+48200</f>
        <v>48200</v>
      </c>
      <c r="P141" s="74">
        <f t="shared" si="22"/>
        <v>5694711</v>
      </c>
    </row>
    <row r="142" spans="1:16" ht="25.9" customHeight="1" thickBot="1" x14ac:dyDescent="0.3">
      <c r="A142" s="751" t="s">
        <v>222</v>
      </c>
      <c r="B142" s="753" t="s">
        <v>223</v>
      </c>
      <c r="C142" s="753" t="s">
        <v>224</v>
      </c>
      <c r="D142" s="30" t="s">
        <v>225</v>
      </c>
      <c r="E142" s="49">
        <f>F142</f>
        <v>4200000</v>
      </c>
      <c r="F142" s="81">
        <v>4200000</v>
      </c>
      <c r="G142" s="49">
        <v>0</v>
      </c>
      <c r="H142" s="49">
        <v>0</v>
      </c>
      <c r="I142" s="49">
        <v>0</v>
      </c>
      <c r="J142" s="14">
        <f t="shared" ref="J142" si="59">K142+O142</f>
        <v>0</v>
      </c>
      <c r="K142" s="8">
        <v>0</v>
      </c>
      <c r="L142" s="8">
        <v>0</v>
      </c>
      <c r="M142" s="8">
        <v>0</v>
      </c>
      <c r="N142" s="8">
        <v>0</v>
      </c>
      <c r="O142" s="8">
        <v>0</v>
      </c>
      <c r="P142" s="74">
        <f t="shared" si="22"/>
        <v>4200000</v>
      </c>
    </row>
    <row r="143" spans="1:16" ht="16.5" thickBot="1" x14ac:dyDescent="0.3">
      <c r="A143" s="43" t="s">
        <v>6</v>
      </c>
      <c r="B143" s="44" t="s">
        <v>6</v>
      </c>
      <c r="C143" s="44" t="s">
        <v>6</v>
      </c>
      <c r="D143" s="82" t="s">
        <v>150</v>
      </c>
      <c r="E143" s="71">
        <f t="shared" ref="E143:O143" si="60">E23+E40+E61+E74+E78+E95+E108+E123+E128+E133+E139</f>
        <v>604210960</v>
      </c>
      <c r="F143" s="71">
        <f>F23+F40+F61+F74+F78+F95+F108+F123+F128+F133+F139</f>
        <v>604210960</v>
      </c>
      <c r="G143" s="71">
        <f>G23+G40+G61+G74+G78+G95+G108+G123+G128+G133+G139</f>
        <v>296151715</v>
      </c>
      <c r="H143" s="71">
        <f t="shared" si="60"/>
        <v>36007239</v>
      </c>
      <c r="I143" s="71">
        <f t="shared" si="60"/>
        <v>0</v>
      </c>
      <c r="J143" s="71">
        <f t="shared" si="60"/>
        <v>182668849</v>
      </c>
      <c r="K143" s="71">
        <f>K23+K40+K61+K74+K78+K95+K108+K123+K128+K133+K139</f>
        <v>170726969</v>
      </c>
      <c r="L143" s="71">
        <f t="shared" si="60"/>
        <v>10710600</v>
      </c>
      <c r="M143" s="71">
        <f>M23+M40+M61+M74+M78+M95+M108+M123+M128+M133+M139</f>
        <v>2034353</v>
      </c>
      <c r="N143" s="71">
        <f t="shared" si="60"/>
        <v>55353</v>
      </c>
      <c r="O143" s="71">
        <f t="shared" si="60"/>
        <v>171910049</v>
      </c>
      <c r="P143" s="72">
        <f>E143+J143</f>
        <v>786879809</v>
      </c>
    </row>
    <row r="144" spans="1:16" ht="9" customHeight="1" x14ac:dyDescent="0.25">
      <c r="A144" s="17"/>
      <c r="B144" s="17"/>
      <c r="C144" s="17"/>
      <c r="D144" s="18"/>
      <c r="E144" s="83"/>
      <c r="F144" s="83"/>
      <c r="G144" s="83"/>
      <c r="H144" s="83"/>
      <c r="I144" s="83"/>
      <c r="J144" s="83"/>
      <c r="K144" s="83"/>
      <c r="L144" s="83"/>
      <c r="M144" s="83"/>
      <c r="N144" s="83"/>
      <c r="O144" s="83"/>
      <c r="P144" s="83"/>
    </row>
    <row r="145" spans="1:19" ht="16.899999999999999" customHeight="1" x14ac:dyDescent="0.25"/>
    <row r="146" spans="1:19" s="29" customFormat="1" ht="17.25" customHeight="1" x14ac:dyDescent="0.2">
      <c r="A146" s="838" t="s">
        <v>668</v>
      </c>
      <c r="B146" s="838"/>
      <c r="C146" s="838"/>
      <c r="D146" s="838"/>
      <c r="E146" s="84"/>
      <c r="F146" s="84"/>
      <c r="G146" s="84"/>
      <c r="H146" s="84"/>
      <c r="I146" s="84"/>
      <c r="J146" s="84" t="s">
        <v>458</v>
      </c>
      <c r="K146" s="84"/>
      <c r="L146" s="85"/>
      <c r="M146" s="84"/>
      <c r="N146" s="84"/>
      <c r="O146" s="86"/>
      <c r="P146" s="87"/>
      <c r="S146" s="225"/>
    </row>
    <row r="147" spans="1:19" ht="16.899999999999999" customHeight="1" x14ac:dyDescent="0.25">
      <c r="E147" s="88"/>
      <c r="J147" s="88"/>
    </row>
    <row r="148" spans="1:19" x14ac:dyDescent="0.25">
      <c r="G148" s="89"/>
    </row>
    <row r="149" spans="1:19" x14ac:dyDescent="0.25">
      <c r="G149" s="89"/>
      <c r="K149" s="96"/>
    </row>
    <row r="153" spans="1:19" x14ac:dyDescent="0.25">
      <c r="G153" s="89"/>
    </row>
  </sheetData>
  <mergeCells count="31">
    <mergeCell ref="N5:O5"/>
    <mergeCell ref="A146:D146"/>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view="pageBreakPreview" zoomScale="90" zoomScaleNormal="100" zoomScaleSheetLayoutView="90" workbookViewId="0">
      <selection activeCell="J15" sqref="J15"/>
    </sheetView>
  </sheetViews>
  <sheetFormatPr defaultRowHeight="12.75" x14ac:dyDescent="0.2"/>
  <cols>
    <col min="1" max="1" width="21.140625" customWidth="1"/>
    <col min="2" max="2" width="20.7109375" customWidth="1"/>
    <col min="3" max="3" width="81.7109375" customWidth="1"/>
    <col min="4" max="4" width="25" customWidth="1"/>
    <col min="257" max="257" width="21.140625" customWidth="1"/>
    <col min="258" max="258" width="20.7109375" customWidth="1"/>
    <col min="259" max="259" width="81.7109375" customWidth="1"/>
    <col min="260" max="260" width="25" customWidth="1"/>
    <col min="513" max="513" width="21.140625" customWidth="1"/>
    <col min="514" max="514" width="20.7109375" customWidth="1"/>
    <col min="515" max="515" width="81.7109375" customWidth="1"/>
    <col min="516" max="516" width="25" customWidth="1"/>
    <col min="769" max="769" width="21.140625" customWidth="1"/>
    <col min="770" max="770" width="20.7109375" customWidth="1"/>
    <col min="771" max="771" width="81.7109375" customWidth="1"/>
    <col min="772" max="772" width="25" customWidth="1"/>
    <col min="1025" max="1025" width="21.140625" customWidth="1"/>
    <col min="1026" max="1026" width="20.7109375" customWidth="1"/>
    <col min="1027" max="1027" width="81.7109375" customWidth="1"/>
    <col min="1028" max="1028" width="25" customWidth="1"/>
    <col min="1281" max="1281" width="21.140625" customWidth="1"/>
    <col min="1282" max="1282" width="20.7109375" customWidth="1"/>
    <col min="1283" max="1283" width="81.7109375" customWidth="1"/>
    <col min="1284" max="1284" width="25" customWidth="1"/>
    <col min="1537" max="1537" width="21.140625" customWidth="1"/>
    <col min="1538" max="1538" width="20.7109375" customWidth="1"/>
    <col min="1539" max="1539" width="81.7109375" customWidth="1"/>
    <col min="1540" max="1540" width="25" customWidth="1"/>
    <col min="1793" max="1793" width="21.140625" customWidth="1"/>
    <col min="1794" max="1794" width="20.7109375" customWidth="1"/>
    <col min="1795" max="1795" width="81.7109375" customWidth="1"/>
    <col min="1796" max="1796" width="25" customWidth="1"/>
    <col min="2049" max="2049" width="21.140625" customWidth="1"/>
    <col min="2050" max="2050" width="20.7109375" customWidth="1"/>
    <col min="2051" max="2051" width="81.7109375" customWidth="1"/>
    <col min="2052" max="2052" width="25" customWidth="1"/>
    <col min="2305" max="2305" width="21.140625" customWidth="1"/>
    <col min="2306" max="2306" width="20.7109375" customWidth="1"/>
    <col min="2307" max="2307" width="81.7109375" customWidth="1"/>
    <col min="2308" max="2308" width="25" customWidth="1"/>
    <col min="2561" max="2561" width="21.140625" customWidth="1"/>
    <col min="2562" max="2562" width="20.7109375" customWidth="1"/>
    <col min="2563" max="2563" width="81.7109375" customWidth="1"/>
    <col min="2564" max="2564" width="25" customWidth="1"/>
    <col min="2817" max="2817" width="21.140625" customWidth="1"/>
    <col min="2818" max="2818" width="20.7109375" customWidth="1"/>
    <col min="2819" max="2819" width="81.7109375" customWidth="1"/>
    <col min="2820" max="2820" width="25" customWidth="1"/>
    <col min="3073" max="3073" width="21.140625" customWidth="1"/>
    <col min="3074" max="3074" width="20.7109375" customWidth="1"/>
    <col min="3075" max="3075" width="81.7109375" customWidth="1"/>
    <col min="3076" max="3076" width="25" customWidth="1"/>
    <col min="3329" max="3329" width="21.140625" customWidth="1"/>
    <col min="3330" max="3330" width="20.7109375" customWidth="1"/>
    <col min="3331" max="3331" width="81.7109375" customWidth="1"/>
    <col min="3332" max="3332" width="25" customWidth="1"/>
    <col min="3585" max="3585" width="21.140625" customWidth="1"/>
    <col min="3586" max="3586" width="20.7109375" customWidth="1"/>
    <col min="3587" max="3587" width="81.7109375" customWidth="1"/>
    <col min="3588" max="3588" width="25" customWidth="1"/>
    <col min="3841" max="3841" width="21.140625" customWidth="1"/>
    <col min="3842" max="3842" width="20.7109375" customWidth="1"/>
    <col min="3843" max="3843" width="81.7109375" customWidth="1"/>
    <col min="3844" max="3844" width="25" customWidth="1"/>
    <col min="4097" max="4097" width="21.140625" customWidth="1"/>
    <col min="4098" max="4098" width="20.7109375" customWidth="1"/>
    <col min="4099" max="4099" width="81.7109375" customWidth="1"/>
    <col min="4100" max="4100" width="25" customWidth="1"/>
    <col min="4353" max="4353" width="21.140625" customWidth="1"/>
    <col min="4354" max="4354" width="20.7109375" customWidth="1"/>
    <col min="4355" max="4355" width="81.7109375" customWidth="1"/>
    <col min="4356" max="4356" width="25" customWidth="1"/>
    <col min="4609" max="4609" width="21.140625" customWidth="1"/>
    <col min="4610" max="4610" width="20.7109375" customWidth="1"/>
    <col min="4611" max="4611" width="81.7109375" customWidth="1"/>
    <col min="4612" max="4612" width="25" customWidth="1"/>
    <col min="4865" max="4865" width="21.140625" customWidth="1"/>
    <col min="4866" max="4866" width="20.7109375" customWidth="1"/>
    <col min="4867" max="4867" width="81.7109375" customWidth="1"/>
    <col min="4868" max="4868" width="25" customWidth="1"/>
    <col min="5121" max="5121" width="21.140625" customWidth="1"/>
    <col min="5122" max="5122" width="20.7109375" customWidth="1"/>
    <col min="5123" max="5123" width="81.7109375" customWidth="1"/>
    <col min="5124" max="5124" width="25" customWidth="1"/>
    <col min="5377" max="5377" width="21.140625" customWidth="1"/>
    <col min="5378" max="5378" width="20.7109375" customWidth="1"/>
    <col min="5379" max="5379" width="81.7109375" customWidth="1"/>
    <col min="5380" max="5380" width="25" customWidth="1"/>
    <col min="5633" max="5633" width="21.140625" customWidth="1"/>
    <col min="5634" max="5634" width="20.7109375" customWidth="1"/>
    <col min="5635" max="5635" width="81.7109375" customWidth="1"/>
    <col min="5636" max="5636" width="25" customWidth="1"/>
    <col min="5889" max="5889" width="21.140625" customWidth="1"/>
    <col min="5890" max="5890" width="20.7109375" customWidth="1"/>
    <col min="5891" max="5891" width="81.7109375" customWidth="1"/>
    <col min="5892" max="5892" width="25" customWidth="1"/>
    <col min="6145" max="6145" width="21.140625" customWidth="1"/>
    <col min="6146" max="6146" width="20.7109375" customWidth="1"/>
    <col min="6147" max="6147" width="81.7109375" customWidth="1"/>
    <col min="6148" max="6148" width="25" customWidth="1"/>
    <col min="6401" max="6401" width="21.140625" customWidth="1"/>
    <col min="6402" max="6402" width="20.7109375" customWidth="1"/>
    <col min="6403" max="6403" width="81.7109375" customWidth="1"/>
    <col min="6404" max="6404" width="25" customWidth="1"/>
    <col min="6657" max="6657" width="21.140625" customWidth="1"/>
    <col min="6658" max="6658" width="20.7109375" customWidth="1"/>
    <col min="6659" max="6659" width="81.7109375" customWidth="1"/>
    <col min="6660" max="6660" width="25" customWidth="1"/>
    <col min="6913" max="6913" width="21.140625" customWidth="1"/>
    <col min="6914" max="6914" width="20.7109375" customWidth="1"/>
    <col min="6915" max="6915" width="81.7109375" customWidth="1"/>
    <col min="6916" max="6916" width="25" customWidth="1"/>
    <col min="7169" max="7169" width="21.140625" customWidth="1"/>
    <col min="7170" max="7170" width="20.7109375" customWidth="1"/>
    <col min="7171" max="7171" width="81.7109375" customWidth="1"/>
    <col min="7172" max="7172" width="25" customWidth="1"/>
    <col min="7425" max="7425" width="21.140625" customWidth="1"/>
    <col min="7426" max="7426" width="20.7109375" customWidth="1"/>
    <col min="7427" max="7427" width="81.7109375" customWidth="1"/>
    <col min="7428" max="7428" width="25" customWidth="1"/>
    <col min="7681" max="7681" width="21.140625" customWidth="1"/>
    <col min="7682" max="7682" width="20.7109375" customWidth="1"/>
    <col min="7683" max="7683" width="81.7109375" customWidth="1"/>
    <col min="7684" max="7684" width="25" customWidth="1"/>
    <col min="7937" max="7937" width="21.140625" customWidth="1"/>
    <col min="7938" max="7938" width="20.7109375" customWidth="1"/>
    <col min="7939" max="7939" width="81.7109375" customWidth="1"/>
    <col min="7940" max="7940" width="25" customWidth="1"/>
    <col min="8193" max="8193" width="21.140625" customWidth="1"/>
    <col min="8194" max="8194" width="20.7109375" customWidth="1"/>
    <col min="8195" max="8195" width="81.7109375" customWidth="1"/>
    <col min="8196" max="8196" width="25" customWidth="1"/>
    <col min="8449" max="8449" width="21.140625" customWidth="1"/>
    <col min="8450" max="8450" width="20.7109375" customWidth="1"/>
    <col min="8451" max="8451" width="81.7109375" customWidth="1"/>
    <col min="8452" max="8452" width="25" customWidth="1"/>
    <col min="8705" max="8705" width="21.140625" customWidth="1"/>
    <col min="8706" max="8706" width="20.7109375" customWidth="1"/>
    <col min="8707" max="8707" width="81.7109375" customWidth="1"/>
    <col min="8708" max="8708" width="25" customWidth="1"/>
    <col min="8961" max="8961" width="21.140625" customWidth="1"/>
    <col min="8962" max="8962" width="20.7109375" customWidth="1"/>
    <col min="8963" max="8963" width="81.7109375" customWidth="1"/>
    <col min="8964" max="8964" width="25" customWidth="1"/>
    <col min="9217" max="9217" width="21.140625" customWidth="1"/>
    <col min="9218" max="9218" width="20.7109375" customWidth="1"/>
    <col min="9219" max="9219" width="81.7109375" customWidth="1"/>
    <col min="9220" max="9220" width="25" customWidth="1"/>
    <col min="9473" max="9473" width="21.140625" customWidth="1"/>
    <col min="9474" max="9474" width="20.7109375" customWidth="1"/>
    <col min="9475" max="9475" width="81.7109375" customWidth="1"/>
    <col min="9476" max="9476" width="25" customWidth="1"/>
    <col min="9729" max="9729" width="21.140625" customWidth="1"/>
    <col min="9730" max="9730" width="20.7109375" customWidth="1"/>
    <col min="9731" max="9731" width="81.7109375" customWidth="1"/>
    <col min="9732" max="9732" width="25" customWidth="1"/>
    <col min="9985" max="9985" width="21.140625" customWidth="1"/>
    <col min="9986" max="9986" width="20.7109375" customWidth="1"/>
    <col min="9987" max="9987" width="81.7109375" customWidth="1"/>
    <col min="9988" max="9988" width="25" customWidth="1"/>
    <col min="10241" max="10241" width="21.140625" customWidth="1"/>
    <col min="10242" max="10242" width="20.7109375" customWidth="1"/>
    <col min="10243" max="10243" width="81.7109375" customWidth="1"/>
    <col min="10244" max="10244" width="25" customWidth="1"/>
    <col min="10497" max="10497" width="21.140625" customWidth="1"/>
    <col min="10498" max="10498" width="20.7109375" customWidth="1"/>
    <col min="10499" max="10499" width="81.7109375" customWidth="1"/>
    <col min="10500" max="10500" width="25" customWidth="1"/>
    <col min="10753" max="10753" width="21.140625" customWidth="1"/>
    <col min="10754" max="10754" width="20.7109375" customWidth="1"/>
    <col min="10755" max="10755" width="81.7109375" customWidth="1"/>
    <col min="10756" max="10756" width="25" customWidth="1"/>
    <col min="11009" max="11009" width="21.140625" customWidth="1"/>
    <col min="11010" max="11010" width="20.7109375" customWidth="1"/>
    <col min="11011" max="11011" width="81.7109375" customWidth="1"/>
    <col min="11012" max="11012" width="25" customWidth="1"/>
    <col min="11265" max="11265" width="21.140625" customWidth="1"/>
    <col min="11266" max="11266" width="20.7109375" customWidth="1"/>
    <col min="11267" max="11267" width="81.7109375" customWidth="1"/>
    <col min="11268" max="11268" width="25" customWidth="1"/>
    <col min="11521" max="11521" width="21.140625" customWidth="1"/>
    <col min="11522" max="11522" width="20.7109375" customWidth="1"/>
    <col min="11523" max="11523" width="81.7109375" customWidth="1"/>
    <col min="11524" max="11524" width="25" customWidth="1"/>
    <col min="11777" max="11777" width="21.140625" customWidth="1"/>
    <col min="11778" max="11778" width="20.7109375" customWidth="1"/>
    <col min="11779" max="11779" width="81.7109375" customWidth="1"/>
    <col min="11780" max="11780" width="25" customWidth="1"/>
    <col min="12033" max="12033" width="21.140625" customWidth="1"/>
    <col min="12034" max="12034" width="20.7109375" customWidth="1"/>
    <col min="12035" max="12035" width="81.7109375" customWidth="1"/>
    <col min="12036" max="12036" width="25" customWidth="1"/>
    <col min="12289" max="12289" width="21.140625" customWidth="1"/>
    <col min="12290" max="12290" width="20.7109375" customWidth="1"/>
    <col min="12291" max="12291" width="81.7109375" customWidth="1"/>
    <col min="12292" max="12292" width="25" customWidth="1"/>
    <col min="12545" max="12545" width="21.140625" customWidth="1"/>
    <col min="12546" max="12546" width="20.7109375" customWidth="1"/>
    <col min="12547" max="12547" width="81.7109375" customWidth="1"/>
    <col min="12548" max="12548" width="25" customWidth="1"/>
    <col min="12801" max="12801" width="21.140625" customWidth="1"/>
    <col min="12802" max="12802" width="20.7109375" customWidth="1"/>
    <col min="12803" max="12803" width="81.7109375" customWidth="1"/>
    <col min="12804" max="12804" width="25" customWidth="1"/>
    <col min="13057" max="13057" width="21.140625" customWidth="1"/>
    <col min="13058" max="13058" width="20.7109375" customWidth="1"/>
    <col min="13059" max="13059" width="81.7109375" customWidth="1"/>
    <col min="13060" max="13060" width="25" customWidth="1"/>
    <col min="13313" max="13313" width="21.140625" customWidth="1"/>
    <col min="13314" max="13314" width="20.7109375" customWidth="1"/>
    <col min="13315" max="13315" width="81.7109375" customWidth="1"/>
    <col min="13316" max="13316" width="25" customWidth="1"/>
    <col min="13569" max="13569" width="21.140625" customWidth="1"/>
    <col min="13570" max="13570" width="20.7109375" customWidth="1"/>
    <col min="13571" max="13571" width="81.7109375" customWidth="1"/>
    <col min="13572" max="13572" width="25" customWidth="1"/>
    <col min="13825" max="13825" width="21.140625" customWidth="1"/>
    <col min="13826" max="13826" width="20.7109375" customWidth="1"/>
    <col min="13827" max="13827" width="81.7109375" customWidth="1"/>
    <col min="13828" max="13828" width="25" customWidth="1"/>
    <col min="14081" max="14081" width="21.140625" customWidth="1"/>
    <col min="14082" max="14082" width="20.7109375" customWidth="1"/>
    <col min="14083" max="14083" width="81.7109375" customWidth="1"/>
    <col min="14084" max="14084" width="25" customWidth="1"/>
    <col min="14337" max="14337" width="21.140625" customWidth="1"/>
    <col min="14338" max="14338" width="20.7109375" customWidth="1"/>
    <col min="14339" max="14339" width="81.7109375" customWidth="1"/>
    <col min="14340" max="14340" width="25" customWidth="1"/>
    <col min="14593" max="14593" width="21.140625" customWidth="1"/>
    <col min="14594" max="14594" width="20.7109375" customWidth="1"/>
    <col min="14595" max="14595" width="81.7109375" customWidth="1"/>
    <col min="14596" max="14596" width="25" customWidth="1"/>
    <col min="14849" max="14849" width="21.140625" customWidth="1"/>
    <col min="14850" max="14850" width="20.7109375" customWidth="1"/>
    <col min="14851" max="14851" width="81.7109375" customWidth="1"/>
    <col min="14852" max="14852" width="25" customWidth="1"/>
    <col min="15105" max="15105" width="21.140625" customWidth="1"/>
    <col min="15106" max="15106" width="20.7109375" customWidth="1"/>
    <col min="15107" max="15107" width="81.7109375" customWidth="1"/>
    <col min="15108" max="15108" width="25" customWidth="1"/>
    <col min="15361" max="15361" width="21.140625" customWidth="1"/>
    <col min="15362" max="15362" width="20.7109375" customWidth="1"/>
    <col min="15363" max="15363" width="81.7109375" customWidth="1"/>
    <col min="15364" max="15364" width="25" customWidth="1"/>
    <col min="15617" max="15617" width="21.140625" customWidth="1"/>
    <col min="15618" max="15618" width="20.7109375" customWidth="1"/>
    <col min="15619" max="15619" width="81.7109375" customWidth="1"/>
    <col min="15620" max="15620" width="25" customWidth="1"/>
    <col min="15873" max="15873" width="21.140625" customWidth="1"/>
    <col min="15874" max="15874" width="20.7109375" customWidth="1"/>
    <col min="15875" max="15875" width="81.7109375" customWidth="1"/>
    <col min="15876" max="15876" width="25" customWidth="1"/>
    <col min="16129" max="16129" width="21.140625" customWidth="1"/>
    <col min="16130" max="16130" width="20.7109375" customWidth="1"/>
    <col min="16131" max="16131" width="81.7109375" customWidth="1"/>
    <col min="16132" max="16132" width="25" customWidth="1"/>
  </cols>
  <sheetData>
    <row r="1" spans="1:5" ht="15.75" x14ac:dyDescent="0.2">
      <c r="C1" s="99" t="s">
        <v>689</v>
      </c>
      <c r="D1" s="222"/>
    </row>
    <row r="2" spans="1:5" ht="15.75" x14ac:dyDescent="0.2">
      <c r="C2" s="852" t="s">
        <v>686</v>
      </c>
      <c r="D2" s="852"/>
    </row>
    <row r="3" spans="1:5" ht="15.75" x14ac:dyDescent="0.25">
      <c r="C3" s="223" t="s">
        <v>693</v>
      </c>
      <c r="D3" s="247"/>
    </row>
    <row r="4" spans="1:5" ht="15.75" x14ac:dyDescent="0.25">
      <c r="C4" s="669" t="s">
        <v>685</v>
      </c>
      <c r="D4" s="247"/>
    </row>
    <row r="5" spans="1:5" ht="15.75" x14ac:dyDescent="0.2">
      <c r="C5" s="796" t="s">
        <v>616</v>
      </c>
      <c r="D5" s="796"/>
    </row>
    <row r="6" spans="1:5" x14ac:dyDescent="0.2">
      <c r="C6" s="221"/>
    </row>
    <row r="7" spans="1:5" ht="15.75" x14ac:dyDescent="0.2">
      <c r="C7" s="447" t="s">
        <v>488</v>
      </c>
      <c r="D7" s="32"/>
      <c r="E7" s="5"/>
    </row>
    <row r="8" spans="1:5" ht="15.75" x14ac:dyDescent="0.2">
      <c r="C8" s="448" t="s">
        <v>489</v>
      </c>
      <c r="D8" s="32"/>
      <c r="E8" s="5"/>
    </row>
    <row r="9" spans="1:5" ht="15.75" x14ac:dyDescent="0.2">
      <c r="C9" s="448" t="s">
        <v>490</v>
      </c>
      <c r="D9" s="32"/>
      <c r="E9" s="5"/>
    </row>
    <row r="10" spans="1:5" ht="15.75" x14ac:dyDescent="0.2">
      <c r="C10" s="448" t="s">
        <v>491</v>
      </c>
      <c r="D10" s="32"/>
      <c r="E10" s="5"/>
    </row>
    <row r="11" spans="1:5" ht="15.75" x14ac:dyDescent="0.25">
      <c r="C11" s="149" t="s">
        <v>492</v>
      </c>
      <c r="D11" s="32"/>
      <c r="E11" s="5"/>
    </row>
    <row r="12" spans="1:5" ht="19.149999999999999" customHeight="1" x14ac:dyDescent="0.25">
      <c r="C12" s="149" t="s">
        <v>687</v>
      </c>
      <c r="D12" s="32"/>
      <c r="E12" s="5"/>
    </row>
    <row r="13" spans="1:5" ht="15.6" customHeight="1" x14ac:dyDescent="0.2">
      <c r="C13" s="855" t="s">
        <v>688</v>
      </c>
      <c r="D13" s="855"/>
      <c r="E13" s="5"/>
    </row>
    <row r="14" spans="1:5" ht="20.25" x14ac:dyDescent="0.3">
      <c r="A14" s="813" t="s">
        <v>412</v>
      </c>
      <c r="B14" s="814"/>
      <c r="C14" s="814"/>
      <c r="D14" s="814"/>
    </row>
    <row r="15" spans="1:5" ht="15.75" x14ac:dyDescent="0.25">
      <c r="A15" s="806" t="s">
        <v>166</v>
      </c>
      <c r="B15" s="856"/>
      <c r="C15" s="856"/>
      <c r="D15" s="856"/>
    </row>
    <row r="16" spans="1:5" ht="15.75" x14ac:dyDescent="0.25">
      <c r="A16" s="856" t="s">
        <v>0</v>
      </c>
      <c r="B16" s="856"/>
      <c r="C16" s="856"/>
      <c r="D16" s="856"/>
    </row>
    <row r="17" spans="1:4" ht="15.75" customHeight="1" x14ac:dyDescent="0.25">
      <c r="A17" s="449" t="s">
        <v>413</v>
      </c>
      <c r="B17" s="1"/>
      <c r="C17" s="1"/>
      <c r="D17" s="1"/>
    </row>
    <row r="18" spans="1:4" ht="14.45" customHeight="1" thickBot="1" x14ac:dyDescent="0.3">
      <c r="A18" s="1"/>
      <c r="B18" s="1"/>
      <c r="C18" s="1"/>
      <c r="D18" s="2" t="s">
        <v>283</v>
      </c>
    </row>
    <row r="19" spans="1:4" ht="25.5" customHeight="1" x14ac:dyDescent="0.2">
      <c r="A19" s="150" t="s">
        <v>414</v>
      </c>
      <c r="B19" s="857" t="s">
        <v>415</v>
      </c>
      <c r="C19" s="858"/>
      <c r="D19" s="151" t="s">
        <v>1</v>
      </c>
    </row>
    <row r="20" spans="1:4" ht="13.5" customHeight="1" x14ac:dyDescent="0.2">
      <c r="A20" s="152">
        <v>1</v>
      </c>
      <c r="B20" s="859">
        <v>2</v>
      </c>
      <c r="C20" s="860"/>
      <c r="D20" s="153">
        <v>3</v>
      </c>
    </row>
    <row r="21" spans="1:4" ht="15.75" x14ac:dyDescent="0.25">
      <c r="A21" s="861" t="s">
        <v>416</v>
      </c>
      <c r="B21" s="862"/>
      <c r="C21" s="862"/>
      <c r="D21" s="863"/>
    </row>
    <row r="22" spans="1:4" ht="65.25" customHeight="1" x14ac:dyDescent="0.25">
      <c r="A22" s="154">
        <v>41021400</v>
      </c>
      <c r="B22" s="864" t="s">
        <v>378</v>
      </c>
      <c r="C22" s="865"/>
      <c r="D22" s="155">
        <f>D23</f>
        <v>64371200</v>
      </c>
    </row>
    <row r="23" spans="1:4" ht="16.5" customHeight="1" x14ac:dyDescent="0.25">
      <c r="A23" s="161" t="s">
        <v>417</v>
      </c>
      <c r="B23" s="848" t="s">
        <v>418</v>
      </c>
      <c r="C23" s="849"/>
      <c r="D23" s="156">
        <f>53910900+10460300</f>
        <v>64371200</v>
      </c>
    </row>
    <row r="24" spans="1:4" ht="40.9" customHeight="1" x14ac:dyDescent="0.2">
      <c r="A24" s="157">
        <v>41033300</v>
      </c>
      <c r="B24" s="850" t="s">
        <v>642</v>
      </c>
      <c r="C24" s="851"/>
      <c r="D24" s="155">
        <f>D25</f>
        <v>2289800</v>
      </c>
    </row>
    <row r="25" spans="1:4" ht="16.5" customHeight="1" x14ac:dyDescent="0.25">
      <c r="A25" s="161" t="s">
        <v>417</v>
      </c>
      <c r="B25" s="848" t="s">
        <v>418</v>
      </c>
      <c r="C25" s="849"/>
      <c r="D25" s="156">
        <f>2278000+11800</f>
        <v>2289800</v>
      </c>
    </row>
    <row r="26" spans="1:4" ht="15.75" x14ac:dyDescent="0.2">
      <c r="A26" s="157" t="s">
        <v>381</v>
      </c>
      <c r="B26" s="158" t="s">
        <v>382</v>
      </c>
      <c r="C26" s="159"/>
      <c r="D26" s="160">
        <f>D27</f>
        <v>75510600</v>
      </c>
    </row>
    <row r="27" spans="1:4" ht="15.75" customHeight="1" x14ac:dyDescent="0.2">
      <c r="A27" s="161" t="s">
        <v>417</v>
      </c>
      <c r="B27" s="848" t="s">
        <v>418</v>
      </c>
      <c r="C27" s="849"/>
      <c r="D27" s="162">
        <v>75510600</v>
      </c>
    </row>
    <row r="28" spans="1:4" ht="15.75" customHeight="1" x14ac:dyDescent="0.2">
      <c r="A28" s="157">
        <v>41040400</v>
      </c>
      <c r="B28" s="850" t="s">
        <v>475</v>
      </c>
      <c r="C28" s="851"/>
      <c r="D28" s="160">
        <f>D29</f>
        <v>144388</v>
      </c>
    </row>
    <row r="29" spans="1:4" ht="15.75" customHeight="1" x14ac:dyDescent="0.2">
      <c r="A29" s="250">
        <v>15100000000</v>
      </c>
      <c r="B29" s="846" t="s">
        <v>419</v>
      </c>
      <c r="C29" s="847"/>
      <c r="D29" s="162">
        <f>38667+26774+23331+24056+21083+10477</f>
        <v>144388</v>
      </c>
    </row>
    <row r="30" spans="1:4" ht="186.75" customHeight="1" x14ac:dyDescent="0.2">
      <c r="A30" s="259">
        <v>41050600</v>
      </c>
      <c r="B30" s="870" t="s">
        <v>581</v>
      </c>
      <c r="C30" s="871"/>
      <c r="D30" s="160">
        <f>D31</f>
        <v>3708133</v>
      </c>
    </row>
    <row r="31" spans="1:4" ht="15.75" customHeight="1" x14ac:dyDescent="0.2">
      <c r="A31" s="258">
        <v>15100000000</v>
      </c>
      <c r="B31" s="872" t="s">
        <v>419</v>
      </c>
      <c r="C31" s="873"/>
      <c r="D31" s="162">
        <f>2164782+1543351</f>
        <v>3708133</v>
      </c>
    </row>
    <row r="32" spans="1:4" ht="40.9" customHeight="1" x14ac:dyDescent="0.2">
      <c r="A32" s="157" t="s">
        <v>383</v>
      </c>
      <c r="B32" s="158" t="s">
        <v>384</v>
      </c>
      <c r="C32" s="159"/>
      <c r="D32" s="160">
        <f>D33</f>
        <v>1766200</v>
      </c>
    </row>
    <row r="33" spans="1:4" ht="15.75" customHeight="1" x14ac:dyDescent="0.2">
      <c r="A33" s="161">
        <v>15100000000</v>
      </c>
      <c r="B33" s="848" t="s">
        <v>419</v>
      </c>
      <c r="C33" s="849"/>
      <c r="D33" s="162">
        <v>1766200</v>
      </c>
    </row>
    <row r="34" spans="1:4" ht="69.75" customHeight="1" x14ac:dyDescent="0.2">
      <c r="A34" s="259">
        <v>41051200</v>
      </c>
      <c r="B34" s="874" t="s">
        <v>507</v>
      </c>
      <c r="C34" s="875"/>
      <c r="D34" s="160">
        <f>D35</f>
        <v>239625</v>
      </c>
    </row>
    <row r="35" spans="1:4" ht="24.75" customHeight="1" x14ac:dyDescent="0.2">
      <c r="A35" s="258">
        <v>15100000000</v>
      </c>
      <c r="B35" s="872" t="s">
        <v>419</v>
      </c>
      <c r="C35" s="873"/>
      <c r="D35" s="162">
        <f>187785+51840</f>
        <v>239625</v>
      </c>
    </row>
    <row r="36" spans="1:4" ht="66.75" customHeight="1" x14ac:dyDescent="0.25">
      <c r="A36" s="259">
        <v>41051200</v>
      </c>
      <c r="B36" s="876" t="s">
        <v>508</v>
      </c>
      <c r="C36" s="877"/>
      <c r="D36" s="160">
        <f>D37</f>
        <v>161725</v>
      </c>
    </row>
    <row r="37" spans="1:4" ht="22.5" customHeight="1" x14ac:dyDescent="0.2">
      <c r="A37" s="258">
        <v>15100000000</v>
      </c>
      <c r="B37" s="872" t="s">
        <v>419</v>
      </c>
      <c r="C37" s="873"/>
      <c r="D37" s="162">
        <f>104325+57400</f>
        <v>161725</v>
      </c>
    </row>
    <row r="38" spans="1:4" ht="43.5" customHeight="1" x14ac:dyDescent="0.2">
      <c r="A38" s="259">
        <v>41051400</v>
      </c>
      <c r="B38" s="870" t="s">
        <v>629</v>
      </c>
      <c r="C38" s="871"/>
      <c r="D38" s="160">
        <f>D39</f>
        <v>1049568</v>
      </c>
    </row>
    <row r="39" spans="1:4" ht="22.5" customHeight="1" x14ac:dyDescent="0.2">
      <c r="A39" s="258">
        <v>15100000000</v>
      </c>
      <c r="B39" s="872" t="s">
        <v>419</v>
      </c>
      <c r="C39" s="873"/>
      <c r="D39" s="162">
        <v>1049568</v>
      </c>
    </row>
    <row r="40" spans="1:4" ht="51.75" customHeight="1" x14ac:dyDescent="0.2">
      <c r="A40" s="157">
        <v>41051700</v>
      </c>
      <c r="B40" s="850" t="s">
        <v>472</v>
      </c>
      <c r="C40" s="851"/>
      <c r="D40" s="160">
        <f>D41</f>
        <v>323630</v>
      </c>
    </row>
    <row r="41" spans="1:4" ht="15.75" customHeight="1" x14ac:dyDescent="0.2">
      <c r="A41" s="250">
        <v>15100000000</v>
      </c>
      <c r="B41" s="846" t="s">
        <v>419</v>
      </c>
      <c r="C41" s="847"/>
      <c r="D41" s="162">
        <f>110550+213080</f>
        <v>323630</v>
      </c>
    </row>
    <row r="42" spans="1:4" s="165" customFormat="1" ht="30.75" customHeight="1" x14ac:dyDescent="0.2">
      <c r="A42" s="163">
        <v>41053900</v>
      </c>
      <c r="B42" s="874" t="s">
        <v>385</v>
      </c>
      <c r="C42" s="875"/>
      <c r="D42" s="164">
        <f>D43</f>
        <v>57773</v>
      </c>
    </row>
    <row r="43" spans="1:4" s="165" customFormat="1" ht="15.75" x14ac:dyDescent="0.25">
      <c r="A43" s="166" t="s">
        <v>420</v>
      </c>
      <c r="B43" s="853" t="s">
        <v>419</v>
      </c>
      <c r="C43" s="854"/>
      <c r="D43" s="167">
        <f>28193+29580</f>
        <v>57773</v>
      </c>
    </row>
    <row r="44" spans="1:4" s="165" customFormat="1" ht="30.75" customHeight="1" x14ac:dyDescent="0.2">
      <c r="A44" s="163">
        <v>41053900</v>
      </c>
      <c r="B44" s="874" t="s">
        <v>386</v>
      </c>
      <c r="C44" s="875"/>
      <c r="D44" s="168">
        <f>D45</f>
        <v>164690</v>
      </c>
    </row>
    <row r="45" spans="1:4" s="165" customFormat="1" ht="18" customHeight="1" x14ac:dyDescent="0.2">
      <c r="A45" s="166" t="s">
        <v>420</v>
      </c>
      <c r="B45" s="846" t="s">
        <v>419</v>
      </c>
      <c r="C45" s="847"/>
      <c r="D45" s="167">
        <f>91319+73371</f>
        <v>164690</v>
      </c>
    </row>
    <row r="46" spans="1:4" s="165" customFormat="1" ht="49.15" customHeight="1" x14ac:dyDescent="0.2">
      <c r="A46" s="163">
        <v>41053900</v>
      </c>
      <c r="B46" s="874" t="s">
        <v>387</v>
      </c>
      <c r="C46" s="875"/>
      <c r="D46" s="168">
        <f>D47</f>
        <v>17623</v>
      </c>
    </row>
    <row r="47" spans="1:4" s="165" customFormat="1" ht="15.75" x14ac:dyDescent="0.25">
      <c r="A47" s="166" t="s">
        <v>420</v>
      </c>
      <c r="B47" s="853" t="s">
        <v>419</v>
      </c>
      <c r="C47" s="854"/>
      <c r="D47" s="167">
        <v>17623</v>
      </c>
    </row>
    <row r="48" spans="1:4" s="165" customFormat="1" ht="39.75" customHeight="1" x14ac:dyDescent="0.2">
      <c r="A48" s="163">
        <v>41053900</v>
      </c>
      <c r="B48" s="874" t="s">
        <v>653</v>
      </c>
      <c r="C48" s="875"/>
      <c r="D48" s="249">
        <f>D49</f>
        <v>268034</v>
      </c>
    </row>
    <row r="49" spans="1:4" s="165" customFormat="1" ht="15.75" x14ac:dyDescent="0.25">
      <c r="A49" s="166" t="s">
        <v>420</v>
      </c>
      <c r="B49" s="853" t="s">
        <v>419</v>
      </c>
      <c r="C49" s="854"/>
      <c r="D49" s="671">
        <f>185562+82472</f>
        <v>268034</v>
      </c>
    </row>
    <row r="50" spans="1:4" s="165" customFormat="1" ht="46.15" customHeight="1" x14ac:dyDescent="0.2">
      <c r="A50" s="248" t="s">
        <v>482</v>
      </c>
      <c r="B50" s="874" t="s">
        <v>473</v>
      </c>
      <c r="C50" s="875"/>
      <c r="D50" s="249">
        <f>D51</f>
        <v>166311</v>
      </c>
    </row>
    <row r="51" spans="1:4" ht="15.75" x14ac:dyDescent="0.2">
      <c r="A51" s="250">
        <v>15100000000</v>
      </c>
      <c r="B51" s="846" t="s">
        <v>419</v>
      </c>
      <c r="C51" s="847"/>
      <c r="D51" s="685">
        <v>166311</v>
      </c>
    </row>
    <row r="52" spans="1:4" ht="15.75" x14ac:dyDescent="0.25">
      <c r="A52" s="861" t="s">
        <v>421</v>
      </c>
      <c r="B52" s="862"/>
      <c r="C52" s="862"/>
      <c r="D52" s="863"/>
    </row>
    <row r="53" spans="1:4" ht="37.15" customHeight="1" x14ac:dyDescent="0.25">
      <c r="A53" s="205">
        <v>41051100</v>
      </c>
      <c r="B53" s="850" t="s">
        <v>433</v>
      </c>
      <c r="C53" s="851"/>
      <c r="D53" s="206">
        <f>D54</f>
        <v>1620780</v>
      </c>
    </row>
    <row r="54" spans="1:4" ht="15.75" x14ac:dyDescent="0.25">
      <c r="A54" s="166" t="s">
        <v>420</v>
      </c>
      <c r="B54" s="846" t="s">
        <v>419</v>
      </c>
      <c r="C54" s="847"/>
      <c r="D54" s="156">
        <f>696780+924000</f>
        <v>1620780</v>
      </c>
    </row>
    <row r="55" spans="1:4" ht="29.25" customHeight="1" x14ac:dyDescent="0.2">
      <c r="A55" s="606">
        <v>41053400</v>
      </c>
      <c r="B55" s="881" t="s">
        <v>630</v>
      </c>
      <c r="C55" s="882"/>
      <c r="D55" s="160">
        <f>D56</f>
        <v>10000000</v>
      </c>
    </row>
    <row r="56" spans="1:4" ht="15.75" customHeight="1" x14ac:dyDescent="0.2">
      <c r="A56" s="250">
        <v>15100000000</v>
      </c>
      <c r="B56" s="846" t="s">
        <v>419</v>
      </c>
      <c r="C56" s="847"/>
      <c r="D56" s="162">
        <v>10000000</v>
      </c>
    </row>
    <row r="57" spans="1:4" ht="16.5" customHeight="1" x14ac:dyDescent="0.25">
      <c r="A57" s="450" t="s">
        <v>6</v>
      </c>
      <c r="B57" s="169" t="s">
        <v>422</v>
      </c>
      <c r="C57" s="159"/>
      <c r="D57" s="170">
        <f>D58+D59</f>
        <v>161860080</v>
      </c>
    </row>
    <row r="58" spans="1:4" ht="15.75" x14ac:dyDescent="0.25">
      <c r="A58" s="450" t="s">
        <v>6</v>
      </c>
      <c r="B58" s="169" t="s">
        <v>423</v>
      </c>
      <c r="C58" s="159"/>
      <c r="D58" s="170">
        <f>D22+D26+D32+D34+D30+D36+D42+D44+D46+D50+D40+D28+D24+D38+D48</f>
        <v>150239300</v>
      </c>
    </row>
    <row r="59" spans="1:4" ht="15.75" x14ac:dyDescent="0.25">
      <c r="A59" s="450" t="s">
        <v>6</v>
      </c>
      <c r="B59" s="169" t="s">
        <v>424</v>
      </c>
      <c r="C59" s="159"/>
      <c r="D59" s="170">
        <f>D53+D55</f>
        <v>11620780</v>
      </c>
    </row>
    <row r="60" spans="1:4" ht="21.95" customHeight="1" x14ac:dyDescent="0.25">
      <c r="A60" s="171" t="s">
        <v>425</v>
      </c>
      <c r="B60" s="1"/>
      <c r="C60" s="1"/>
      <c r="D60" s="172" t="s">
        <v>283</v>
      </c>
    </row>
    <row r="61" spans="1:4" ht="60.75" customHeight="1" x14ac:dyDescent="0.2">
      <c r="A61" s="173" t="s">
        <v>426</v>
      </c>
      <c r="B61" s="174" t="s">
        <v>427</v>
      </c>
      <c r="C61" s="175" t="s">
        <v>428</v>
      </c>
      <c r="D61" s="176" t="s">
        <v>1</v>
      </c>
    </row>
    <row r="62" spans="1:4" ht="15.75" x14ac:dyDescent="0.2">
      <c r="A62" s="177">
        <v>1</v>
      </c>
      <c r="B62" s="178">
        <v>2</v>
      </c>
      <c r="C62" s="178">
        <v>3</v>
      </c>
      <c r="D62" s="179">
        <v>4</v>
      </c>
    </row>
    <row r="63" spans="1:4" ht="15.75" customHeight="1" x14ac:dyDescent="0.25">
      <c r="A63" s="878" t="s">
        <v>429</v>
      </c>
      <c r="B63" s="879"/>
      <c r="C63" s="880"/>
      <c r="D63" s="180"/>
    </row>
    <row r="64" spans="1:4" s="182" customFormat="1" ht="37.9" hidden="1" customHeight="1" x14ac:dyDescent="0.25">
      <c r="A64" s="451">
        <v>41053900</v>
      </c>
      <c r="B64" s="452">
        <v>9770</v>
      </c>
      <c r="C64" s="181" t="s">
        <v>430</v>
      </c>
      <c r="D64" s="180">
        <f>D65</f>
        <v>0</v>
      </c>
    </row>
    <row r="65" spans="1:16" ht="24" hidden="1" customHeight="1" x14ac:dyDescent="0.25">
      <c r="A65" s="161">
        <v>15327200000</v>
      </c>
      <c r="B65" s="183"/>
      <c r="C65" s="184" t="s">
        <v>431</v>
      </c>
      <c r="D65" s="185">
        <f>300000-300000</f>
        <v>0</v>
      </c>
    </row>
    <row r="66" spans="1:16" ht="34.15" customHeight="1" x14ac:dyDescent="0.25">
      <c r="A66" s="207" t="s">
        <v>435</v>
      </c>
      <c r="B66" s="208">
        <v>9800</v>
      </c>
      <c r="C66" s="209" t="s">
        <v>436</v>
      </c>
      <c r="D66" s="180">
        <f>D67</f>
        <v>39892364</v>
      </c>
    </row>
    <row r="67" spans="1:16" ht="15" customHeight="1" x14ac:dyDescent="0.25">
      <c r="A67" s="210" t="s">
        <v>417</v>
      </c>
      <c r="B67" s="211">
        <v>9800</v>
      </c>
      <c r="C67" s="212" t="s">
        <v>418</v>
      </c>
      <c r="D67" s="185">
        <f>5000000+1500000+521164+850000+63000+30300+14500000-1300000+428000+10000000+1000000+4000000+1299900+2000000</f>
        <v>39892364</v>
      </c>
    </row>
    <row r="68" spans="1:16" ht="18" customHeight="1" x14ac:dyDescent="0.25">
      <c r="A68" s="455" t="s">
        <v>591</v>
      </c>
      <c r="B68" s="454">
        <v>9770</v>
      </c>
      <c r="C68" s="456" t="s">
        <v>592</v>
      </c>
      <c r="D68" s="457">
        <f>D69</f>
        <v>180000</v>
      </c>
    </row>
    <row r="69" spans="1:16" ht="16.5" customHeight="1" x14ac:dyDescent="0.25">
      <c r="A69" s="258">
        <v>15327200000</v>
      </c>
      <c r="B69" s="458">
        <v>9770</v>
      </c>
      <c r="C69" s="459" t="s">
        <v>431</v>
      </c>
      <c r="D69" s="186">
        <v>180000</v>
      </c>
    </row>
    <row r="70" spans="1:16" ht="20.100000000000001" customHeight="1" x14ac:dyDescent="0.25">
      <c r="A70" s="866" t="s">
        <v>432</v>
      </c>
      <c r="B70" s="867"/>
      <c r="C70" s="867"/>
      <c r="D70" s="863"/>
    </row>
    <row r="71" spans="1:16" ht="34.9" customHeight="1" x14ac:dyDescent="0.25">
      <c r="A71" s="207" t="s">
        <v>435</v>
      </c>
      <c r="B71" s="208">
        <v>9800</v>
      </c>
      <c r="C71" s="209" t="s">
        <v>436</v>
      </c>
      <c r="D71" s="180">
        <f>D72</f>
        <v>46278400</v>
      </c>
    </row>
    <row r="72" spans="1:16" ht="17.25" customHeight="1" x14ac:dyDescent="0.25">
      <c r="A72" s="210" t="s">
        <v>417</v>
      </c>
      <c r="B72" s="211">
        <v>9800</v>
      </c>
      <c r="C72" s="212" t="s">
        <v>418</v>
      </c>
      <c r="D72" s="185">
        <f>1000000+150000+2937000+26000+310400+13500000+1300000+4572000+4000000-4000000+5000000+3000000+1000000+2500000+900000+1000000+3000000+5000000+1083000</f>
        <v>46278400</v>
      </c>
    </row>
    <row r="73" spans="1:16" ht="11.25" customHeight="1" x14ac:dyDescent="0.25">
      <c r="A73" s="210"/>
      <c r="B73" s="211"/>
      <c r="C73" s="224"/>
      <c r="D73" s="185"/>
    </row>
    <row r="74" spans="1:16" ht="15.75" x14ac:dyDescent="0.25">
      <c r="A74" s="187" t="s">
        <v>6</v>
      </c>
      <c r="B74" s="188" t="s">
        <v>6</v>
      </c>
      <c r="C74" s="169" t="s">
        <v>422</v>
      </c>
      <c r="D74" s="180">
        <f>D75+D76</f>
        <v>86350764</v>
      </c>
    </row>
    <row r="75" spans="1:16" ht="21" customHeight="1" x14ac:dyDescent="0.25">
      <c r="A75" s="187" t="s">
        <v>6</v>
      </c>
      <c r="B75" s="188" t="s">
        <v>6</v>
      </c>
      <c r="C75" s="169" t="s">
        <v>423</v>
      </c>
      <c r="D75" s="189">
        <f>D66+D68</f>
        <v>40072364</v>
      </c>
    </row>
    <row r="76" spans="1:16" ht="18" customHeight="1" thickBot="1" x14ac:dyDescent="0.3">
      <c r="A76" s="190" t="s">
        <v>6</v>
      </c>
      <c r="B76" s="191" t="s">
        <v>6</v>
      </c>
      <c r="C76" s="192" t="s">
        <v>424</v>
      </c>
      <c r="D76" s="193">
        <f>D71</f>
        <v>46278400</v>
      </c>
    </row>
    <row r="77" spans="1:16" ht="15.75" hidden="1" x14ac:dyDescent="0.25">
      <c r="A77" s="1"/>
      <c r="B77" s="1"/>
      <c r="C77" s="1"/>
      <c r="D77" s="1"/>
    </row>
    <row r="78" spans="1:16" s="103" customFormat="1" ht="42.6" customHeight="1" x14ac:dyDescent="0.25">
      <c r="A78" s="868" t="s">
        <v>676</v>
      </c>
      <c r="B78" s="868"/>
      <c r="C78" s="868"/>
      <c r="D78" s="868"/>
      <c r="E78" s="869"/>
      <c r="F78" s="869"/>
      <c r="G78" s="194"/>
      <c r="H78" s="194"/>
      <c r="I78" s="194"/>
      <c r="K78" s="194"/>
      <c r="L78" s="195"/>
      <c r="M78" s="194"/>
      <c r="N78" s="453"/>
      <c r="O78" s="196"/>
      <c r="P78" s="197"/>
    </row>
    <row r="79" spans="1:16" s="200" customFormat="1" ht="20.45" customHeight="1" x14ac:dyDescent="0.3">
      <c r="A79" s="198"/>
      <c r="B79" s="199"/>
      <c r="C79" s="1"/>
      <c r="D79" s="199"/>
    </row>
    <row r="80" spans="1:16" ht="15.75" x14ac:dyDescent="0.25">
      <c r="A80" s="1"/>
      <c r="B80" s="1"/>
      <c r="D80" s="1"/>
    </row>
  </sheetData>
  <mergeCells count="46">
    <mergeCell ref="B42:C42"/>
    <mergeCell ref="B28:C28"/>
    <mergeCell ref="B29:C29"/>
    <mergeCell ref="B37:C37"/>
    <mergeCell ref="B40:C40"/>
    <mergeCell ref="B55:C55"/>
    <mergeCell ref="B45:C45"/>
    <mergeCell ref="B46:C46"/>
    <mergeCell ref="B47:C47"/>
    <mergeCell ref="A52:D52"/>
    <mergeCell ref="B50:C50"/>
    <mergeCell ref="B51:C51"/>
    <mergeCell ref="B48:C48"/>
    <mergeCell ref="B49:C49"/>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s>
  <pageMargins left="1.1811023622047245" right="0.39370078740157483" top="0.78740157480314965" bottom="0.78740157480314965"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view="pageBreakPreview" zoomScale="80" zoomScaleNormal="80" zoomScaleSheetLayoutView="80" workbookViewId="0">
      <selection activeCell="Q20" sqref="Q20"/>
    </sheetView>
  </sheetViews>
  <sheetFormatPr defaultColWidth="9.140625" defaultRowHeight="15" x14ac:dyDescent="0.25"/>
  <cols>
    <col min="1" max="1" width="13" style="608" customWidth="1"/>
    <col min="2" max="2" width="12.5703125" style="608" customWidth="1"/>
    <col min="3" max="3" width="13.42578125" style="608" customWidth="1"/>
    <col min="4" max="4" width="38.5703125" style="608" customWidth="1"/>
    <col min="5" max="5" width="43.85546875" style="608" customWidth="1"/>
    <col min="6" max="6" width="42.140625" style="608" customWidth="1"/>
    <col min="7" max="7" width="14" style="608" customWidth="1"/>
    <col min="8" max="8" width="14.7109375" style="608" customWidth="1"/>
    <col min="9" max="9" width="14.5703125" style="608" customWidth="1"/>
    <col min="10" max="10" width="14.85546875" style="608" customWidth="1"/>
    <col min="11" max="16384" width="9.140625" style="608"/>
  </cols>
  <sheetData>
    <row r="1" spans="1:10" s="607" customFormat="1" ht="15.75" x14ac:dyDescent="0.25">
      <c r="D1" s="608"/>
      <c r="E1" s="608"/>
      <c r="F1" s="609"/>
      <c r="H1" s="99" t="s">
        <v>463</v>
      </c>
      <c r="I1" s="610"/>
    </row>
    <row r="2" spans="1:10" s="607" customFormat="1" ht="15.75" x14ac:dyDescent="0.25">
      <c r="D2" s="608"/>
      <c r="E2" s="608"/>
      <c r="F2" s="609"/>
      <c r="H2" s="99" t="s">
        <v>667</v>
      </c>
      <c r="I2" s="610"/>
    </row>
    <row r="3" spans="1:10" s="607" customFormat="1" ht="15.75" x14ac:dyDescent="0.25">
      <c r="D3" s="608"/>
      <c r="E3" s="608"/>
      <c r="F3" s="609"/>
      <c r="H3" s="100" t="s">
        <v>683</v>
      </c>
      <c r="I3" s="611"/>
    </row>
    <row r="4" spans="1:10" s="607" customFormat="1" ht="15.75" x14ac:dyDescent="0.25">
      <c r="D4" s="608"/>
      <c r="E4" s="608"/>
      <c r="F4" s="609"/>
      <c r="H4" s="101" t="s">
        <v>690</v>
      </c>
      <c r="I4" s="612"/>
    </row>
    <row r="5" spans="1:10" s="607" customFormat="1" ht="15.75" x14ac:dyDescent="0.25">
      <c r="D5" s="608"/>
      <c r="E5" s="608"/>
      <c r="F5" s="609"/>
      <c r="H5" s="796" t="s">
        <v>467</v>
      </c>
      <c r="I5" s="796"/>
    </row>
    <row r="7" spans="1:10" ht="15.75" x14ac:dyDescent="0.25">
      <c r="H7" s="99" t="s">
        <v>468</v>
      </c>
      <c r="I7" s="610"/>
      <c r="J7" s="609"/>
    </row>
    <row r="8" spans="1:10" ht="15.75" x14ac:dyDescent="0.25">
      <c r="H8" s="99" t="s">
        <v>7</v>
      </c>
      <c r="I8" s="610"/>
      <c r="J8" s="609"/>
    </row>
    <row r="9" spans="1:10" ht="15.75" x14ac:dyDescent="0.25">
      <c r="H9" s="99" t="s">
        <v>8</v>
      </c>
      <c r="I9" s="610"/>
      <c r="J9" s="609"/>
    </row>
    <row r="10" spans="1:10" ht="15.75" x14ac:dyDescent="0.25">
      <c r="H10" s="99" t="s">
        <v>228</v>
      </c>
      <c r="I10" s="610"/>
      <c r="J10" s="609"/>
    </row>
    <row r="11" spans="1:10" ht="15.75" x14ac:dyDescent="0.25">
      <c r="H11" s="613" t="s">
        <v>464</v>
      </c>
      <c r="I11" s="611"/>
      <c r="J11" s="609"/>
    </row>
    <row r="12" spans="1:10" ht="15.75" x14ac:dyDescent="0.25">
      <c r="H12" s="613" t="s">
        <v>276</v>
      </c>
      <c r="I12" s="612"/>
      <c r="J12" s="609"/>
    </row>
    <row r="13" spans="1:10" ht="15.75" x14ac:dyDescent="0.25">
      <c r="H13" s="609" t="s">
        <v>284</v>
      </c>
      <c r="I13" s="99"/>
      <c r="J13" s="609"/>
    </row>
    <row r="14" spans="1:10" ht="15.75" x14ac:dyDescent="0.25">
      <c r="I14" s="609"/>
      <c r="J14" s="614"/>
    </row>
    <row r="15" spans="1:10" ht="15.75" x14ac:dyDescent="0.25">
      <c r="H15" s="609"/>
      <c r="I15" s="609"/>
      <c r="J15" s="614"/>
    </row>
    <row r="16" spans="1:10" ht="20.25" x14ac:dyDescent="0.3">
      <c r="A16" s="887" t="s">
        <v>229</v>
      </c>
      <c r="B16" s="888"/>
      <c r="C16" s="888"/>
      <c r="D16" s="888"/>
      <c r="E16" s="888"/>
      <c r="F16" s="888"/>
      <c r="G16" s="888"/>
      <c r="H16" s="888"/>
      <c r="I16" s="888"/>
      <c r="J16" s="888"/>
    </row>
    <row r="18" spans="1:10" ht="15.75" x14ac:dyDescent="0.25">
      <c r="A18" s="889">
        <v>1559100000</v>
      </c>
      <c r="B18" s="889"/>
      <c r="C18" s="482"/>
      <c r="D18" s="482"/>
      <c r="E18" s="482"/>
      <c r="F18" s="482"/>
      <c r="G18" s="482"/>
      <c r="H18" s="482"/>
      <c r="I18" s="482"/>
      <c r="J18" s="482"/>
    </row>
    <row r="19" spans="1:10" ht="16.5" thickBot="1" x14ac:dyDescent="0.3">
      <c r="A19" s="481" t="s">
        <v>0</v>
      </c>
      <c r="B19" s="481"/>
      <c r="C19" s="482"/>
      <c r="D19" s="482"/>
      <c r="E19" s="482"/>
      <c r="F19" s="482"/>
      <c r="G19" s="482"/>
      <c r="H19" s="482"/>
      <c r="I19" s="482"/>
      <c r="J19" s="483" t="s">
        <v>9</v>
      </c>
    </row>
    <row r="20" spans="1:10" ht="15.75" x14ac:dyDescent="0.25">
      <c r="A20" s="890" t="s">
        <v>10</v>
      </c>
      <c r="B20" s="892" t="s">
        <v>11</v>
      </c>
      <c r="C20" s="892" t="s">
        <v>12</v>
      </c>
      <c r="D20" s="894" t="s">
        <v>13</v>
      </c>
      <c r="E20" s="884" t="s">
        <v>151</v>
      </c>
      <c r="F20" s="884" t="s">
        <v>152</v>
      </c>
      <c r="G20" s="884" t="s">
        <v>1</v>
      </c>
      <c r="H20" s="884" t="s">
        <v>2</v>
      </c>
      <c r="I20" s="884" t="s">
        <v>3</v>
      </c>
      <c r="J20" s="886"/>
    </row>
    <row r="21" spans="1:10" ht="61.5" customHeight="1" thickBot="1" x14ac:dyDescent="0.3">
      <c r="A21" s="891"/>
      <c r="B21" s="893"/>
      <c r="C21" s="893"/>
      <c r="D21" s="895"/>
      <c r="E21" s="885"/>
      <c r="F21" s="885"/>
      <c r="G21" s="885"/>
      <c r="H21" s="885"/>
      <c r="I21" s="763" t="s">
        <v>4</v>
      </c>
      <c r="J21" s="484" t="s">
        <v>5</v>
      </c>
    </row>
    <row r="22" spans="1:10" ht="12" customHeight="1" thickBot="1" x14ac:dyDescent="0.3">
      <c r="A22" s="965">
        <v>1</v>
      </c>
      <c r="B22" s="966">
        <v>2</v>
      </c>
      <c r="C22" s="966">
        <v>3</v>
      </c>
      <c r="D22" s="967">
        <v>4</v>
      </c>
      <c r="E22" s="966">
        <v>5</v>
      </c>
      <c r="F22" s="966">
        <v>6</v>
      </c>
      <c r="G22" s="966">
        <v>7</v>
      </c>
      <c r="H22" s="966">
        <v>8</v>
      </c>
      <c r="I22" s="968">
        <v>9</v>
      </c>
      <c r="J22" s="969">
        <v>10</v>
      </c>
    </row>
    <row r="23" spans="1:10" ht="48" thickBot="1" x14ac:dyDescent="0.3">
      <c r="A23" s="487" t="s">
        <v>15</v>
      </c>
      <c r="B23" s="488" t="s">
        <v>16</v>
      </c>
      <c r="C23" s="488" t="s">
        <v>16</v>
      </c>
      <c r="D23" s="489" t="s">
        <v>17</v>
      </c>
      <c r="E23" s="490" t="s">
        <v>16</v>
      </c>
      <c r="F23" s="490" t="s">
        <v>16</v>
      </c>
      <c r="G23" s="491">
        <f>H23+I23</f>
        <v>145213266</v>
      </c>
      <c r="H23" s="491">
        <f>H24</f>
        <v>95435502</v>
      </c>
      <c r="I23" s="491">
        <f>I24</f>
        <v>49777764</v>
      </c>
      <c r="J23" s="492">
        <f>J24</f>
        <v>49777764</v>
      </c>
    </row>
    <row r="24" spans="1:10" ht="47.25" x14ac:dyDescent="0.25">
      <c r="A24" s="493" t="s">
        <v>18</v>
      </c>
      <c r="B24" s="494" t="s">
        <v>16</v>
      </c>
      <c r="C24" s="494" t="s">
        <v>16</v>
      </c>
      <c r="D24" s="495" t="s">
        <v>17</v>
      </c>
      <c r="E24" s="496" t="s">
        <v>16</v>
      </c>
      <c r="F24" s="496" t="s">
        <v>16</v>
      </c>
      <c r="G24" s="497">
        <f>H24+I24</f>
        <v>145213266</v>
      </c>
      <c r="H24" s="497">
        <f>H25+H26+H27+H28+H29+H30+H31+H33+H36+H34+H37+H38+H39+H41+H32+H40+H35</f>
        <v>95435502</v>
      </c>
      <c r="I24" s="497">
        <f>I25+I26+I27+I28+I29+I30+I31+I33+I36+I34+I37+I38+I39+I41+I32+I40</f>
        <v>49777764</v>
      </c>
      <c r="J24" s="508">
        <f>J25+J26+J27+J28+J29+J30+J31+J33+J36+J34+J37+J38+J39+J41+J32+J40</f>
        <v>49777764</v>
      </c>
    </row>
    <row r="25" spans="1:10" ht="93" customHeight="1" x14ac:dyDescent="0.25">
      <c r="A25" s="442" t="s">
        <v>173</v>
      </c>
      <c r="B25" s="498" t="s">
        <v>174</v>
      </c>
      <c r="C25" s="498" t="s">
        <v>19</v>
      </c>
      <c r="D25" s="499" t="s">
        <v>175</v>
      </c>
      <c r="E25" s="499" t="s">
        <v>263</v>
      </c>
      <c r="F25" s="499" t="s">
        <v>451</v>
      </c>
      <c r="G25" s="500">
        <f t="shared" ref="G25:G93" si="0">H25+I25</f>
        <v>227652</v>
      </c>
      <c r="H25" s="500">
        <v>227652</v>
      </c>
      <c r="I25" s="501">
        <v>0</v>
      </c>
      <c r="J25" s="502">
        <v>0</v>
      </c>
    </row>
    <row r="26" spans="1:10" ht="141.75" x14ac:dyDescent="0.25">
      <c r="A26" s="503" t="s">
        <v>446</v>
      </c>
      <c r="B26" s="504" t="s">
        <v>226</v>
      </c>
      <c r="C26" s="504" t="s">
        <v>224</v>
      </c>
      <c r="D26" s="505" t="s">
        <v>230</v>
      </c>
      <c r="E26" s="506" t="s">
        <v>231</v>
      </c>
      <c r="F26" s="499" t="s">
        <v>493</v>
      </c>
      <c r="G26" s="507">
        <f t="shared" si="0"/>
        <v>109000</v>
      </c>
      <c r="H26" s="507">
        <f>141000-32000</f>
        <v>109000</v>
      </c>
      <c r="I26" s="497">
        <v>0</v>
      </c>
      <c r="J26" s="508">
        <v>0</v>
      </c>
    </row>
    <row r="27" spans="1:10" ht="63" x14ac:dyDescent="0.25">
      <c r="A27" s="442" t="s">
        <v>20</v>
      </c>
      <c r="B27" s="498" t="s">
        <v>21</v>
      </c>
      <c r="C27" s="498" t="s">
        <v>22</v>
      </c>
      <c r="D27" s="509" t="s">
        <v>23</v>
      </c>
      <c r="E27" s="499" t="s">
        <v>163</v>
      </c>
      <c r="F27" s="499" t="s">
        <v>679</v>
      </c>
      <c r="G27" s="500">
        <f t="shared" si="0"/>
        <v>15077776</v>
      </c>
      <c r="H27" s="500">
        <f>8498226+4405950</f>
        <v>12904176</v>
      </c>
      <c r="I27" s="500">
        <f>J27</f>
        <v>2173600</v>
      </c>
      <c r="J27" s="510">
        <f>0+2173600</f>
        <v>2173600</v>
      </c>
    </row>
    <row r="28" spans="1:10" ht="78.75" x14ac:dyDescent="0.25">
      <c r="A28" s="442" t="s">
        <v>20</v>
      </c>
      <c r="B28" s="498" t="s">
        <v>21</v>
      </c>
      <c r="C28" s="498" t="s">
        <v>22</v>
      </c>
      <c r="D28" s="509" t="s">
        <v>23</v>
      </c>
      <c r="E28" s="499" t="s">
        <v>162</v>
      </c>
      <c r="F28" s="499" t="s">
        <v>612</v>
      </c>
      <c r="G28" s="500">
        <f t="shared" si="0"/>
        <v>14427648</v>
      </c>
      <c r="H28" s="500">
        <v>14427648</v>
      </c>
      <c r="I28" s="500">
        <v>0</v>
      </c>
      <c r="J28" s="510">
        <v>0</v>
      </c>
    </row>
    <row r="29" spans="1:10" ht="63" x14ac:dyDescent="0.25">
      <c r="A29" s="442" t="s">
        <v>24</v>
      </c>
      <c r="B29" s="498" t="s">
        <v>25</v>
      </c>
      <c r="C29" s="498" t="s">
        <v>26</v>
      </c>
      <c r="D29" s="509" t="s">
        <v>27</v>
      </c>
      <c r="E29" s="499" t="s">
        <v>232</v>
      </c>
      <c r="F29" s="499" t="s">
        <v>645</v>
      </c>
      <c r="G29" s="500">
        <f t="shared" si="0"/>
        <v>991849</v>
      </c>
      <c r="H29" s="500">
        <f>556580+62869</f>
        <v>619449</v>
      </c>
      <c r="I29" s="500">
        <f>J29</f>
        <v>372400</v>
      </c>
      <c r="J29" s="510">
        <f>372400</f>
        <v>372400</v>
      </c>
    </row>
    <row r="30" spans="1:10" ht="63" x14ac:dyDescent="0.25">
      <c r="A30" s="511" t="s">
        <v>236</v>
      </c>
      <c r="B30" s="512">
        <v>2152</v>
      </c>
      <c r="C30" s="513" t="s">
        <v>237</v>
      </c>
      <c r="D30" s="514" t="s">
        <v>254</v>
      </c>
      <c r="E30" s="515" t="s">
        <v>233</v>
      </c>
      <c r="F30" s="516" t="s">
        <v>613</v>
      </c>
      <c r="G30" s="517">
        <f t="shared" si="0"/>
        <v>3407103</v>
      </c>
      <c r="H30" s="517">
        <f>2810623+596480</f>
        <v>3407103</v>
      </c>
      <c r="I30" s="500">
        <f t="shared" ref="I30:I36" si="1">J30</f>
        <v>0</v>
      </c>
      <c r="J30" s="518">
        <v>0</v>
      </c>
    </row>
    <row r="31" spans="1:10" ht="63" x14ac:dyDescent="0.25">
      <c r="A31" s="442" t="s">
        <v>31</v>
      </c>
      <c r="B31" s="498" t="s">
        <v>32</v>
      </c>
      <c r="C31" s="498" t="s">
        <v>33</v>
      </c>
      <c r="D31" s="499" t="s">
        <v>34</v>
      </c>
      <c r="E31" s="499" t="s">
        <v>449</v>
      </c>
      <c r="F31" s="499" t="s">
        <v>495</v>
      </c>
      <c r="G31" s="500">
        <f t="shared" si="0"/>
        <v>409910</v>
      </c>
      <c r="H31" s="500">
        <f>72000+284546</f>
        <v>356546</v>
      </c>
      <c r="I31" s="500">
        <f t="shared" si="1"/>
        <v>53364</v>
      </c>
      <c r="J31" s="510">
        <f>53364</f>
        <v>53364</v>
      </c>
    </row>
    <row r="32" spans="1:10" ht="78.75" x14ac:dyDescent="0.25">
      <c r="A32" s="442">
        <v>218110</v>
      </c>
      <c r="B32" s="498">
        <v>8110</v>
      </c>
      <c r="C32" s="504" t="s">
        <v>239</v>
      </c>
      <c r="D32" s="572" t="s">
        <v>240</v>
      </c>
      <c r="E32" s="499" t="s">
        <v>655</v>
      </c>
      <c r="F32" s="499" t="s">
        <v>646</v>
      </c>
      <c r="G32" s="500">
        <f>H32+I32</f>
        <v>1789685</v>
      </c>
      <c r="H32" s="500">
        <f>0+111980+1045320+632385</f>
        <v>1789685</v>
      </c>
      <c r="I32" s="500">
        <f t="shared" si="1"/>
        <v>0</v>
      </c>
      <c r="J32" s="510">
        <v>0</v>
      </c>
    </row>
    <row r="33" spans="1:10" ht="63" x14ac:dyDescent="0.25">
      <c r="A33" s="442" t="s">
        <v>35</v>
      </c>
      <c r="B33" s="498" t="s">
        <v>36</v>
      </c>
      <c r="C33" s="498" t="s">
        <v>37</v>
      </c>
      <c r="D33" s="509" t="s">
        <v>38</v>
      </c>
      <c r="E33" s="499" t="s">
        <v>153</v>
      </c>
      <c r="F33" s="499" t="s">
        <v>494</v>
      </c>
      <c r="G33" s="500">
        <f t="shared" si="0"/>
        <v>6000</v>
      </c>
      <c r="H33" s="500">
        <v>6000</v>
      </c>
      <c r="I33" s="500">
        <f t="shared" si="1"/>
        <v>0</v>
      </c>
      <c r="J33" s="510">
        <v>0</v>
      </c>
    </row>
    <row r="34" spans="1:10" ht="63" x14ac:dyDescent="0.25">
      <c r="A34" s="255" t="s">
        <v>159</v>
      </c>
      <c r="B34" s="498">
        <v>8230</v>
      </c>
      <c r="C34" s="498" t="s">
        <v>37</v>
      </c>
      <c r="D34" s="509" t="s">
        <v>160</v>
      </c>
      <c r="E34" s="581" t="s">
        <v>164</v>
      </c>
      <c r="F34" s="499" t="s">
        <v>631</v>
      </c>
      <c r="G34" s="500">
        <f t="shared" si="0"/>
        <v>19032201</v>
      </c>
      <c r="H34" s="500">
        <f>20061160-228060-2039391+338492</f>
        <v>18132201</v>
      </c>
      <c r="I34" s="500">
        <f t="shared" si="1"/>
        <v>900000</v>
      </c>
      <c r="J34" s="510">
        <v>900000</v>
      </c>
    </row>
    <row r="35" spans="1:10" ht="97.5" customHeight="1" x14ac:dyDescent="0.25">
      <c r="A35" s="552" t="s">
        <v>656</v>
      </c>
      <c r="B35" s="512">
        <v>8240</v>
      </c>
      <c r="C35" s="513" t="s">
        <v>37</v>
      </c>
      <c r="D35" s="514" t="s">
        <v>652</v>
      </c>
      <c r="E35" s="672" t="s">
        <v>450</v>
      </c>
      <c r="F35" s="516" t="s">
        <v>648</v>
      </c>
      <c r="G35" s="500">
        <f t="shared" si="0"/>
        <v>183976</v>
      </c>
      <c r="H35" s="517">
        <f>126880+57096</f>
        <v>183976</v>
      </c>
      <c r="I35" s="500">
        <f t="shared" si="1"/>
        <v>0</v>
      </c>
      <c r="J35" s="518">
        <v>0</v>
      </c>
    </row>
    <row r="36" spans="1:10" ht="110.25" x14ac:dyDescent="0.25">
      <c r="A36" s="519" t="s">
        <v>39</v>
      </c>
      <c r="B36" s="512" t="s">
        <v>40</v>
      </c>
      <c r="C36" s="512" t="s">
        <v>41</v>
      </c>
      <c r="D36" s="514" t="s">
        <v>42</v>
      </c>
      <c r="E36" s="516" t="s">
        <v>234</v>
      </c>
      <c r="F36" s="516" t="s">
        <v>632</v>
      </c>
      <c r="G36" s="517">
        <f t="shared" si="0"/>
        <v>3379702</v>
      </c>
      <c r="H36" s="517">
        <v>3379702</v>
      </c>
      <c r="I36" s="500">
        <f t="shared" si="1"/>
        <v>0</v>
      </c>
      <c r="J36" s="518">
        <v>0</v>
      </c>
    </row>
    <row r="37" spans="1:10" ht="96" customHeight="1" x14ac:dyDescent="0.25">
      <c r="A37" s="520" t="s">
        <v>435</v>
      </c>
      <c r="B37" s="512">
        <v>9800</v>
      </c>
      <c r="C37" s="513" t="s">
        <v>226</v>
      </c>
      <c r="D37" s="516" t="s">
        <v>436</v>
      </c>
      <c r="E37" s="516" t="s">
        <v>450</v>
      </c>
      <c r="F37" s="516" t="s">
        <v>648</v>
      </c>
      <c r="G37" s="517">
        <f t="shared" si="0"/>
        <v>68500000</v>
      </c>
      <c r="H37" s="517">
        <f>5000000+1500000+850000+63000-1500000+10000000+2000000-1300000+428000+10000000+1000000+4000000</f>
        <v>32041000</v>
      </c>
      <c r="I37" s="517">
        <f>J37</f>
        <v>36459000</v>
      </c>
      <c r="J37" s="518">
        <f>1000000+150000+2937000+1500000+4000000+3000000+5000000+1300000+4572000+4000000-4000000+3000000+1000000+1000000+3000000+5000000</f>
        <v>36459000</v>
      </c>
    </row>
    <row r="38" spans="1:10" ht="82.5" customHeight="1" x14ac:dyDescent="0.25">
      <c r="A38" s="520" t="s">
        <v>435</v>
      </c>
      <c r="B38" s="512">
        <v>9800</v>
      </c>
      <c r="C38" s="513" t="s">
        <v>226</v>
      </c>
      <c r="D38" s="516" t="s">
        <v>436</v>
      </c>
      <c r="E38" s="573" t="s">
        <v>654</v>
      </c>
      <c r="F38" s="41" t="s">
        <v>649</v>
      </c>
      <c r="G38" s="521">
        <f t="shared" si="0"/>
        <v>1914564</v>
      </c>
      <c r="H38" s="521">
        <f>0+521164</f>
        <v>521164</v>
      </c>
      <c r="I38" s="521">
        <f>J38</f>
        <v>1393400</v>
      </c>
      <c r="J38" s="510">
        <f>0+310400+1083000</f>
        <v>1393400</v>
      </c>
    </row>
    <row r="39" spans="1:10" ht="70.5" customHeight="1" x14ac:dyDescent="0.25">
      <c r="A39" s="503" t="s">
        <v>435</v>
      </c>
      <c r="B39" s="498">
        <v>9800</v>
      </c>
      <c r="C39" s="504" t="s">
        <v>226</v>
      </c>
      <c r="D39" s="499" t="s">
        <v>436</v>
      </c>
      <c r="E39" s="499" t="s">
        <v>470</v>
      </c>
      <c r="F39" s="499" t="s">
        <v>471</v>
      </c>
      <c r="G39" s="522">
        <f t="shared" si="0"/>
        <v>56300</v>
      </c>
      <c r="H39" s="522">
        <f>0+30300</f>
        <v>30300</v>
      </c>
      <c r="I39" s="522">
        <f>J39</f>
        <v>26000</v>
      </c>
      <c r="J39" s="686">
        <f>0+26000</f>
        <v>26000</v>
      </c>
    </row>
    <row r="40" spans="1:10" ht="63" customHeight="1" x14ac:dyDescent="0.25">
      <c r="A40" s="503" t="s">
        <v>435</v>
      </c>
      <c r="B40" s="498">
        <v>9800</v>
      </c>
      <c r="C40" s="504" t="s">
        <v>226</v>
      </c>
      <c r="D40" s="499" t="s">
        <v>436</v>
      </c>
      <c r="E40" s="499" t="s">
        <v>603</v>
      </c>
      <c r="F40" s="499" t="s">
        <v>647</v>
      </c>
      <c r="G40" s="522">
        <f t="shared" si="0"/>
        <v>6699900</v>
      </c>
      <c r="H40" s="522">
        <f>1299900+2000000</f>
        <v>3299900</v>
      </c>
      <c r="I40" s="522">
        <f>J40</f>
        <v>3400000</v>
      </c>
      <c r="J40" s="510">
        <f>0+900000+2500000</f>
        <v>3400000</v>
      </c>
    </row>
    <row r="41" spans="1:10" ht="69" customHeight="1" thickBot="1" x14ac:dyDescent="0.3">
      <c r="A41" s="511" t="s">
        <v>435</v>
      </c>
      <c r="B41" s="486">
        <v>9800</v>
      </c>
      <c r="C41" s="523" t="s">
        <v>226</v>
      </c>
      <c r="D41" s="506" t="s">
        <v>436</v>
      </c>
      <c r="E41" s="515" t="s">
        <v>483</v>
      </c>
      <c r="F41" s="506" t="s">
        <v>694</v>
      </c>
      <c r="G41" s="524">
        <f t="shared" si="0"/>
        <v>9000000</v>
      </c>
      <c r="H41" s="525">
        <f>4000000</f>
        <v>4000000</v>
      </c>
      <c r="I41" s="525">
        <f>J41</f>
        <v>5000000</v>
      </c>
      <c r="J41" s="526">
        <f>5000000</f>
        <v>5000000</v>
      </c>
    </row>
    <row r="42" spans="1:10" ht="49.5" customHeight="1" thickBot="1" x14ac:dyDescent="0.3">
      <c r="A42" s="487" t="s">
        <v>43</v>
      </c>
      <c r="B42" s="488" t="s">
        <v>16</v>
      </c>
      <c r="C42" s="488" t="s">
        <v>16</v>
      </c>
      <c r="D42" s="489" t="s">
        <v>44</v>
      </c>
      <c r="E42" s="490" t="s">
        <v>16</v>
      </c>
      <c r="F42" s="490" t="s">
        <v>16</v>
      </c>
      <c r="G42" s="491">
        <f t="shared" si="0"/>
        <v>21805144</v>
      </c>
      <c r="H42" s="491">
        <f>H43</f>
        <v>19134796</v>
      </c>
      <c r="I42" s="491">
        <f>I43</f>
        <v>2670348</v>
      </c>
      <c r="J42" s="492">
        <f>J43</f>
        <v>1049568</v>
      </c>
    </row>
    <row r="43" spans="1:10" ht="47.25" x14ac:dyDescent="0.25">
      <c r="A43" s="527" t="s">
        <v>45</v>
      </c>
      <c r="B43" s="528" t="s">
        <v>16</v>
      </c>
      <c r="C43" s="528" t="s">
        <v>16</v>
      </c>
      <c r="D43" s="495" t="s">
        <v>44</v>
      </c>
      <c r="E43" s="496" t="s">
        <v>16</v>
      </c>
      <c r="F43" s="496" t="s">
        <v>16</v>
      </c>
      <c r="G43" s="497">
        <f>H43+I43</f>
        <v>21805144</v>
      </c>
      <c r="H43" s="497">
        <f>H44+H45+H46+H47+H48+H49+H50+H53+H54+H56+H51+H52+H55</f>
        <v>19134796</v>
      </c>
      <c r="I43" s="497">
        <f>I44+I45+I46+I47+I48+I49+I50+I53+I54+I56+I51+I52</f>
        <v>2670348</v>
      </c>
      <c r="J43" s="508">
        <f t="shared" ref="J43" si="2">J44+J45+J46+J47+J48+J49+J50+J53+J54+J56+J51+J52</f>
        <v>1049568</v>
      </c>
    </row>
    <row r="44" spans="1:10" ht="63" x14ac:dyDescent="0.25">
      <c r="A44" s="442" t="s">
        <v>47</v>
      </c>
      <c r="B44" s="498">
        <v>1010</v>
      </c>
      <c r="C44" s="498" t="s">
        <v>49</v>
      </c>
      <c r="D44" s="509" t="s">
        <v>50</v>
      </c>
      <c r="E44" s="499" t="s">
        <v>154</v>
      </c>
      <c r="F44" s="499" t="s">
        <v>677</v>
      </c>
      <c r="G44" s="500">
        <f t="shared" si="0"/>
        <v>451865</v>
      </c>
      <c r="H44" s="500">
        <f>387671+22084+42110</f>
        <v>451865</v>
      </c>
      <c r="I44" s="500">
        <v>0</v>
      </c>
      <c r="J44" s="510">
        <v>0</v>
      </c>
    </row>
    <row r="45" spans="1:10" ht="63" x14ac:dyDescent="0.25">
      <c r="A45" s="442" t="s">
        <v>51</v>
      </c>
      <c r="B45" s="498" t="s">
        <v>52</v>
      </c>
      <c r="C45" s="498" t="s">
        <v>53</v>
      </c>
      <c r="D45" s="509" t="s">
        <v>54</v>
      </c>
      <c r="E45" s="499" t="s">
        <v>154</v>
      </c>
      <c r="F45" s="499" t="s">
        <v>677</v>
      </c>
      <c r="G45" s="500">
        <f t="shared" si="0"/>
        <v>14276788</v>
      </c>
      <c r="H45" s="500">
        <f>8402143+10757+499070-60261-30000+498000+175000+199750+3964258+618071</f>
        <v>14276788</v>
      </c>
      <c r="I45" s="500">
        <v>0</v>
      </c>
      <c r="J45" s="510">
        <v>0</v>
      </c>
    </row>
    <row r="46" spans="1:10" ht="70.5" customHeight="1" x14ac:dyDescent="0.25">
      <c r="A46" s="442" t="s">
        <v>55</v>
      </c>
      <c r="B46" s="498" t="s">
        <v>56</v>
      </c>
      <c r="C46" s="498" t="s">
        <v>57</v>
      </c>
      <c r="D46" s="509" t="s">
        <v>58</v>
      </c>
      <c r="E46" s="499" t="s">
        <v>154</v>
      </c>
      <c r="F46" s="499" t="s">
        <v>677</v>
      </c>
      <c r="G46" s="500">
        <f t="shared" si="0"/>
        <v>24260</v>
      </c>
      <c r="H46" s="500">
        <v>24260</v>
      </c>
      <c r="I46" s="500">
        <v>0</v>
      </c>
      <c r="J46" s="510">
        <v>0</v>
      </c>
    </row>
    <row r="47" spans="1:10" ht="63" x14ac:dyDescent="0.25">
      <c r="A47" s="442" t="s">
        <v>60</v>
      </c>
      <c r="B47" s="498" t="s">
        <v>61</v>
      </c>
      <c r="C47" s="498" t="s">
        <v>59</v>
      </c>
      <c r="D47" s="509" t="s">
        <v>62</v>
      </c>
      <c r="E47" s="499" t="s">
        <v>154</v>
      </c>
      <c r="F47" s="499" t="s">
        <v>677</v>
      </c>
      <c r="G47" s="500">
        <f t="shared" si="0"/>
        <v>69480</v>
      </c>
      <c r="H47" s="500">
        <f>14480+55000</f>
        <v>69480</v>
      </c>
      <c r="I47" s="500">
        <v>0</v>
      </c>
      <c r="J47" s="510">
        <v>0</v>
      </c>
    </row>
    <row r="48" spans="1:10" ht="63" x14ac:dyDescent="0.25">
      <c r="A48" s="442" t="s">
        <v>63</v>
      </c>
      <c r="B48" s="498" t="s">
        <v>64</v>
      </c>
      <c r="C48" s="498" t="s">
        <v>59</v>
      </c>
      <c r="D48" s="509" t="s">
        <v>65</v>
      </c>
      <c r="E48" s="499" t="s">
        <v>154</v>
      </c>
      <c r="F48" s="499" t="s">
        <v>677</v>
      </c>
      <c r="G48" s="500">
        <f t="shared" si="0"/>
        <v>4722</v>
      </c>
      <c r="H48" s="500">
        <f>3619+1103</f>
        <v>4722</v>
      </c>
      <c r="I48" s="500">
        <v>0</v>
      </c>
      <c r="J48" s="510">
        <v>0</v>
      </c>
    </row>
    <row r="49" spans="1:10" ht="63" x14ac:dyDescent="0.25">
      <c r="A49" s="442" t="s">
        <v>66</v>
      </c>
      <c r="B49" s="498" t="s">
        <v>67</v>
      </c>
      <c r="C49" s="498" t="s">
        <v>59</v>
      </c>
      <c r="D49" s="509" t="s">
        <v>68</v>
      </c>
      <c r="E49" s="499" t="s">
        <v>155</v>
      </c>
      <c r="F49" s="499" t="s">
        <v>677</v>
      </c>
      <c r="G49" s="500">
        <f t="shared" si="0"/>
        <v>4750</v>
      </c>
      <c r="H49" s="500">
        <v>4750</v>
      </c>
      <c r="I49" s="500">
        <v>0</v>
      </c>
      <c r="J49" s="510">
        <v>0</v>
      </c>
    </row>
    <row r="50" spans="1:10" ht="63" x14ac:dyDescent="0.25">
      <c r="A50" s="442" t="s">
        <v>66</v>
      </c>
      <c r="B50" s="498" t="s">
        <v>67</v>
      </c>
      <c r="C50" s="498" t="s">
        <v>59</v>
      </c>
      <c r="D50" s="509" t="s">
        <v>68</v>
      </c>
      <c r="E50" s="499" t="s">
        <v>262</v>
      </c>
      <c r="F50" s="499" t="s">
        <v>278</v>
      </c>
      <c r="G50" s="500">
        <f t="shared" si="0"/>
        <v>4187</v>
      </c>
      <c r="H50" s="500">
        <v>4187</v>
      </c>
      <c r="I50" s="500">
        <v>0</v>
      </c>
      <c r="J50" s="510">
        <v>0</v>
      </c>
    </row>
    <row r="51" spans="1:10" ht="113.25" customHeight="1" x14ac:dyDescent="0.25">
      <c r="A51" s="503" t="s">
        <v>624</v>
      </c>
      <c r="B51" s="498">
        <v>1181</v>
      </c>
      <c r="C51" s="504" t="s">
        <v>59</v>
      </c>
      <c r="D51" s="615" t="s">
        <v>625</v>
      </c>
      <c r="E51" s="499" t="s">
        <v>154</v>
      </c>
      <c r="F51" s="499" t="s">
        <v>677</v>
      </c>
      <c r="G51" s="500">
        <f t="shared" si="0"/>
        <v>449824</v>
      </c>
      <c r="H51" s="500">
        <v>449824</v>
      </c>
      <c r="I51" s="500">
        <f>J51</f>
        <v>0</v>
      </c>
      <c r="J51" s="510">
        <v>0</v>
      </c>
    </row>
    <row r="52" spans="1:10" ht="93.75" customHeight="1" x14ac:dyDescent="0.25">
      <c r="A52" s="604" t="s">
        <v>626</v>
      </c>
      <c r="B52" s="545" t="s">
        <v>627</v>
      </c>
      <c r="C52" s="545" t="s">
        <v>59</v>
      </c>
      <c r="D52" s="616" t="s">
        <v>628</v>
      </c>
      <c r="E52" s="499" t="s">
        <v>154</v>
      </c>
      <c r="F52" s="499" t="s">
        <v>677</v>
      </c>
      <c r="G52" s="500">
        <f t="shared" si="0"/>
        <v>1049568</v>
      </c>
      <c r="H52" s="507">
        <v>0</v>
      </c>
      <c r="I52" s="500">
        <f>J52</f>
        <v>1049568</v>
      </c>
      <c r="J52" s="617">
        <v>1049568</v>
      </c>
    </row>
    <row r="53" spans="1:10" ht="156" customHeight="1" x14ac:dyDescent="0.25">
      <c r="A53" s="511" t="s">
        <v>439</v>
      </c>
      <c r="B53" s="486">
        <v>1291</v>
      </c>
      <c r="C53" s="486" t="s">
        <v>59</v>
      </c>
      <c r="D53" s="530" t="s">
        <v>437</v>
      </c>
      <c r="E53" s="515" t="s">
        <v>155</v>
      </c>
      <c r="F53" s="499" t="s">
        <v>677</v>
      </c>
      <c r="G53" s="529">
        <f t="shared" si="0"/>
        <v>694620</v>
      </c>
      <c r="H53" s="529">
        <f>298620+396000</f>
        <v>694620</v>
      </c>
      <c r="I53" s="507">
        <v>0</v>
      </c>
      <c r="J53" s="551">
        <v>0</v>
      </c>
    </row>
    <row r="54" spans="1:10" ht="147" customHeight="1" x14ac:dyDescent="0.25">
      <c r="A54" s="503" t="s">
        <v>440</v>
      </c>
      <c r="B54" s="498">
        <v>1292</v>
      </c>
      <c r="C54" s="498" t="s">
        <v>59</v>
      </c>
      <c r="D54" s="499" t="s">
        <v>438</v>
      </c>
      <c r="E54" s="499" t="s">
        <v>155</v>
      </c>
      <c r="F54" s="499" t="s">
        <v>677</v>
      </c>
      <c r="G54" s="500">
        <f t="shared" si="0"/>
        <v>1620780</v>
      </c>
      <c r="H54" s="500">
        <v>0</v>
      </c>
      <c r="I54" s="500">
        <f>696780+924000</f>
        <v>1620780</v>
      </c>
      <c r="J54" s="510">
        <v>0</v>
      </c>
    </row>
    <row r="55" spans="1:10" ht="93" customHeight="1" x14ac:dyDescent="0.25">
      <c r="A55" s="503" t="s">
        <v>639</v>
      </c>
      <c r="B55" s="498">
        <v>1403</v>
      </c>
      <c r="C55" s="498" t="s">
        <v>59</v>
      </c>
      <c r="D55" s="499" t="s">
        <v>640</v>
      </c>
      <c r="E55" s="499" t="s">
        <v>155</v>
      </c>
      <c r="F55" s="499" t="s">
        <v>677</v>
      </c>
      <c r="G55" s="500">
        <f t="shared" si="0"/>
        <v>2289800</v>
      </c>
      <c r="H55" s="500">
        <f>2278000+11800</f>
        <v>2289800</v>
      </c>
      <c r="I55" s="500">
        <v>0</v>
      </c>
      <c r="J55" s="510">
        <v>0</v>
      </c>
    </row>
    <row r="56" spans="1:10" s="482" customFormat="1" ht="95.25" thickBot="1" x14ac:dyDescent="0.3">
      <c r="A56" s="511" t="s">
        <v>478</v>
      </c>
      <c r="B56" s="486">
        <v>3140</v>
      </c>
      <c r="C56" s="486">
        <v>1040</v>
      </c>
      <c r="D56" s="530" t="s">
        <v>479</v>
      </c>
      <c r="E56" s="515" t="s">
        <v>484</v>
      </c>
      <c r="F56" s="515" t="s">
        <v>496</v>
      </c>
      <c r="G56" s="507">
        <f t="shared" si="0"/>
        <v>864500</v>
      </c>
      <c r="H56" s="529">
        <f>1300000-230000-205500</f>
        <v>864500</v>
      </c>
      <c r="I56" s="529">
        <v>0</v>
      </c>
      <c r="J56" s="526">
        <v>0</v>
      </c>
    </row>
    <row r="57" spans="1:10" ht="48" thickBot="1" x14ac:dyDescent="0.3">
      <c r="A57" s="487" t="s">
        <v>70</v>
      </c>
      <c r="B57" s="488" t="s">
        <v>16</v>
      </c>
      <c r="C57" s="488" t="s">
        <v>16</v>
      </c>
      <c r="D57" s="489" t="s">
        <v>71</v>
      </c>
      <c r="E57" s="490" t="s">
        <v>16</v>
      </c>
      <c r="F57" s="490" t="s">
        <v>16</v>
      </c>
      <c r="G57" s="491">
        <f t="shared" si="0"/>
        <v>22812451</v>
      </c>
      <c r="H57" s="491">
        <f>H58</f>
        <v>22812451</v>
      </c>
      <c r="I57" s="491">
        <f>I58</f>
        <v>0</v>
      </c>
      <c r="J57" s="492">
        <f>J58</f>
        <v>0</v>
      </c>
    </row>
    <row r="58" spans="1:10" ht="45" customHeight="1" x14ac:dyDescent="0.25">
      <c r="A58" s="527" t="s">
        <v>72</v>
      </c>
      <c r="B58" s="528" t="s">
        <v>16</v>
      </c>
      <c r="C58" s="528" t="s">
        <v>16</v>
      </c>
      <c r="D58" s="495" t="s">
        <v>71</v>
      </c>
      <c r="E58" s="496" t="s">
        <v>16</v>
      </c>
      <c r="F58" s="496" t="s">
        <v>16</v>
      </c>
      <c r="G58" s="497">
        <f>H58+I58</f>
        <v>22812451</v>
      </c>
      <c r="H58" s="497">
        <f>H59+H60+H61+H64+H62+H63</f>
        <v>22812451</v>
      </c>
      <c r="I58" s="497">
        <f>I59+I60+I64</f>
        <v>0</v>
      </c>
      <c r="J58" s="508">
        <f>J59+J60+J64</f>
        <v>0</v>
      </c>
    </row>
    <row r="59" spans="1:10" ht="94.5" x14ac:dyDescent="0.25">
      <c r="A59" s="442" t="s">
        <v>73</v>
      </c>
      <c r="B59" s="498" t="s">
        <v>74</v>
      </c>
      <c r="C59" s="498" t="s">
        <v>75</v>
      </c>
      <c r="D59" s="509" t="s">
        <v>76</v>
      </c>
      <c r="E59" s="499" t="s">
        <v>242</v>
      </c>
      <c r="F59" s="499" t="s">
        <v>497</v>
      </c>
      <c r="G59" s="500">
        <f t="shared" si="0"/>
        <v>12750</v>
      </c>
      <c r="H59" s="500">
        <v>12750</v>
      </c>
      <c r="I59" s="500">
        <v>0</v>
      </c>
      <c r="J59" s="510">
        <v>0</v>
      </c>
    </row>
    <row r="60" spans="1:10" ht="94.5" x14ac:dyDescent="0.25">
      <c r="A60" s="442" t="s">
        <v>77</v>
      </c>
      <c r="B60" s="498" t="s">
        <v>78</v>
      </c>
      <c r="C60" s="498" t="s">
        <v>56</v>
      </c>
      <c r="D60" s="509" t="s">
        <v>79</v>
      </c>
      <c r="E60" s="499" t="s">
        <v>242</v>
      </c>
      <c r="F60" s="499" t="s">
        <v>497</v>
      </c>
      <c r="G60" s="500">
        <f t="shared" si="0"/>
        <v>8400</v>
      </c>
      <c r="H60" s="500">
        <v>8400</v>
      </c>
      <c r="I60" s="500">
        <v>0</v>
      </c>
      <c r="J60" s="510">
        <v>0</v>
      </c>
    </row>
    <row r="61" spans="1:10" ht="110.25" x14ac:dyDescent="0.25">
      <c r="A61" s="503" t="s">
        <v>189</v>
      </c>
      <c r="B61" s="498">
        <v>3105</v>
      </c>
      <c r="C61" s="498">
        <v>1010</v>
      </c>
      <c r="D61" s="509" t="s">
        <v>191</v>
      </c>
      <c r="E61" s="499" t="s">
        <v>486</v>
      </c>
      <c r="F61" s="499" t="s">
        <v>487</v>
      </c>
      <c r="G61" s="500">
        <f t="shared" si="0"/>
        <v>12401</v>
      </c>
      <c r="H61" s="500">
        <v>12401</v>
      </c>
      <c r="I61" s="500">
        <v>0</v>
      </c>
      <c r="J61" s="510">
        <v>0</v>
      </c>
    </row>
    <row r="62" spans="1:10" ht="63" x14ac:dyDescent="0.25">
      <c r="A62" s="442">
        <v>813241</v>
      </c>
      <c r="B62" s="498">
        <v>3241</v>
      </c>
      <c r="C62" s="498">
        <v>1090</v>
      </c>
      <c r="D62" s="509" t="s">
        <v>197</v>
      </c>
      <c r="E62" s="499" t="s">
        <v>156</v>
      </c>
      <c r="F62" s="499" t="s">
        <v>498</v>
      </c>
      <c r="G62" s="500">
        <f t="shared" si="0"/>
        <v>71000</v>
      </c>
      <c r="H62" s="500">
        <v>71000</v>
      </c>
      <c r="I62" s="500">
        <v>0</v>
      </c>
      <c r="J62" s="510">
        <v>0</v>
      </c>
    </row>
    <row r="63" spans="1:10" ht="66" customHeight="1" x14ac:dyDescent="0.25">
      <c r="A63" s="442" t="s">
        <v>81</v>
      </c>
      <c r="B63" s="498" t="s">
        <v>82</v>
      </c>
      <c r="C63" s="498" t="s">
        <v>80</v>
      </c>
      <c r="D63" s="509" t="s">
        <v>83</v>
      </c>
      <c r="E63" s="499" t="s">
        <v>248</v>
      </c>
      <c r="F63" s="499" t="s">
        <v>651</v>
      </c>
      <c r="G63" s="500">
        <f t="shared" si="0"/>
        <v>20407900</v>
      </c>
      <c r="H63" s="500">
        <f>16607900+1000000+1600000+1200000</f>
        <v>20407900</v>
      </c>
      <c r="I63" s="500">
        <v>0</v>
      </c>
      <c r="J63" s="510">
        <v>0</v>
      </c>
    </row>
    <row r="64" spans="1:10" ht="126.75" thickBot="1" x14ac:dyDescent="0.3">
      <c r="A64" s="519" t="s">
        <v>81</v>
      </c>
      <c r="B64" s="512" t="s">
        <v>82</v>
      </c>
      <c r="C64" s="512" t="s">
        <v>80</v>
      </c>
      <c r="D64" s="514" t="s">
        <v>83</v>
      </c>
      <c r="E64" s="516" t="s">
        <v>243</v>
      </c>
      <c r="F64" s="499" t="s">
        <v>493</v>
      </c>
      <c r="G64" s="517">
        <f t="shared" si="0"/>
        <v>2300000</v>
      </c>
      <c r="H64" s="517">
        <f>1800000+500000</f>
        <v>2300000</v>
      </c>
      <c r="I64" s="517">
        <v>0</v>
      </c>
      <c r="J64" s="518">
        <v>0</v>
      </c>
    </row>
    <row r="65" spans="1:10" ht="60" customHeight="1" thickBot="1" x14ac:dyDescent="0.3">
      <c r="A65" s="487" t="s">
        <v>84</v>
      </c>
      <c r="B65" s="488" t="s">
        <v>16</v>
      </c>
      <c r="C65" s="488" t="s">
        <v>16</v>
      </c>
      <c r="D65" s="489" t="s">
        <v>85</v>
      </c>
      <c r="E65" s="490" t="s">
        <v>16</v>
      </c>
      <c r="F65" s="490" t="s">
        <v>16</v>
      </c>
      <c r="G65" s="491">
        <f t="shared" si="0"/>
        <v>32000</v>
      </c>
      <c r="H65" s="491">
        <f t="shared" ref="H65:J66" si="3">H66</f>
        <v>32000</v>
      </c>
      <c r="I65" s="491">
        <f t="shared" si="3"/>
        <v>0</v>
      </c>
      <c r="J65" s="492">
        <f t="shared" si="3"/>
        <v>0</v>
      </c>
    </row>
    <row r="66" spans="1:10" ht="47.25" x14ac:dyDescent="0.25">
      <c r="A66" s="493" t="s">
        <v>86</v>
      </c>
      <c r="B66" s="494" t="s">
        <v>16</v>
      </c>
      <c r="C66" s="494" t="s">
        <v>16</v>
      </c>
      <c r="D66" s="531" t="s">
        <v>85</v>
      </c>
      <c r="E66" s="532" t="s">
        <v>16</v>
      </c>
      <c r="F66" s="532" t="s">
        <v>16</v>
      </c>
      <c r="G66" s="533">
        <f>H66+I66</f>
        <v>32000</v>
      </c>
      <c r="H66" s="533">
        <f t="shared" si="3"/>
        <v>32000</v>
      </c>
      <c r="I66" s="533">
        <f t="shared" si="3"/>
        <v>0</v>
      </c>
      <c r="J66" s="534">
        <f t="shared" si="3"/>
        <v>0</v>
      </c>
    </row>
    <row r="67" spans="1:10" ht="63.75" thickBot="1" x14ac:dyDescent="0.3">
      <c r="A67" s="535" t="s">
        <v>87</v>
      </c>
      <c r="B67" s="763" t="s">
        <v>88</v>
      </c>
      <c r="C67" s="763" t="s">
        <v>69</v>
      </c>
      <c r="D67" s="536" t="s">
        <v>89</v>
      </c>
      <c r="E67" s="537" t="s">
        <v>235</v>
      </c>
      <c r="F67" s="537" t="s">
        <v>499</v>
      </c>
      <c r="G67" s="538">
        <f>H67</f>
        <v>32000</v>
      </c>
      <c r="H67" s="538">
        <v>32000</v>
      </c>
      <c r="I67" s="538">
        <v>0</v>
      </c>
      <c r="J67" s="539">
        <v>0</v>
      </c>
    </row>
    <row r="68" spans="1:10" ht="63.75" thickBot="1" x14ac:dyDescent="0.3">
      <c r="A68" s="487" t="s">
        <v>90</v>
      </c>
      <c r="B68" s="488" t="s">
        <v>16</v>
      </c>
      <c r="C68" s="488" t="s">
        <v>16</v>
      </c>
      <c r="D68" s="489" t="s">
        <v>91</v>
      </c>
      <c r="E68" s="490" t="s">
        <v>16</v>
      </c>
      <c r="F68" s="490" t="s">
        <v>16</v>
      </c>
      <c r="G68" s="491">
        <f t="shared" si="0"/>
        <v>34095476</v>
      </c>
      <c r="H68" s="491">
        <f>H69</f>
        <v>32501476</v>
      </c>
      <c r="I68" s="491">
        <f>I69</f>
        <v>1594000</v>
      </c>
      <c r="J68" s="492">
        <f>J69</f>
        <v>1594000</v>
      </c>
    </row>
    <row r="69" spans="1:10" ht="63" x14ac:dyDescent="0.25">
      <c r="A69" s="527" t="s">
        <v>92</v>
      </c>
      <c r="B69" s="528" t="s">
        <v>16</v>
      </c>
      <c r="C69" s="528" t="s">
        <v>16</v>
      </c>
      <c r="D69" s="495" t="s">
        <v>91</v>
      </c>
      <c r="E69" s="496" t="s">
        <v>16</v>
      </c>
      <c r="F69" s="496" t="s">
        <v>16</v>
      </c>
      <c r="G69" s="497">
        <f>H69+I69</f>
        <v>34095476</v>
      </c>
      <c r="H69" s="497">
        <f>H70+H72+H73+H74+H75+H76+H77+H78+H80+H81+H79+H82+H71</f>
        <v>32501476</v>
      </c>
      <c r="I69" s="497">
        <f>I70+I72+I73+I74+I75+I76+I77+I78+I80+I81+I79</f>
        <v>1594000</v>
      </c>
      <c r="J69" s="508">
        <f>J70+J72+J73+J74+J75+J76+J77+J78+J80+J81+J79</f>
        <v>1594000</v>
      </c>
    </row>
    <row r="70" spans="1:10" ht="63" x14ac:dyDescent="0.25">
      <c r="A70" s="442" t="s">
        <v>93</v>
      </c>
      <c r="B70" s="498" t="s">
        <v>94</v>
      </c>
      <c r="C70" s="498" t="s">
        <v>57</v>
      </c>
      <c r="D70" s="509" t="s">
        <v>95</v>
      </c>
      <c r="E70" s="499" t="s">
        <v>157</v>
      </c>
      <c r="F70" s="499" t="s">
        <v>500</v>
      </c>
      <c r="G70" s="500">
        <f t="shared" si="0"/>
        <v>22500</v>
      </c>
      <c r="H70" s="500">
        <v>22500</v>
      </c>
      <c r="I70" s="500">
        <v>0</v>
      </c>
      <c r="J70" s="510">
        <v>0</v>
      </c>
    </row>
    <row r="71" spans="1:10" ht="63" x14ac:dyDescent="0.25">
      <c r="A71" s="442" t="s">
        <v>96</v>
      </c>
      <c r="B71" s="498" t="s">
        <v>97</v>
      </c>
      <c r="C71" s="498" t="s">
        <v>69</v>
      </c>
      <c r="D71" s="509" t="s">
        <v>98</v>
      </c>
      <c r="E71" s="499" t="s">
        <v>262</v>
      </c>
      <c r="F71" s="499" t="s">
        <v>278</v>
      </c>
      <c r="G71" s="500">
        <f t="shared" si="0"/>
        <v>29026</v>
      </c>
      <c r="H71" s="500">
        <v>29026</v>
      </c>
      <c r="I71" s="500">
        <v>0</v>
      </c>
      <c r="J71" s="510">
        <v>0</v>
      </c>
    </row>
    <row r="72" spans="1:10" ht="63" x14ac:dyDescent="0.25">
      <c r="A72" s="442" t="s">
        <v>96</v>
      </c>
      <c r="B72" s="498" t="s">
        <v>97</v>
      </c>
      <c r="C72" s="498" t="s">
        <v>69</v>
      </c>
      <c r="D72" s="509" t="s">
        <v>98</v>
      </c>
      <c r="E72" s="499" t="s">
        <v>156</v>
      </c>
      <c r="F72" s="499" t="s">
        <v>501</v>
      </c>
      <c r="G72" s="500">
        <f t="shared" si="0"/>
        <v>211500</v>
      </c>
      <c r="H72" s="500">
        <v>211500</v>
      </c>
      <c r="I72" s="500">
        <v>0</v>
      </c>
      <c r="J72" s="510">
        <v>0</v>
      </c>
    </row>
    <row r="73" spans="1:10" ht="63" x14ac:dyDescent="0.25">
      <c r="A73" s="442" t="s">
        <v>99</v>
      </c>
      <c r="B73" s="498" t="s">
        <v>100</v>
      </c>
      <c r="C73" s="498" t="s">
        <v>101</v>
      </c>
      <c r="D73" s="509" t="s">
        <v>102</v>
      </c>
      <c r="E73" s="499" t="s">
        <v>157</v>
      </c>
      <c r="F73" s="499" t="s">
        <v>500</v>
      </c>
      <c r="G73" s="500">
        <f t="shared" si="0"/>
        <v>8000</v>
      </c>
      <c r="H73" s="500">
        <v>8000</v>
      </c>
      <c r="I73" s="500">
        <v>0</v>
      </c>
      <c r="J73" s="510">
        <v>0</v>
      </c>
    </row>
    <row r="74" spans="1:10" ht="69.599999999999994" customHeight="1" x14ac:dyDescent="0.25">
      <c r="A74" s="442" t="s">
        <v>103</v>
      </c>
      <c r="B74" s="498" t="s">
        <v>104</v>
      </c>
      <c r="C74" s="498" t="s">
        <v>101</v>
      </c>
      <c r="D74" s="509" t="s">
        <v>105</v>
      </c>
      <c r="E74" s="499" t="s">
        <v>157</v>
      </c>
      <c r="F74" s="499" t="s">
        <v>500</v>
      </c>
      <c r="G74" s="500">
        <f t="shared" si="0"/>
        <v>3000</v>
      </c>
      <c r="H74" s="500">
        <v>3000</v>
      </c>
      <c r="I74" s="500">
        <v>0</v>
      </c>
      <c r="J74" s="510">
        <v>0</v>
      </c>
    </row>
    <row r="75" spans="1:10" ht="63" customHeight="1" x14ac:dyDescent="0.25">
      <c r="A75" s="442" t="s">
        <v>106</v>
      </c>
      <c r="B75" s="498" t="s">
        <v>107</v>
      </c>
      <c r="C75" s="498" t="s">
        <v>108</v>
      </c>
      <c r="D75" s="509" t="s">
        <v>109</v>
      </c>
      <c r="E75" s="499" t="s">
        <v>157</v>
      </c>
      <c r="F75" s="499" t="s">
        <v>500</v>
      </c>
      <c r="G75" s="500">
        <f t="shared" si="0"/>
        <v>25700</v>
      </c>
      <c r="H75" s="500">
        <v>25700</v>
      </c>
      <c r="I75" s="500">
        <v>0</v>
      </c>
      <c r="J75" s="510">
        <v>0</v>
      </c>
    </row>
    <row r="76" spans="1:10" ht="69" customHeight="1" x14ac:dyDescent="0.25">
      <c r="A76" s="442" t="s">
        <v>111</v>
      </c>
      <c r="B76" s="498" t="s">
        <v>112</v>
      </c>
      <c r="C76" s="498" t="s">
        <v>110</v>
      </c>
      <c r="D76" s="509" t="s">
        <v>113</v>
      </c>
      <c r="E76" s="499" t="s">
        <v>157</v>
      </c>
      <c r="F76" s="499" t="s">
        <v>500</v>
      </c>
      <c r="G76" s="500">
        <f t="shared" si="0"/>
        <v>194000</v>
      </c>
      <c r="H76" s="500">
        <v>194000</v>
      </c>
      <c r="I76" s="500">
        <v>0</v>
      </c>
      <c r="J76" s="510">
        <v>0</v>
      </c>
    </row>
    <row r="77" spans="1:10" ht="63.6" customHeight="1" x14ac:dyDescent="0.25">
      <c r="A77" s="442" t="s">
        <v>114</v>
      </c>
      <c r="B77" s="498" t="s">
        <v>115</v>
      </c>
      <c r="C77" s="498" t="s">
        <v>116</v>
      </c>
      <c r="D77" s="509" t="s">
        <v>117</v>
      </c>
      <c r="E77" s="499" t="s">
        <v>238</v>
      </c>
      <c r="F77" s="499" t="s">
        <v>678</v>
      </c>
      <c r="G77" s="500">
        <f t="shared" si="0"/>
        <v>32750</v>
      </c>
      <c r="H77" s="500">
        <v>32750</v>
      </c>
      <c r="I77" s="500">
        <v>0</v>
      </c>
      <c r="J77" s="510">
        <v>0</v>
      </c>
    </row>
    <row r="78" spans="1:10" ht="67.900000000000006" customHeight="1" x14ac:dyDescent="0.25">
      <c r="A78" s="442" t="s">
        <v>118</v>
      </c>
      <c r="B78" s="498" t="s">
        <v>119</v>
      </c>
      <c r="C78" s="498" t="s">
        <v>116</v>
      </c>
      <c r="D78" s="509" t="s">
        <v>120</v>
      </c>
      <c r="E78" s="499" t="s">
        <v>238</v>
      </c>
      <c r="F78" s="499" t="s">
        <v>678</v>
      </c>
      <c r="G78" s="500">
        <f t="shared" si="0"/>
        <v>1667729</v>
      </c>
      <c r="H78" s="500">
        <f>1010000+495330+162399</f>
        <v>1667729</v>
      </c>
      <c r="I78" s="500">
        <v>0</v>
      </c>
      <c r="J78" s="510">
        <v>0</v>
      </c>
    </row>
    <row r="79" spans="1:10" s="618" customFormat="1" ht="63" x14ac:dyDescent="0.25">
      <c r="A79" s="540">
        <v>1015041</v>
      </c>
      <c r="B79" s="541">
        <v>5041</v>
      </c>
      <c r="C79" s="541" t="s">
        <v>116</v>
      </c>
      <c r="D79" s="542" t="s">
        <v>161</v>
      </c>
      <c r="E79" s="499" t="s">
        <v>238</v>
      </c>
      <c r="F79" s="499" t="s">
        <v>678</v>
      </c>
      <c r="G79" s="500">
        <f t="shared" si="0"/>
        <v>30042040</v>
      </c>
      <c r="H79" s="500">
        <f>25268036+3180004</f>
        <v>28448040</v>
      </c>
      <c r="I79" s="500">
        <v>1594000</v>
      </c>
      <c r="J79" s="510">
        <f>0+1594000</f>
        <v>1594000</v>
      </c>
    </row>
    <row r="80" spans="1:10" ht="78.75" x14ac:dyDescent="0.25">
      <c r="A80" s="442" t="s">
        <v>121</v>
      </c>
      <c r="B80" s="498" t="s">
        <v>122</v>
      </c>
      <c r="C80" s="498" t="s">
        <v>116</v>
      </c>
      <c r="D80" s="509" t="s">
        <v>123</v>
      </c>
      <c r="E80" s="499" t="s">
        <v>238</v>
      </c>
      <c r="F80" s="499" t="s">
        <v>678</v>
      </c>
      <c r="G80" s="500">
        <f t="shared" si="0"/>
        <v>1190931</v>
      </c>
      <c r="H80" s="500">
        <v>1190931</v>
      </c>
      <c r="I80" s="500">
        <v>0</v>
      </c>
      <c r="J80" s="510">
        <v>0</v>
      </c>
    </row>
    <row r="81" spans="1:10" ht="67.900000000000006" customHeight="1" x14ac:dyDescent="0.25">
      <c r="A81" s="442" t="s">
        <v>124</v>
      </c>
      <c r="B81" s="498" t="s">
        <v>125</v>
      </c>
      <c r="C81" s="498" t="s">
        <v>116</v>
      </c>
      <c r="D81" s="509" t="s">
        <v>126</v>
      </c>
      <c r="E81" s="499" t="s">
        <v>238</v>
      </c>
      <c r="F81" s="499" t="s">
        <v>678</v>
      </c>
      <c r="G81" s="500">
        <f>H81+I81</f>
        <v>566000</v>
      </c>
      <c r="H81" s="500">
        <f>558000-120000+128000</f>
        <v>566000</v>
      </c>
      <c r="I81" s="500">
        <v>0</v>
      </c>
      <c r="J81" s="510">
        <v>0</v>
      </c>
    </row>
    <row r="82" spans="1:10" ht="63.75" thickBot="1" x14ac:dyDescent="0.3">
      <c r="A82" s="485">
        <v>1018110</v>
      </c>
      <c r="B82" s="523">
        <v>8110</v>
      </c>
      <c r="C82" s="523" t="s">
        <v>239</v>
      </c>
      <c r="D82" s="543" t="s">
        <v>240</v>
      </c>
      <c r="E82" s="515" t="s">
        <v>241</v>
      </c>
      <c r="F82" s="41" t="s">
        <v>650</v>
      </c>
      <c r="G82" s="500">
        <f t="shared" si="0"/>
        <v>102300</v>
      </c>
      <c r="H82" s="529">
        <f>102300-100800+100800</f>
        <v>102300</v>
      </c>
      <c r="I82" s="529">
        <v>0</v>
      </c>
      <c r="J82" s="526">
        <v>0</v>
      </c>
    </row>
    <row r="83" spans="1:10" ht="63.75" thickBot="1" x14ac:dyDescent="0.3">
      <c r="A83" s="487" t="s">
        <v>127</v>
      </c>
      <c r="B83" s="488" t="s">
        <v>16</v>
      </c>
      <c r="C83" s="488" t="s">
        <v>16</v>
      </c>
      <c r="D83" s="489" t="s">
        <v>128</v>
      </c>
      <c r="E83" s="490" t="s">
        <v>16</v>
      </c>
      <c r="F83" s="490" t="s">
        <v>16</v>
      </c>
      <c r="G83" s="491">
        <f>H83+I83</f>
        <v>76611210</v>
      </c>
      <c r="H83" s="491">
        <f>H84</f>
        <v>65827110</v>
      </c>
      <c r="I83" s="491">
        <f>I84</f>
        <v>10784100</v>
      </c>
      <c r="J83" s="492">
        <f>J84</f>
        <v>10424500</v>
      </c>
    </row>
    <row r="84" spans="1:10" ht="61.5" customHeight="1" x14ac:dyDescent="0.25">
      <c r="A84" s="544">
        <v>1210000</v>
      </c>
      <c r="B84" s="494" t="s">
        <v>16</v>
      </c>
      <c r="C84" s="494" t="s">
        <v>16</v>
      </c>
      <c r="D84" s="531" t="s">
        <v>128</v>
      </c>
      <c r="E84" s="532" t="s">
        <v>16</v>
      </c>
      <c r="F84" s="532" t="s">
        <v>16</v>
      </c>
      <c r="G84" s="533">
        <f>H84+I84</f>
        <v>76611210</v>
      </c>
      <c r="H84" s="533">
        <f>H85+H86+H87+H89+H92+H93+H96+H94+H90+H91+H95</f>
        <v>65827110</v>
      </c>
      <c r="I84" s="533">
        <f>I85+I86+I87+I89+I92+I93+I96+I90+I91+I88</f>
        <v>10784100</v>
      </c>
      <c r="J84" s="534">
        <f>J85+J86+J87+J89+J92+J93+J96+J90+J91+J88</f>
        <v>10424500</v>
      </c>
    </row>
    <row r="85" spans="1:10" ht="63" x14ac:dyDescent="0.25">
      <c r="A85" s="442" t="s">
        <v>131</v>
      </c>
      <c r="B85" s="498" t="s">
        <v>132</v>
      </c>
      <c r="C85" s="498" t="s">
        <v>133</v>
      </c>
      <c r="D85" s="509" t="s">
        <v>134</v>
      </c>
      <c r="E85" s="499" t="s">
        <v>158</v>
      </c>
      <c r="F85" s="499" t="s">
        <v>680</v>
      </c>
      <c r="G85" s="500">
        <f t="shared" si="0"/>
        <v>8474</v>
      </c>
      <c r="H85" s="500">
        <v>8474</v>
      </c>
      <c r="I85" s="500">
        <v>0</v>
      </c>
      <c r="J85" s="510">
        <v>0</v>
      </c>
    </row>
    <row r="86" spans="1:10" ht="63" x14ac:dyDescent="0.25">
      <c r="A86" s="442">
        <v>1216012</v>
      </c>
      <c r="B86" s="498">
        <v>6012</v>
      </c>
      <c r="C86" s="504" t="s">
        <v>29</v>
      </c>
      <c r="D86" s="505" t="s">
        <v>244</v>
      </c>
      <c r="E86" s="499" t="s">
        <v>158</v>
      </c>
      <c r="F86" s="499" t="s">
        <v>680</v>
      </c>
      <c r="G86" s="500">
        <f t="shared" si="0"/>
        <v>5671150</v>
      </c>
      <c r="H86" s="500">
        <f>13000000-7328850</f>
        <v>5671150</v>
      </c>
      <c r="I86" s="500">
        <v>0</v>
      </c>
      <c r="J86" s="510">
        <v>0</v>
      </c>
    </row>
    <row r="87" spans="1:10" ht="63" x14ac:dyDescent="0.25">
      <c r="A87" s="442" t="s">
        <v>135</v>
      </c>
      <c r="B87" s="498" t="s">
        <v>136</v>
      </c>
      <c r="C87" s="498" t="s">
        <v>29</v>
      </c>
      <c r="D87" s="509" t="s">
        <v>137</v>
      </c>
      <c r="E87" s="499" t="s">
        <v>158</v>
      </c>
      <c r="F87" s="499" t="s">
        <v>680</v>
      </c>
      <c r="G87" s="500">
        <f t="shared" si="0"/>
        <v>1231641</v>
      </c>
      <c r="H87" s="500">
        <v>1231641</v>
      </c>
      <c r="I87" s="500">
        <v>0</v>
      </c>
      <c r="J87" s="510">
        <v>0</v>
      </c>
    </row>
    <row r="88" spans="1:10" ht="63" x14ac:dyDescent="0.25">
      <c r="A88" s="442">
        <v>1216014</v>
      </c>
      <c r="B88" s="498">
        <v>6014</v>
      </c>
      <c r="C88" s="498" t="s">
        <v>29</v>
      </c>
      <c r="D88" s="509" t="s">
        <v>448</v>
      </c>
      <c r="E88" s="499" t="s">
        <v>158</v>
      </c>
      <c r="F88" s="499" t="s">
        <v>680</v>
      </c>
      <c r="G88" s="500">
        <f t="shared" si="0"/>
        <v>5400000</v>
      </c>
      <c r="H88" s="500">
        <v>0</v>
      </c>
      <c r="I88" s="500">
        <v>5400000</v>
      </c>
      <c r="J88" s="510">
        <v>5400000</v>
      </c>
    </row>
    <row r="89" spans="1:10" ht="75" customHeight="1" x14ac:dyDescent="0.25">
      <c r="A89" s="442" t="s">
        <v>138</v>
      </c>
      <c r="B89" s="498" t="s">
        <v>28</v>
      </c>
      <c r="C89" s="498" t="s">
        <v>29</v>
      </c>
      <c r="D89" s="509" t="s">
        <v>30</v>
      </c>
      <c r="E89" s="499" t="s">
        <v>158</v>
      </c>
      <c r="F89" s="499" t="s">
        <v>680</v>
      </c>
      <c r="G89" s="500">
        <f t="shared" si="0"/>
        <v>51723690</v>
      </c>
      <c r="H89" s="500">
        <f>35374609+45564+6418944-6418944+478735+692416+1808000+8364366-64500</f>
        <v>46699190</v>
      </c>
      <c r="I89" s="500">
        <f>J89</f>
        <v>5024500</v>
      </c>
      <c r="J89" s="510">
        <f>0+4960000+64500</f>
        <v>5024500</v>
      </c>
    </row>
    <row r="90" spans="1:10" ht="78.75" x14ac:dyDescent="0.25">
      <c r="A90" s="442" t="s">
        <v>138</v>
      </c>
      <c r="B90" s="498" t="s">
        <v>28</v>
      </c>
      <c r="C90" s="498" t="s">
        <v>29</v>
      </c>
      <c r="D90" s="509" t="s">
        <v>30</v>
      </c>
      <c r="E90" s="499" t="s">
        <v>252</v>
      </c>
      <c r="F90" s="499" t="s">
        <v>614</v>
      </c>
      <c r="G90" s="500">
        <f t="shared" si="0"/>
        <v>721500</v>
      </c>
      <c r="H90" s="507">
        <f>0+721500</f>
        <v>721500</v>
      </c>
      <c r="I90" s="500">
        <v>0</v>
      </c>
      <c r="J90" s="510">
        <v>0</v>
      </c>
    </row>
    <row r="91" spans="1:10" ht="63" x14ac:dyDescent="0.25">
      <c r="A91" s="442" t="s">
        <v>138</v>
      </c>
      <c r="B91" s="498" t="s">
        <v>28</v>
      </c>
      <c r="C91" s="498" t="s">
        <v>29</v>
      </c>
      <c r="D91" s="509" t="s">
        <v>30</v>
      </c>
      <c r="E91" s="499" t="s">
        <v>604</v>
      </c>
      <c r="F91" s="499" t="s">
        <v>605</v>
      </c>
      <c r="G91" s="500">
        <f t="shared" si="0"/>
        <v>127967</v>
      </c>
      <c r="H91" s="507">
        <f>0+127967</f>
        <v>127967</v>
      </c>
      <c r="I91" s="500">
        <v>0</v>
      </c>
      <c r="J91" s="510">
        <v>0</v>
      </c>
    </row>
    <row r="92" spans="1:10" ht="173.25" x14ac:dyDescent="0.25">
      <c r="A92" s="442">
        <v>1216071</v>
      </c>
      <c r="B92" s="498">
        <v>6071</v>
      </c>
      <c r="C92" s="504" t="s">
        <v>279</v>
      </c>
      <c r="D92" s="509" t="s">
        <v>277</v>
      </c>
      <c r="E92" s="499" t="s">
        <v>158</v>
      </c>
      <c r="F92" s="499" t="s">
        <v>680</v>
      </c>
      <c r="G92" s="500">
        <f t="shared" si="0"/>
        <v>7164584</v>
      </c>
      <c r="H92" s="500">
        <f>0+7328850+956519-1120785</f>
        <v>7164584</v>
      </c>
      <c r="I92" s="500">
        <v>0</v>
      </c>
      <c r="J92" s="510">
        <v>0</v>
      </c>
    </row>
    <row r="93" spans="1:10" ht="63" x14ac:dyDescent="0.25">
      <c r="A93" s="540" t="s">
        <v>139</v>
      </c>
      <c r="B93" s="541" t="s">
        <v>140</v>
      </c>
      <c r="C93" s="541" t="s">
        <v>141</v>
      </c>
      <c r="D93" s="542" t="s">
        <v>142</v>
      </c>
      <c r="E93" s="506" t="s">
        <v>158</v>
      </c>
      <c r="F93" s="499" t="s">
        <v>680</v>
      </c>
      <c r="G93" s="507">
        <f t="shared" si="0"/>
        <v>2980221</v>
      </c>
      <c r="H93" s="507">
        <f>2286103+347845+379273-33000</f>
        <v>2980221</v>
      </c>
      <c r="I93" s="500">
        <v>0</v>
      </c>
      <c r="J93" s="510">
        <v>0</v>
      </c>
    </row>
    <row r="94" spans="1:10" ht="63" x14ac:dyDescent="0.25">
      <c r="A94" s="485">
        <v>1217693</v>
      </c>
      <c r="B94" s="486">
        <v>7693</v>
      </c>
      <c r="C94" s="513" t="s">
        <v>178</v>
      </c>
      <c r="D94" s="516" t="s">
        <v>445</v>
      </c>
      <c r="E94" s="499" t="s">
        <v>158</v>
      </c>
      <c r="F94" s="499" t="s">
        <v>680</v>
      </c>
      <c r="G94" s="507">
        <f t="shared" ref="G94:G96" si="4">H94+I94</f>
        <v>1138325</v>
      </c>
      <c r="H94" s="500">
        <f>0+1236594-98269</f>
        <v>1138325</v>
      </c>
      <c r="I94" s="517">
        <v>0</v>
      </c>
      <c r="J94" s="518">
        <v>0</v>
      </c>
    </row>
    <row r="95" spans="1:10" ht="96" customHeight="1" x14ac:dyDescent="0.25">
      <c r="A95" s="552" t="s">
        <v>657</v>
      </c>
      <c r="B95" s="512">
        <v>8240</v>
      </c>
      <c r="C95" s="513" t="s">
        <v>37</v>
      </c>
      <c r="D95" s="514" t="s">
        <v>652</v>
      </c>
      <c r="E95" s="672" t="s">
        <v>450</v>
      </c>
      <c r="F95" s="516" t="s">
        <v>664</v>
      </c>
      <c r="G95" s="507">
        <f t="shared" si="4"/>
        <v>84058</v>
      </c>
      <c r="H95" s="529">
        <f>58682+25376</f>
        <v>84058</v>
      </c>
      <c r="I95" s="517">
        <v>0</v>
      </c>
      <c r="J95" s="518">
        <v>0</v>
      </c>
    </row>
    <row r="96" spans="1:10" ht="64.5" customHeight="1" thickBot="1" x14ac:dyDescent="0.3">
      <c r="A96" s="519" t="s">
        <v>143</v>
      </c>
      <c r="B96" s="512" t="s">
        <v>144</v>
      </c>
      <c r="C96" s="512" t="s">
        <v>145</v>
      </c>
      <c r="D96" s="514" t="s">
        <v>146</v>
      </c>
      <c r="E96" s="516" t="s">
        <v>502</v>
      </c>
      <c r="F96" s="546" t="s">
        <v>249</v>
      </c>
      <c r="G96" s="517">
        <f t="shared" si="4"/>
        <v>359600</v>
      </c>
      <c r="H96" s="517">
        <v>0</v>
      </c>
      <c r="I96" s="517">
        <v>359600</v>
      </c>
      <c r="J96" s="518">
        <v>0</v>
      </c>
    </row>
    <row r="97" spans="1:10" ht="63.75" customHeight="1" thickBot="1" x14ac:dyDescent="0.3">
      <c r="A97" s="487" t="s">
        <v>147</v>
      </c>
      <c r="B97" s="488" t="s">
        <v>16</v>
      </c>
      <c r="C97" s="488" t="s">
        <v>16</v>
      </c>
      <c r="D97" s="489" t="s">
        <v>148</v>
      </c>
      <c r="E97" s="490" t="s">
        <v>16</v>
      </c>
      <c r="F97" s="490" t="s">
        <v>16</v>
      </c>
      <c r="G97" s="491">
        <f>H97+I97</f>
        <v>95487007</v>
      </c>
      <c r="H97" s="491">
        <f>H98</f>
        <v>0</v>
      </c>
      <c r="I97" s="491">
        <f>I98</f>
        <v>95487007</v>
      </c>
      <c r="J97" s="492">
        <f>J98</f>
        <v>95487007</v>
      </c>
    </row>
    <row r="98" spans="1:10" ht="61.5" customHeight="1" x14ac:dyDescent="0.25">
      <c r="A98" s="547">
        <v>1510000</v>
      </c>
      <c r="B98" s="528" t="s">
        <v>16</v>
      </c>
      <c r="C98" s="528" t="s">
        <v>16</v>
      </c>
      <c r="D98" s="495" t="s">
        <v>148</v>
      </c>
      <c r="E98" s="496" t="s">
        <v>16</v>
      </c>
      <c r="F98" s="496" t="s">
        <v>16</v>
      </c>
      <c r="G98" s="507">
        <f>H98+I98</f>
        <v>95487007</v>
      </c>
      <c r="H98" s="507">
        <f>H101+H104</f>
        <v>0</v>
      </c>
      <c r="I98" s="507">
        <f>I99+I100+I104+I101+I102+I105+I106+I108+I107+J109+I110+I103</f>
        <v>95487007</v>
      </c>
      <c r="J98" s="551">
        <f>J99+J100+J104+J101+J102+J105+J106+J108+J107+J109+J110+J103</f>
        <v>95487007</v>
      </c>
    </row>
    <row r="99" spans="1:10" ht="60" customHeight="1" x14ac:dyDescent="0.25">
      <c r="A99" s="442">
        <v>1511021</v>
      </c>
      <c r="B99" s="690">
        <v>1021</v>
      </c>
      <c r="C99" s="549" t="s">
        <v>53</v>
      </c>
      <c r="D99" s="550" t="s">
        <v>443</v>
      </c>
      <c r="E99" s="499" t="s">
        <v>290</v>
      </c>
      <c r="F99" s="516" t="s">
        <v>681</v>
      </c>
      <c r="G99" s="500">
        <f>H99+J99</f>
        <v>32434652</v>
      </c>
      <c r="H99" s="500">
        <v>0</v>
      </c>
      <c r="I99" s="500">
        <f>J99</f>
        <v>32434652</v>
      </c>
      <c r="J99" s="510">
        <f>0+200000+11205842+268825+4384884+874564+12345379-874564+4389729+618654+258243-896882-388420+48398</f>
        <v>32434652</v>
      </c>
    </row>
    <row r="100" spans="1:10" ht="67.5" customHeight="1" x14ac:dyDescent="0.25">
      <c r="A100" s="540">
        <v>1512010</v>
      </c>
      <c r="B100" s="548">
        <v>2010</v>
      </c>
      <c r="C100" s="549" t="s">
        <v>22</v>
      </c>
      <c r="D100" s="509" t="s">
        <v>23</v>
      </c>
      <c r="E100" s="516" t="s">
        <v>290</v>
      </c>
      <c r="F100" s="516" t="s">
        <v>681</v>
      </c>
      <c r="G100" s="507">
        <f>H100+J100</f>
        <v>103135</v>
      </c>
      <c r="H100" s="507">
        <v>0</v>
      </c>
      <c r="I100" s="507">
        <f>J100</f>
        <v>103135</v>
      </c>
      <c r="J100" s="551">
        <v>103135</v>
      </c>
    </row>
    <row r="101" spans="1:10" s="618" customFormat="1" ht="61.5" customHeight="1" x14ac:dyDescent="0.25">
      <c r="A101" s="255" t="s">
        <v>250</v>
      </c>
      <c r="B101" s="256" t="s">
        <v>107</v>
      </c>
      <c r="C101" s="549" t="s">
        <v>108</v>
      </c>
      <c r="D101" s="550" t="s">
        <v>251</v>
      </c>
      <c r="E101" s="499" t="s">
        <v>252</v>
      </c>
      <c r="F101" s="499" t="s">
        <v>614</v>
      </c>
      <c r="G101" s="507">
        <f t="shared" ref="G101:G110" si="5">H101+J101</f>
        <v>2478809</v>
      </c>
      <c r="H101" s="500">
        <v>0</v>
      </c>
      <c r="I101" s="507">
        <f t="shared" ref="I101:I107" si="6">J101</f>
        <v>2478809</v>
      </c>
      <c r="J101" s="510">
        <f>2295144-694188+1568308-690455</f>
        <v>2478809</v>
      </c>
    </row>
    <row r="102" spans="1:10" s="618" customFormat="1" ht="63" x14ac:dyDescent="0.25">
      <c r="A102" s="552" t="s">
        <v>260</v>
      </c>
      <c r="B102" s="553" t="s">
        <v>261</v>
      </c>
      <c r="C102" s="554" t="s">
        <v>29</v>
      </c>
      <c r="D102" s="555" t="s">
        <v>244</v>
      </c>
      <c r="E102" s="499" t="s">
        <v>158</v>
      </c>
      <c r="F102" s="499" t="s">
        <v>680</v>
      </c>
      <c r="G102" s="507">
        <f t="shared" si="5"/>
        <v>35969517</v>
      </c>
      <c r="H102" s="517">
        <v>0</v>
      </c>
      <c r="I102" s="507">
        <f t="shared" si="6"/>
        <v>35969517</v>
      </c>
      <c r="J102" s="687">
        <f>1444539-1444539+1497526+752140+1748351+2894056+1183600+182148+8935634+4000000+187450+10000000+98014+1134373+2704350+651875</f>
        <v>35969517</v>
      </c>
    </row>
    <row r="103" spans="1:10" s="618" customFormat="1" ht="67.900000000000006" customHeight="1" x14ac:dyDescent="0.25">
      <c r="A103" s="552" t="s">
        <v>606</v>
      </c>
      <c r="B103" s="553" t="s">
        <v>136</v>
      </c>
      <c r="C103" s="554" t="s">
        <v>29</v>
      </c>
      <c r="D103" s="555" t="s">
        <v>607</v>
      </c>
      <c r="E103" s="499" t="s">
        <v>158</v>
      </c>
      <c r="F103" s="499" t="s">
        <v>680</v>
      </c>
      <c r="G103" s="507">
        <f t="shared" si="5"/>
        <v>286222</v>
      </c>
      <c r="H103" s="517">
        <v>0</v>
      </c>
      <c r="I103" s="507">
        <f>J103</f>
        <v>286222</v>
      </c>
      <c r="J103" s="687">
        <f>60000+226222</f>
        <v>286222</v>
      </c>
    </row>
    <row r="104" spans="1:10" ht="60" customHeight="1" x14ac:dyDescent="0.25">
      <c r="A104" s="442">
        <v>1516030</v>
      </c>
      <c r="B104" s="498">
        <v>6030</v>
      </c>
      <c r="C104" s="504" t="s">
        <v>29</v>
      </c>
      <c r="D104" s="509" t="s">
        <v>30</v>
      </c>
      <c r="E104" s="499" t="s">
        <v>158</v>
      </c>
      <c r="F104" s="499" t="s">
        <v>680</v>
      </c>
      <c r="G104" s="507">
        <f t="shared" si="5"/>
        <v>6973969</v>
      </c>
      <c r="H104" s="500">
        <v>0</v>
      </c>
      <c r="I104" s="507">
        <f t="shared" si="6"/>
        <v>6973969</v>
      </c>
      <c r="J104" s="688">
        <f>497622+259844+253652+1104357+4003149-93145+549800+153683+67587+177420</f>
        <v>6973969</v>
      </c>
    </row>
    <row r="105" spans="1:10" ht="64.5" customHeight="1" x14ac:dyDescent="0.25">
      <c r="A105" s="442">
        <v>1516030</v>
      </c>
      <c r="B105" s="498">
        <v>6030</v>
      </c>
      <c r="C105" s="504" t="s">
        <v>29</v>
      </c>
      <c r="D105" s="509" t="s">
        <v>30</v>
      </c>
      <c r="E105" s="516" t="s">
        <v>290</v>
      </c>
      <c r="F105" s="516" t="s">
        <v>681</v>
      </c>
      <c r="G105" s="507">
        <f t="shared" si="5"/>
        <v>406558</v>
      </c>
      <c r="H105" s="517">
        <v>0</v>
      </c>
      <c r="I105" s="507">
        <f t="shared" si="6"/>
        <v>406558</v>
      </c>
      <c r="J105" s="518">
        <v>406558</v>
      </c>
    </row>
    <row r="106" spans="1:10" ht="64.5" customHeight="1" x14ac:dyDescent="0.25">
      <c r="A106" s="442" t="s">
        <v>286</v>
      </c>
      <c r="B106" s="498" t="s">
        <v>287</v>
      </c>
      <c r="C106" s="498" t="s">
        <v>288</v>
      </c>
      <c r="D106" s="499" t="s">
        <v>289</v>
      </c>
      <c r="E106" s="499" t="s">
        <v>290</v>
      </c>
      <c r="F106" s="516" t="s">
        <v>681</v>
      </c>
      <c r="G106" s="507">
        <f>H106+J106</f>
        <v>3338727</v>
      </c>
      <c r="H106" s="500">
        <v>0</v>
      </c>
      <c r="I106" s="507">
        <f t="shared" si="6"/>
        <v>3338727</v>
      </c>
      <c r="J106" s="510">
        <f>2138727+49800+1550200-400000</f>
        <v>3338727</v>
      </c>
    </row>
    <row r="107" spans="1:10" ht="61.5" customHeight="1" x14ac:dyDescent="0.25">
      <c r="A107" s="556">
        <v>1517324</v>
      </c>
      <c r="B107" s="512">
        <v>7324</v>
      </c>
      <c r="C107" s="513" t="s">
        <v>288</v>
      </c>
      <c r="D107" s="516" t="s">
        <v>485</v>
      </c>
      <c r="E107" s="499" t="s">
        <v>290</v>
      </c>
      <c r="F107" s="516" t="s">
        <v>681</v>
      </c>
      <c r="G107" s="507">
        <f t="shared" si="5"/>
        <v>1909525</v>
      </c>
      <c r="H107" s="529">
        <v>0</v>
      </c>
      <c r="I107" s="507">
        <f t="shared" si="6"/>
        <v>1909525</v>
      </c>
      <c r="J107" s="526">
        <f>1501526-183812+49950+541861</f>
        <v>1909525</v>
      </c>
    </row>
    <row r="108" spans="1:10" ht="61.5" customHeight="1" x14ac:dyDescent="0.25">
      <c r="A108" s="557">
        <v>1517330</v>
      </c>
      <c r="B108" s="498">
        <v>7330</v>
      </c>
      <c r="C108" s="558" t="s">
        <v>288</v>
      </c>
      <c r="D108" s="550" t="s">
        <v>447</v>
      </c>
      <c r="E108" s="499" t="s">
        <v>290</v>
      </c>
      <c r="F108" s="516" t="s">
        <v>681</v>
      </c>
      <c r="G108" s="507">
        <f t="shared" si="5"/>
        <v>1264018</v>
      </c>
      <c r="H108" s="500">
        <v>0</v>
      </c>
      <c r="I108" s="500">
        <f>1477980-213962</f>
        <v>1264018</v>
      </c>
      <c r="J108" s="510">
        <f t="shared" ref="J108" si="7">I108</f>
        <v>1264018</v>
      </c>
    </row>
    <row r="109" spans="1:10" ht="64.5" customHeight="1" x14ac:dyDescent="0.25">
      <c r="A109" s="557">
        <v>1517461</v>
      </c>
      <c r="B109" s="498">
        <v>7461</v>
      </c>
      <c r="C109" s="498" t="s">
        <v>141</v>
      </c>
      <c r="D109" s="509" t="s">
        <v>142</v>
      </c>
      <c r="E109" s="499" t="s">
        <v>158</v>
      </c>
      <c r="F109" s="499" t="s">
        <v>680</v>
      </c>
      <c r="G109" s="500">
        <f>H109+J109</f>
        <v>4880223</v>
      </c>
      <c r="H109" s="500">
        <v>0</v>
      </c>
      <c r="I109" s="670">
        <f>J109</f>
        <v>4880223</v>
      </c>
      <c r="J109" s="510">
        <f>12000000+6418944-478735+1059791+148634-12000000+531097-2799508</f>
        <v>4880223</v>
      </c>
    </row>
    <row r="110" spans="1:10" ht="67.5" customHeight="1" thickBot="1" x14ac:dyDescent="0.3">
      <c r="A110" s="556">
        <v>1518110</v>
      </c>
      <c r="B110" s="486">
        <v>8110</v>
      </c>
      <c r="C110" s="523" t="s">
        <v>239</v>
      </c>
      <c r="D110" s="689" t="s">
        <v>240</v>
      </c>
      <c r="E110" s="499" t="s">
        <v>623</v>
      </c>
      <c r="F110" s="41" t="s">
        <v>650</v>
      </c>
      <c r="G110" s="500">
        <f t="shared" si="5"/>
        <v>5441652</v>
      </c>
      <c r="H110" s="529">
        <v>0</v>
      </c>
      <c r="I110" s="529">
        <f>J110</f>
        <v>5441652</v>
      </c>
      <c r="J110" s="526">
        <f>0+2042000+3399652</f>
        <v>5441652</v>
      </c>
    </row>
    <row r="111" spans="1:10" ht="48" thickBot="1" x14ac:dyDescent="0.3">
      <c r="A111" s="487" t="s">
        <v>206</v>
      </c>
      <c r="B111" s="559"/>
      <c r="C111" s="559"/>
      <c r="D111" s="560" t="s">
        <v>454</v>
      </c>
      <c r="E111" s="561"/>
      <c r="F111" s="561"/>
      <c r="G111" s="491">
        <f>G112</f>
        <v>7113100</v>
      </c>
      <c r="H111" s="491">
        <f t="shared" ref="H111:J111" si="8">H112</f>
        <v>145000</v>
      </c>
      <c r="I111" s="491">
        <f t="shared" si="8"/>
        <v>6968100</v>
      </c>
      <c r="J111" s="492">
        <f t="shared" si="8"/>
        <v>6968100</v>
      </c>
    </row>
    <row r="112" spans="1:10" ht="45.75" customHeight="1" x14ac:dyDescent="0.25">
      <c r="A112" s="544">
        <v>1610000</v>
      </c>
      <c r="B112" s="541"/>
      <c r="C112" s="541"/>
      <c r="D112" s="562" t="s">
        <v>454</v>
      </c>
      <c r="E112" s="506"/>
      <c r="F112" s="506"/>
      <c r="G112" s="507">
        <f>G113+G114</f>
        <v>7113100</v>
      </c>
      <c r="H112" s="507">
        <f>H113+H114</f>
        <v>145000</v>
      </c>
      <c r="I112" s="507">
        <f t="shared" ref="I112:J112" si="9">I113+I114</f>
        <v>6968100</v>
      </c>
      <c r="J112" s="551">
        <f t="shared" si="9"/>
        <v>6968100</v>
      </c>
    </row>
    <row r="113" spans="1:16" ht="63" x14ac:dyDescent="0.25">
      <c r="A113" s="442" t="s">
        <v>453</v>
      </c>
      <c r="B113" s="498">
        <v>6014</v>
      </c>
      <c r="C113" s="504" t="s">
        <v>29</v>
      </c>
      <c r="D113" s="499" t="s">
        <v>448</v>
      </c>
      <c r="E113" s="499" t="s">
        <v>158</v>
      </c>
      <c r="F113" s="499" t="s">
        <v>680</v>
      </c>
      <c r="G113" s="500">
        <f>H113+J113</f>
        <v>145000</v>
      </c>
      <c r="H113" s="500">
        <v>145000</v>
      </c>
      <c r="I113" s="500">
        <v>0</v>
      </c>
      <c r="J113" s="510">
        <v>0</v>
      </c>
    </row>
    <row r="114" spans="1:16" ht="67.5" customHeight="1" thickBot="1" x14ac:dyDescent="0.3">
      <c r="A114" s="556">
        <v>1617351</v>
      </c>
      <c r="B114" s="486">
        <v>7351</v>
      </c>
      <c r="C114" s="218" t="s">
        <v>288</v>
      </c>
      <c r="D114" s="251" t="s">
        <v>669</v>
      </c>
      <c r="E114" s="515" t="s">
        <v>670</v>
      </c>
      <c r="F114" s="515" t="s">
        <v>682</v>
      </c>
      <c r="G114" s="500">
        <f>H114+J114</f>
        <v>6968100</v>
      </c>
      <c r="H114" s="529"/>
      <c r="I114" s="529">
        <v>6968100</v>
      </c>
      <c r="J114" s="526">
        <f>I114</f>
        <v>6968100</v>
      </c>
    </row>
    <row r="115" spans="1:16" ht="51.75" customHeight="1" thickBot="1" x14ac:dyDescent="0.3">
      <c r="A115" s="487">
        <v>2700000</v>
      </c>
      <c r="B115" s="488"/>
      <c r="C115" s="488"/>
      <c r="D115" s="560" t="s">
        <v>211</v>
      </c>
      <c r="E115" s="490"/>
      <c r="F115" s="490"/>
      <c r="G115" s="491">
        <f>G116</f>
        <v>4620660</v>
      </c>
      <c r="H115" s="491">
        <f t="shared" ref="H115:J115" si="10">H116</f>
        <v>4620660</v>
      </c>
      <c r="I115" s="491">
        <f t="shared" si="10"/>
        <v>0</v>
      </c>
      <c r="J115" s="492">
        <f t="shared" si="10"/>
        <v>0</v>
      </c>
    </row>
    <row r="116" spans="1:16" ht="48.75" customHeight="1" x14ac:dyDescent="0.25">
      <c r="A116" s="544">
        <v>2710000</v>
      </c>
      <c r="B116" s="494"/>
      <c r="C116" s="494"/>
      <c r="D116" s="562" t="s">
        <v>211</v>
      </c>
      <c r="E116" s="506"/>
      <c r="F116" s="506"/>
      <c r="G116" s="507">
        <f>G117+G118</f>
        <v>4620660</v>
      </c>
      <c r="H116" s="507">
        <f>H117+H118</f>
        <v>4620660</v>
      </c>
      <c r="I116" s="507">
        <f t="shared" ref="I116:J116" si="11">I117+I118</f>
        <v>0</v>
      </c>
      <c r="J116" s="551">
        <f t="shared" si="11"/>
        <v>0</v>
      </c>
    </row>
    <row r="117" spans="1:16" ht="61.5" customHeight="1" x14ac:dyDescent="0.25">
      <c r="A117" s="442">
        <v>2717413</v>
      </c>
      <c r="B117" s="498">
        <v>7413</v>
      </c>
      <c r="C117" s="504" t="s">
        <v>247</v>
      </c>
      <c r="D117" s="499" t="s">
        <v>246</v>
      </c>
      <c r="E117" s="499" t="s">
        <v>245</v>
      </c>
      <c r="F117" s="499" t="s">
        <v>452</v>
      </c>
      <c r="G117" s="500">
        <f>H117+J117</f>
        <v>4440660</v>
      </c>
      <c r="H117" s="500">
        <f>5407680-967020</f>
        <v>4440660</v>
      </c>
      <c r="I117" s="500">
        <v>0</v>
      </c>
      <c r="J117" s="510">
        <v>0</v>
      </c>
    </row>
    <row r="118" spans="1:16" ht="38.25" customHeight="1" thickBot="1" x14ac:dyDescent="0.3">
      <c r="A118" s="485">
        <v>2719770</v>
      </c>
      <c r="B118" s="486">
        <v>9770</v>
      </c>
      <c r="C118" s="563" t="s">
        <v>226</v>
      </c>
      <c r="D118" s="564" t="s">
        <v>608</v>
      </c>
      <c r="E118" s="530" t="s">
        <v>609</v>
      </c>
      <c r="F118" s="515" t="s">
        <v>615</v>
      </c>
      <c r="G118" s="500">
        <f>H118+J118</f>
        <v>180000</v>
      </c>
      <c r="H118" s="529">
        <f>0+180000</f>
        <v>180000</v>
      </c>
      <c r="I118" s="529">
        <v>0</v>
      </c>
      <c r="J118" s="526">
        <v>0</v>
      </c>
    </row>
    <row r="119" spans="1:16" ht="48" thickBot="1" x14ac:dyDescent="0.3">
      <c r="A119" s="487">
        <v>3100000</v>
      </c>
      <c r="B119" s="559"/>
      <c r="C119" s="565"/>
      <c r="D119" s="692" t="s">
        <v>215</v>
      </c>
      <c r="E119" s="691"/>
      <c r="F119" s="561"/>
      <c r="G119" s="491">
        <f>G120</f>
        <v>1491803</v>
      </c>
      <c r="H119" s="491">
        <f t="shared" ref="H119:J119" si="12">H120</f>
        <v>1491803</v>
      </c>
      <c r="I119" s="491">
        <f t="shared" si="12"/>
        <v>0</v>
      </c>
      <c r="J119" s="492">
        <f t="shared" si="12"/>
        <v>0</v>
      </c>
    </row>
    <row r="120" spans="1:16" ht="46.5" customHeight="1" x14ac:dyDescent="0.25">
      <c r="A120" s="544">
        <v>3110000</v>
      </c>
      <c r="B120" s="486"/>
      <c r="C120" s="523"/>
      <c r="D120" s="562" t="s">
        <v>215</v>
      </c>
      <c r="E120" s="515"/>
      <c r="F120" s="515"/>
      <c r="G120" s="529">
        <f>G121+G122</f>
        <v>1491803</v>
      </c>
      <c r="H120" s="529">
        <f>H121+H122</f>
        <v>1491803</v>
      </c>
      <c r="I120" s="529">
        <f t="shared" ref="I120:J120" si="13">I121+I122</f>
        <v>0</v>
      </c>
      <c r="J120" s="526">
        <f t="shared" si="13"/>
        <v>0</v>
      </c>
    </row>
    <row r="121" spans="1:16" ht="144.75" customHeight="1" x14ac:dyDescent="0.25">
      <c r="A121" s="519">
        <v>3117693</v>
      </c>
      <c r="B121" s="512">
        <v>7693</v>
      </c>
      <c r="C121" s="513" t="s">
        <v>178</v>
      </c>
      <c r="D121" s="516" t="s">
        <v>445</v>
      </c>
      <c r="E121" s="499" t="s">
        <v>231</v>
      </c>
      <c r="F121" s="499" t="s">
        <v>493</v>
      </c>
      <c r="G121" s="517">
        <f>H121+J121</f>
        <v>153500</v>
      </c>
      <c r="H121" s="517">
        <f>0+153500</f>
        <v>153500</v>
      </c>
      <c r="I121" s="517">
        <v>0</v>
      </c>
      <c r="J121" s="518">
        <v>0</v>
      </c>
    </row>
    <row r="122" spans="1:16" ht="63" customHeight="1" thickBot="1" x14ac:dyDescent="0.3">
      <c r="A122" s="519">
        <v>3118110</v>
      </c>
      <c r="B122" s="512">
        <v>8110</v>
      </c>
      <c r="C122" s="513" t="s">
        <v>239</v>
      </c>
      <c r="D122" s="516" t="s">
        <v>240</v>
      </c>
      <c r="E122" s="516" t="s">
        <v>158</v>
      </c>
      <c r="F122" s="499" t="s">
        <v>680</v>
      </c>
      <c r="G122" s="517">
        <f>H122+J122</f>
        <v>1338303</v>
      </c>
      <c r="H122" s="517">
        <f>0+73320+1264983</f>
        <v>1338303</v>
      </c>
      <c r="I122" s="517">
        <v>0</v>
      </c>
      <c r="J122" s="518">
        <v>0</v>
      </c>
    </row>
    <row r="123" spans="1:16" ht="16.5" thickBot="1" x14ac:dyDescent="0.3">
      <c r="A123" s="487" t="s">
        <v>6</v>
      </c>
      <c r="B123" s="488" t="s">
        <v>6</v>
      </c>
      <c r="C123" s="488" t="s">
        <v>6</v>
      </c>
      <c r="D123" s="761" t="s">
        <v>150</v>
      </c>
      <c r="E123" s="488" t="s">
        <v>6</v>
      </c>
      <c r="F123" s="488" t="s">
        <v>6</v>
      </c>
      <c r="G123" s="491">
        <f>G23+G42+G57+G65+G68+G83+G97+G111+G115+G119</f>
        <v>409282117</v>
      </c>
      <c r="H123" s="491">
        <f>H23+H42+H57+H65+H68+H83+H97+H111+H115+H119</f>
        <v>242000798</v>
      </c>
      <c r="I123" s="491">
        <f>I23+I42+I57+I65+I68+I83+I97</f>
        <v>160313219</v>
      </c>
      <c r="J123" s="492">
        <f>J23+J42+J57+J65+J68+J83+J97</f>
        <v>158332839</v>
      </c>
    </row>
    <row r="124" spans="1:16" ht="13.5" customHeight="1" x14ac:dyDescent="0.25">
      <c r="A124" s="619"/>
      <c r="B124" s="619"/>
      <c r="C124" s="619"/>
      <c r="D124" s="620"/>
      <c r="E124" s="620"/>
      <c r="F124" s="620"/>
      <c r="G124" s="621"/>
      <c r="H124" s="621"/>
      <c r="I124" s="621"/>
      <c r="J124" s="621"/>
    </row>
    <row r="125" spans="1:16" ht="13.5" customHeight="1" x14ac:dyDescent="0.25">
      <c r="A125" s="619"/>
      <c r="B125" s="619"/>
      <c r="C125" s="619"/>
      <c r="D125" s="620"/>
      <c r="E125" s="620"/>
      <c r="F125" s="620"/>
      <c r="G125" s="621"/>
      <c r="H125" s="621"/>
      <c r="I125" s="621"/>
      <c r="J125" s="621"/>
    </row>
    <row r="126" spans="1:16" ht="17.25" customHeight="1" x14ac:dyDescent="0.25">
      <c r="A126" s="622"/>
      <c r="B126" s="622"/>
      <c r="C126" s="622"/>
      <c r="D126" s="622"/>
      <c r="E126" s="622"/>
      <c r="F126" s="622"/>
      <c r="G126" s="622"/>
      <c r="H126" s="622"/>
      <c r="I126" s="622"/>
      <c r="J126" s="622"/>
    </row>
    <row r="127" spans="1:16" s="629" customFormat="1" ht="25.5" customHeight="1" x14ac:dyDescent="0.3">
      <c r="A127" s="883" t="s">
        <v>675</v>
      </c>
      <c r="B127" s="883"/>
      <c r="C127" s="883"/>
      <c r="D127" s="883"/>
      <c r="E127" s="883"/>
      <c r="F127" s="883"/>
      <c r="G127" s="883"/>
      <c r="H127" s="623"/>
      <c r="I127" s="623"/>
      <c r="J127" s="624"/>
      <c r="K127" s="625"/>
      <c r="L127" s="626"/>
      <c r="M127" s="625"/>
      <c r="N127" s="625"/>
      <c r="O127" s="627"/>
      <c r="P127" s="628"/>
    </row>
    <row r="128" spans="1:16" s="631" customFormat="1" ht="20.25" x14ac:dyDescent="0.3">
      <c r="A128" s="630"/>
      <c r="B128" s="630"/>
      <c r="G128" s="632"/>
    </row>
    <row r="129" spans="1:2" s="607" customFormat="1" ht="15.75" x14ac:dyDescent="0.2">
      <c r="A129" s="633"/>
      <c r="B129" s="633"/>
    </row>
  </sheetData>
  <mergeCells count="13">
    <mergeCell ref="A127:G127"/>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9"/>
  <sheetViews>
    <sheetView tabSelected="1" view="pageBreakPreview" zoomScale="70" zoomScaleNormal="100" zoomScaleSheetLayoutView="70" workbookViewId="0">
      <selection activeCell="Q23" sqref="Q23"/>
    </sheetView>
  </sheetViews>
  <sheetFormatPr defaultColWidth="9.28515625" defaultRowHeight="15" x14ac:dyDescent="0.25"/>
  <cols>
    <col min="1" max="1" width="14.5703125" style="260" customWidth="1"/>
    <col min="2" max="2" width="15.140625" style="261" customWidth="1"/>
    <col min="3" max="3" width="11" style="262" customWidth="1"/>
    <col min="4" max="4" width="51.42578125" style="263" customWidth="1"/>
    <col min="5" max="5" width="60.140625" style="264" customWidth="1"/>
    <col min="6" max="6" width="15.28515625" style="262" customWidth="1"/>
    <col min="7" max="7" width="18" style="265" customWidth="1"/>
    <col min="8" max="8" width="15.7109375" style="265" customWidth="1"/>
    <col min="9" max="9" width="13.85546875" style="265" customWidth="1"/>
    <col min="10" max="10" width="28.140625" style="266" customWidth="1"/>
    <col min="11" max="11" width="13.85546875" style="266" customWidth="1"/>
    <col min="12" max="12" width="9.28515625" style="260"/>
    <col min="13" max="13" width="16.85546875" style="260" bestFit="1" customWidth="1"/>
    <col min="14" max="14" width="9.28515625" style="260"/>
    <col min="15" max="15" width="13.7109375" style="260" bestFit="1" customWidth="1"/>
    <col min="16" max="256" width="9.28515625" style="260"/>
    <col min="257" max="257" width="15" style="260" customWidth="1"/>
    <col min="258" max="258" width="12.7109375" style="260" customWidth="1"/>
    <col min="259" max="259" width="11.7109375" style="260" customWidth="1"/>
    <col min="260" max="260" width="44.85546875" style="260" customWidth="1"/>
    <col min="261" max="261" width="54.7109375" style="260" customWidth="1"/>
    <col min="262" max="262" width="15.28515625" style="260" customWidth="1"/>
    <col min="263" max="264" width="19.28515625" style="260" customWidth="1"/>
    <col min="265" max="265" width="13.85546875" style="260" customWidth="1"/>
    <col min="266" max="266" width="25.28515625" style="260" customWidth="1"/>
    <col min="267" max="267" width="16.28515625" style="260" customWidth="1"/>
    <col min="268" max="512" width="9.28515625" style="260"/>
    <col min="513" max="513" width="15" style="260" customWidth="1"/>
    <col min="514" max="514" width="12.7109375" style="260" customWidth="1"/>
    <col min="515" max="515" width="11.7109375" style="260" customWidth="1"/>
    <col min="516" max="516" width="44.85546875" style="260" customWidth="1"/>
    <col min="517" max="517" width="54.7109375" style="260" customWidth="1"/>
    <col min="518" max="518" width="15.28515625" style="260" customWidth="1"/>
    <col min="519" max="520" width="19.28515625" style="260" customWidth="1"/>
    <col min="521" max="521" width="13.85546875" style="260" customWidth="1"/>
    <col min="522" max="522" width="25.28515625" style="260" customWidth="1"/>
    <col min="523" max="523" width="16.28515625" style="260" customWidth="1"/>
    <col min="524" max="768" width="9.28515625" style="260"/>
    <col min="769" max="769" width="15" style="260" customWidth="1"/>
    <col min="770" max="770" width="12.7109375" style="260" customWidth="1"/>
    <col min="771" max="771" width="11.7109375" style="260" customWidth="1"/>
    <col min="772" max="772" width="44.85546875" style="260" customWidth="1"/>
    <col min="773" max="773" width="54.7109375" style="260" customWidth="1"/>
    <col min="774" max="774" width="15.28515625" style="260" customWidth="1"/>
    <col min="775" max="776" width="19.28515625" style="260" customWidth="1"/>
    <col min="777" max="777" width="13.85546875" style="260" customWidth="1"/>
    <col min="778" max="778" width="25.28515625" style="260" customWidth="1"/>
    <col min="779" max="779" width="16.28515625" style="260" customWidth="1"/>
    <col min="780" max="1024" width="9.28515625" style="260"/>
    <col min="1025" max="1025" width="15" style="260" customWidth="1"/>
    <col min="1026" max="1026" width="12.7109375" style="260" customWidth="1"/>
    <col min="1027" max="1027" width="11.7109375" style="260" customWidth="1"/>
    <col min="1028" max="1028" width="44.85546875" style="260" customWidth="1"/>
    <col min="1029" max="1029" width="54.7109375" style="260" customWidth="1"/>
    <col min="1030" max="1030" width="15.28515625" style="260" customWidth="1"/>
    <col min="1031" max="1032" width="19.28515625" style="260" customWidth="1"/>
    <col min="1033" max="1033" width="13.85546875" style="260" customWidth="1"/>
    <col min="1034" max="1034" width="25.28515625" style="260" customWidth="1"/>
    <col min="1035" max="1035" width="16.28515625" style="260" customWidth="1"/>
    <col min="1036" max="1280" width="9.28515625" style="260"/>
    <col min="1281" max="1281" width="15" style="260" customWidth="1"/>
    <col min="1282" max="1282" width="12.7109375" style="260" customWidth="1"/>
    <col min="1283" max="1283" width="11.7109375" style="260" customWidth="1"/>
    <col min="1284" max="1284" width="44.85546875" style="260" customWidth="1"/>
    <col min="1285" max="1285" width="54.7109375" style="260" customWidth="1"/>
    <col min="1286" max="1286" width="15.28515625" style="260" customWidth="1"/>
    <col min="1287" max="1288" width="19.28515625" style="260" customWidth="1"/>
    <col min="1289" max="1289" width="13.85546875" style="260" customWidth="1"/>
    <col min="1290" max="1290" width="25.28515625" style="260" customWidth="1"/>
    <col min="1291" max="1291" width="16.28515625" style="260" customWidth="1"/>
    <col min="1292" max="1536" width="9.28515625" style="260"/>
    <col min="1537" max="1537" width="15" style="260" customWidth="1"/>
    <col min="1538" max="1538" width="12.7109375" style="260" customWidth="1"/>
    <col min="1539" max="1539" width="11.7109375" style="260" customWidth="1"/>
    <col min="1540" max="1540" width="44.85546875" style="260" customWidth="1"/>
    <col min="1541" max="1541" width="54.7109375" style="260" customWidth="1"/>
    <col min="1542" max="1542" width="15.28515625" style="260" customWidth="1"/>
    <col min="1543" max="1544" width="19.28515625" style="260" customWidth="1"/>
    <col min="1545" max="1545" width="13.85546875" style="260" customWidth="1"/>
    <col min="1546" max="1546" width="25.28515625" style="260" customWidth="1"/>
    <col min="1547" max="1547" width="16.28515625" style="260" customWidth="1"/>
    <col min="1548" max="1792" width="9.28515625" style="260"/>
    <col min="1793" max="1793" width="15" style="260" customWidth="1"/>
    <col min="1794" max="1794" width="12.7109375" style="260" customWidth="1"/>
    <col min="1795" max="1795" width="11.7109375" style="260" customWidth="1"/>
    <col min="1796" max="1796" width="44.85546875" style="260" customWidth="1"/>
    <col min="1797" max="1797" width="54.7109375" style="260" customWidth="1"/>
    <col min="1798" max="1798" width="15.28515625" style="260" customWidth="1"/>
    <col min="1799" max="1800" width="19.28515625" style="260" customWidth="1"/>
    <col min="1801" max="1801" width="13.85546875" style="260" customWidth="1"/>
    <col min="1802" max="1802" width="25.28515625" style="260" customWidth="1"/>
    <col min="1803" max="1803" width="16.28515625" style="260" customWidth="1"/>
    <col min="1804" max="2048" width="9.28515625" style="260"/>
    <col min="2049" max="2049" width="15" style="260" customWidth="1"/>
    <col min="2050" max="2050" width="12.7109375" style="260" customWidth="1"/>
    <col min="2051" max="2051" width="11.7109375" style="260" customWidth="1"/>
    <col min="2052" max="2052" width="44.85546875" style="260" customWidth="1"/>
    <col min="2053" max="2053" width="54.7109375" style="260" customWidth="1"/>
    <col min="2054" max="2054" width="15.28515625" style="260" customWidth="1"/>
    <col min="2055" max="2056" width="19.28515625" style="260" customWidth="1"/>
    <col min="2057" max="2057" width="13.85546875" style="260" customWidth="1"/>
    <col min="2058" max="2058" width="25.28515625" style="260" customWidth="1"/>
    <col min="2059" max="2059" width="16.28515625" style="260" customWidth="1"/>
    <col min="2060" max="2304" width="9.28515625" style="260"/>
    <col min="2305" max="2305" width="15" style="260" customWidth="1"/>
    <col min="2306" max="2306" width="12.7109375" style="260" customWidth="1"/>
    <col min="2307" max="2307" width="11.7109375" style="260" customWidth="1"/>
    <col min="2308" max="2308" width="44.85546875" style="260" customWidth="1"/>
    <col min="2309" max="2309" width="54.7109375" style="260" customWidth="1"/>
    <col min="2310" max="2310" width="15.28515625" style="260" customWidth="1"/>
    <col min="2311" max="2312" width="19.28515625" style="260" customWidth="1"/>
    <col min="2313" max="2313" width="13.85546875" style="260" customWidth="1"/>
    <col min="2314" max="2314" width="25.28515625" style="260" customWidth="1"/>
    <col min="2315" max="2315" width="16.28515625" style="260" customWidth="1"/>
    <col min="2316" max="2560" width="9.28515625" style="260"/>
    <col min="2561" max="2561" width="15" style="260" customWidth="1"/>
    <col min="2562" max="2562" width="12.7109375" style="260" customWidth="1"/>
    <col min="2563" max="2563" width="11.7109375" style="260" customWidth="1"/>
    <col min="2564" max="2564" width="44.85546875" style="260" customWidth="1"/>
    <col min="2565" max="2565" width="54.7109375" style="260" customWidth="1"/>
    <col min="2566" max="2566" width="15.28515625" style="260" customWidth="1"/>
    <col min="2567" max="2568" width="19.28515625" style="260" customWidth="1"/>
    <col min="2569" max="2569" width="13.85546875" style="260" customWidth="1"/>
    <col min="2570" max="2570" width="25.28515625" style="260" customWidth="1"/>
    <col min="2571" max="2571" width="16.28515625" style="260" customWidth="1"/>
    <col min="2572" max="2816" width="9.28515625" style="260"/>
    <col min="2817" max="2817" width="15" style="260" customWidth="1"/>
    <col min="2818" max="2818" width="12.7109375" style="260" customWidth="1"/>
    <col min="2819" max="2819" width="11.7109375" style="260" customWidth="1"/>
    <col min="2820" max="2820" width="44.85546875" style="260" customWidth="1"/>
    <col min="2821" max="2821" width="54.7109375" style="260" customWidth="1"/>
    <col min="2822" max="2822" width="15.28515625" style="260" customWidth="1"/>
    <col min="2823" max="2824" width="19.28515625" style="260" customWidth="1"/>
    <col min="2825" max="2825" width="13.85546875" style="260" customWidth="1"/>
    <col min="2826" max="2826" width="25.28515625" style="260" customWidth="1"/>
    <col min="2827" max="2827" width="16.28515625" style="260" customWidth="1"/>
    <col min="2828" max="3072" width="9.28515625" style="260"/>
    <col min="3073" max="3073" width="15" style="260" customWidth="1"/>
    <col min="3074" max="3074" width="12.7109375" style="260" customWidth="1"/>
    <col min="3075" max="3075" width="11.7109375" style="260" customWidth="1"/>
    <col min="3076" max="3076" width="44.85546875" style="260" customWidth="1"/>
    <col min="3077" max="3077" width="54.7109375" style="260" customWidth="1"/>
    <col min="3078" max="3078" width="15.28515625" style="260" customWidth="1"/>
    <col min="3079" max="3080" width="19.28515625" style="260" customWidth="1"/>
    <col min="3081" max="3081" width="13.85546875" style="260" customWidth="1"/>
    <col min="3082" max="3082" width="25.28515625" style="260" customWidth="1"/>
    <col min="3083" max="3083" width="16.28515625" style="260" customWidth="1"/>
    <col min="3084" max="3328" width="9.28515625" style="260"/>
    <col min="3329" max="3329" width="15" style="260" customWidth="1"/>
    <col min="3330" max="3330" width="12.7109375" style="260" customWidth="1"/>
    <col min="3331" max="3331" width="11.7109375" style="260" customWidth="1"/>
    <col min="3332" max="3332" width="44.85546875" style="260" customWidth="1"/>
    <col min="3333" max="3333" width="54.7109375" style="260" customWidth="1"/>
    <col min="3334" max="3334" width="15.28515625" style="260" customWidth="1"/>
    <col min="3335" max="3336" width="19.28515625" style="260" customWidth="1"/>
    <col min="3337" max="3337" width="13.85546875" style="260" customWidth="1"/>
    <col min="3338" max="3338" width="25.28515625" style="260" customWidth="1"/>
    <col min="3339" max="3339" width="16.28515625" style="260" customWidth="1"/>
    <col min="3340" max="3584" width="9.28515625" style="260"/>
    <col min="3585" max="3585" width="15" style="260" customWidth="1"/>
    <col min="3586" max="3586" width="12.7109375" style="260" customWidth="1"/>
    <col min="3587" max="3587" width="11.7109375" style="260" customWidth="1"/>
    <col min="3588" max="3588" width="44.85546875" style="260" customWidth="1"/>
    <col min="3589" max="3589" width="54.7109375" style="260" customWidth="1"/>
    <col min="3590" max="3590" width="15.28515625" style="260" customWidth="1"/>
    <col min="3591" max="3592" width="19.28515625" style="260" customWidth="1"/>
    <col min="3593" max="3593" width="13.85546875" style="260" customWidth="1"/>
    <col min="3594" max="3594" width="25.28515625" style="260" customWidth="1"/>
    <col min="3595" max="3595" width="16.28515625" style="260" customWidth="1"/>
    <col min="3596" max="3840" width="9.28515625" style="260"/>
    <col min="3841" max="3841" width="15" style="260" customWidth="1"/>
    <col min="3842" max="3842" width="12.7109375" style="260" customWidth="1"/>
    <col min="3843" max="3843" width="11.7109375" style="260" customWidth="1"/>
    <col min="3844" max="3844" width="44.85546875" style="260" customWidth="1"/>
    <col min="3845" max="3845" width="54.7109375" style="260" customWidth="1"/>
    <col min="3846" max="3846" width="15.28515625" style="260" customWidth="1"/>
    <col min="3847" max="3848" width="19.28515625" style="260" customWidth="1"/>
    <col min="3849" max="3849" width="13.85546875" style="260" customWidth="1"/>
    <col min="3850" max="3850" width="25.28515625" style="260" customWidth="1"/>
    <col min="3851" max="3851" width="16.28515625" style="260" customWidth="1"/>
    <col min="3852" max="4096" width="9.28515625" style="260"/>
    <col min="4097" max="4097" width="15" style="260" customWidth="1"/>
    <col min="4098" max="4098" width="12.7109375" style="260" customWidth="1"/>
    <col min="4099" max="4099" width="11.7109375" style="260" customWidth="1"/>
    <col min="4100" max="4100" width="44.85546875" style="260" customWidth="1"/>
    <col min="4101" max="4101" width="54.7109375" style="260" customWidth="1"/>
    <col min="4102" max="4102" width="15.28515625" style="260" customWidth="1"/>
    <col min="4103" max="4104" width="19.28515625" style="260" customWidth="1"/>
    <col min="4105" max="4105" width="13.85546875" style="260" customWidth="1"/>
    <col min="4106" max="4106" width="25.28515625" style="260" customWidth="1"/>
    <col min="4107" max="4107" width="16.28515625" style="260" customWidth="1"/>
    <col min="4108" max="4352" width="9.28515625" style="260"/>
    <col min="4353" max="4353" width="15" style="260" customWidth="1"/>
    <col min="4354" max="4354" width="12.7109375" style="260" customWidth="1"/>
    <col min="4355" max="4355" width="11.7109375" style="260" customWidth="1"/>
    <col min="4356" max="4356" width="44.85546875" style="260" customWidth="1"/>
    <col min="4357" max="4357" width="54.7109375" style="260" customWidth="1"/>
    <col min="4358" max="4358" width="15.28515625" style="260" customWidth="1"/>
    <col min="4359" max="4360" width="19.28515625" style="260" customWidth="1"/>
    <col min="4361" max="4361" width="13.85546875" style="260" customWidth="1"/>
    <col min="4362" max="4362" width="25.28515625" style="260" customWidth="1"/>
    <col min="4363" max="4363" width="16.28515625" style="260" customWidth="1"/>
    <col min="4364" max="4608" width="9.28515625" style="260"/>
    <col min="4609" max="4609" width="15" style="260" customWidth="1"/>
    <col min="4610" max="4610" width="12.7109375" style="260" customWidth="1"/>
    <col min="4611" max="4611" width="11.7109375" style="260" customWidth="1"/>
    <col min="4612" max="4612" width="44.85546875" style="260" customWidth="1"/>
    <col min="4613" max="4613" width="54.7109375" style="260" customWidth="1"/>
    <col min="4614" max="4614" width="15.28515625" style="260" customWidth="1"/>
    <col min="4615" max="4616" width="19.28515625" style="260" customWidth="1"/>
    <col min="4617" max="4617" width="13.85546875" style="260" customWidth="1"/>
    <col min="4618" max="4618" width="25.28515625" style="260" customWidth="1"/>
    <col min="4619" max="4619" width="16.28515625" style="260" customWidth="1"/>
    <col min="4620" max="4864" width="9.28515625" style="260"/>
    <col min="4865" max="4865" width="15" style="260" customWidth="1"/>
    <col min="4866" max="4866" width="12.7109375" style="260" customWidth="1"/>
    <col min="4867" max="4867" width="11.7109375" style="260" customWidth="1"/>
    <col min="4868" max="4868" width="44.85546875" style="260" customWidth="1"/>
    <col min="4869" max="4869" width="54.7109375" style="260" customWidth="1"/>
    <col min="4870" max="4870" width="15.28515625" style="260" customWidth="1"/>
    <col min="4871" max="4872" width="19.28515625" style="260" customWidth="1"/>
    <col min="4873" max="4873" width="13.85546875" style="260" customWidth="1"/>
    <col min="4874" max="4874" width="25.28515625" style="260" customWidth="1"/>
    <col min="4875" max="4875" width="16.28515625" style="260" customWidth="1"/>
    <col min="4876" max="5120" width="9.28515625" style="260"/>
    <col min="5121" max="5121" width="15" style="260" customWidth="1"/>
    <col min="5122" max="5122" width="12.7109375" style="260" customWidth="1"/>
    <col min="5123" max="5123" width="11.7109375" style="260" customWidth="1"/>
    <col min="5124" max="5124" width="44.85546875" style="260" customWidth="1"/>
    <col min="5125" max="5125" width="54.7109375" style="260" customWidth="1"/>
    <col min="5126" max="5126" width="15.28515625" style="260" customWidth="1"/>
    <col min="5127" max="5128" width="19.28515625" style="260" customWidth="1"/>
    <col min="5129" max="5129" width="13.85546875" style="260" customWidth="1"/>
    <col min="5130" max="5130" width="25.28515625" style="260" customWidth="1"/>
    <col min="5131" max="5131" width="16.28515625" style="260" customWidth="1"/>
    <col min="5132" max="5376" width="9.28515625" style="260"/>
    <col min="5377" max="5377" width="15" style="260" customWidth="1"/>
    <col min="5378" max="5378" width="12.7109375" style="260" customWidth="1"/>
    <col min="5379" max="5379" width="11.7109375" style="260" customWidth="1"/>
    <col min="5380" max="5380" width="44.85546875" style="260" customWidth="1"/>
    <col min="5381" max="5381" width="54.7109375" style="260" customWidth="1"/>
    <col min="5382" max="5382" width="15.28515625" style="260" customWidth="1"/>
    <col min="5383" max="5384" width="19.28515625" style="260" customWidth="1"/>
    <col min="5385" max="5385" width="13.85546875" style="260" customWidth="1"/>
    <col min="5386" max="5386" width="25.28515625" style="260" customWidth="1"/>
    <col min="5387" max="5387" width="16.28515625" style="260" customWidth="1"/>
    <col min="5388" max="5632" width="9.28515625" style="260"/>
    <col min="5633" max="5633" width="15" style="260" customWidth="1"/>
    <col min="5634" max="5634" width="12.7109375" style="260" customWidth="1"/>
    <col min="5635" max="5635" width="11.7109375" style="260" customWidth="1"/>
    <col min="5636" max="5636" width="44.85546875" style="260" customWidth="1"/>
    <col min="5637" max="5637" width="54.7109375" style="260" customWidth="1"/>
    <col min="5638" max="5638" width="15.28515625" style="260" customWidth="1"/>
    <col min="5639" max="5640" width="19.28515625" style="260" customWidth="1"/>
    <col min="5641" max="5641" width="13.85546875" style="260" customWidth="1"/>
    <col min="5642" max="5642" width="25.28515625" style="260" customWidth="1"/>
    <col min="5643" max="5643" width="16.28515625" style="260" customWidth="1"/>
    <col min="5644" max="5888" width="9.28515625" style="260"/>
    <col min="5889" max="5889" width="15" style="260" customWidth="1"/>
    <col min="5890" max="5890" width="12.7109375" style="260" customWidth="1"/>
    <col min="5891" max="5891" width="11.7109375" style="260" customWidth="1"/>
    <col min="5892" max="5892" width="44.85546875" style="260" customWidth="1"/>
    <col min="5893" max="5893" width="54.7109375" style="260" customWidth="1"/>
    <col min="5894" max="5894" width="15.28515625" style="260" customWidth="1"/>
    <col min="5895" max="5896" width="19.28515625" style="260" customWidth="1"/>
    <col min="5897" max="5897" width="13.85546875" style="260" customWidth="1"/>
    <col min="5898" max="5898" width="25.28515625" style="260" customWidth="1"/>
    <col min="5899" max="5899" width="16.28515625" style="260" customWidth="1"/>
    <col min="5900" max="6144" width="9.28515625" style="260"/>
    <col min="6145" max="6145" width="15" style="260" customWidth="1"/>
    <col min="6146" max="6146" width="12.7109375" style="260" customWidth="1"/>
    <col min="6147" max="6147" width="11.7109375" style="260" customWidth="1"/>
    <col min="6148" max="6148" width="44.85546875" style="260" customWidth="1"/>
    <col min="6149" max="6149" width="54.7109375" style="260" customWidth="1"/>
    <col min="6150" max="6150" width="15.28515625" style="260" customWidth="1"/>
    <col min="6151" max="6152" width="19.28515625" style="260" customWidth="1"/>
    <col min="6153" max="6153" width="13.85546875" style="260" customWidth="1"/>
    <col min="6154" max="6154" width="25.28515625" style="260" customWidth="1"/>
    <col min="6155" max="6155" width="16.28515625" style="260" customWidth="1"/>
    <col min="6156" max="6400" width="9.28515625" style="260"/>
    <col min="6401" max="6401" width="15" style="260" customWidth="1"/>
    <col min="6402" max="6402" width="12.7109375" style="260" customWidth="1"/>
    <col min="6403" max="6403" width="11.7109375" style="260" customWidth="1"/>
    <col min="6404" max="6404" width="44.85546875" style="260" customWidth="1"/>
    <col min="6405" max="6405" width="54.7109375" style="260" customWidth="1"/>
    <col min="6406" max="6406" width="15.28515625" style="260" customWidth="1"/>
    <col min="6407" max="6408" width="19.28515625" style="260" customWidth="1"/>
    <col min="6409" max="6409" width="13.85546875" style="260" customWidth="1"/>
    <col min="6410" max="6410" width="25.28515625" style="260" customWidth="1"/>
    <col min="6411" max="6411" width="16.28515625" style="260" customWidth="1"/>
    <col min="6412" max="6656" width="9.28515625" style="260"/>
    <col min="6657" max="6657" width="15" style="260" customWidth="1"/>
    <col min="6658" max="6658" width="12.7109375" style="260" customWidth="1"/>
    <col min="6659" max="6659" width="11.7109375" style="260" customWidth="1"/>
    <col min="6660" max="6660" width="44.85546875" style="260" customWidth="1"/>
    <col min="6661" max="6661" width="54.7109375" style="260" customWidth="1"/>
    <col min="6662" max="6662" width="15.28515625" style="260" customWidth="1"/>
    <col min="6663" max="6664" width="19.28515625" style="260" customWidth="1"/>
    <col min="6665" max="6665" width="13.85546875" style="260" customWidth="1"/>
    <col min="6666" max="6666" width="25.28515625" style="260" customWidth="1"/>
    <col min="6667" max="6667" width="16.28515625" style="260" customWidth="1"/>
    <col min="6668" max="6912" width="9.28515625" style="260"/>
    <col min="6913" max="6913" width="15" style="260" customWidth="1"/>
    <col min="6914" max="6914" width="12.7109375" style="260" customWidth="1"/>
    <col min="6915" max="6915" width="11.7109375" style="260" customWidth="1"/>
    <col min="6916" max="6916" width="44.85546875" style="260" customWidth="1"/>
    <col min="6917" max="6917" width="54.7109375" style="260" customWidth="1"/>
    <col min="6918" max="6918" width="15.28515625" style="260" customWidth="1"/>
    <col min="6919" max="6920" width="19.28515625" style="260" customWidth="1"/>
    <col min="6921" max="6921" width="13.85546875" style="260" customWidth="1"/>
    <col min="6922" max="6922" width="25.28515625" style="260" customWidth="1"/>
    <col min="6923" max="6923" width="16.28515625" style="260" customWidth="1"/>
    <col min="6924" max="7168" width="9.28515625" style="260"/>
    <col min="7169" max="7169" width="15" style="260" customWidth="1"/>
    <col min="7170" max="7170" width="12.7109375" style="260" customWidth="1"/>
    <col min="7171" max="7171" width="11.7109375" style="260" customWidth="1"/>
    <col min="7172" max="7172" width="44.85546875" style="260" customWidth="1"/>
    <col min="7173" max="7173" width="54.7109375" style="260" customWidth="1"/>
    <col min="7174" max="7174" width="15.28515625" style="260" customWidth="1"/>
    <col min="7175" max="7176" width="19.28515625" style="260" customWidth="1"/>
    <col min="7177" max="7177" width="13.85546875" style="260" customWidth="1"/>
    <col min="7178" max="7178" width="25.28515625" style="260" customWidth="1"/>
    <col min="7179" max="7179" width="16.28515625" style="260" customWidth="1"/>
    <col min="7180" max="7424" width="9.28515625" style="260"/>
    <col min="7425" max="7425" width="15" style="260" customWidth="1"/>
    <col min="7426" max="7426" width="12.7109375" style="260" customWidth="1"/>
    <col min="7427" max="7427" width="11.7109375" style="260" customWidth="1"/>
    <col min="7428" max="7428" width="44.85546875" style="260" customWidth="1"/>
    <col min="7429" max="7429" width="54.7109375" style="260" customWidth="1"/>
    <col min="7430" max="7430" width="15.28515625" style="260" customWidth="1"/>
    <col min="7431" max="7432" width="19.28515625" style="260" customWidth="1"/>
    <col min="7433" max="7433" width="13.85546875" style="260" customWidth="1"/>
    <col min="7434" max="7434" width="25.28515625" style="260" customWidth="1"/>
    <col min="7435" max="7435" width="16.28515625" style="260" customWidth="1"/>
    <col min="7436" max="7680" width="9.28515625" style="260"/>
    <col min="7681" max="7681" width="15" style="260" customWidth="1"/>
    <col min="7682" max="7682" width="12.7109375" style="260" customWidth="1"/>
    <col min="7683" max="7683" width="11.7109375" style="260" customWidth="1"/>
    <col min="7684" max="7684" width="44.85546875" style="260" customWidth="1"/>
    <col min="7685" max="7685" width="54.7109375" style="260" customWidth="1"/>
    <col min="7686" max="7686" width="15.28515625" style="260" customWidth="1"/>
    <col min="7687" max="7688" width="19.28515625" style="260" customWidth="1"/>
    <col min="7689" max="7689" width="13.85546875" style="260" customWidth="1"/>
    <col min="7690" max="7690" width="25.28515625" style="260" customWidth="1"/>
    <col min="7691" max="7691" width="16.28515625" style="260" customWidth="1"/>
    <col min="7692" max="7936" width="9.28515625" style="260"/>
    <col min="7937" max="7937" width="15" style="260" customWidth="1"/>
    <col min="7938" max="7938" width="12.7109375" style="260" customWidth="1"/>
    <col min="7939" max="7939" width="11.7109375" style="260" customWidth="1"/>
    <col min="7940" max="7940" width="44.85546875" style="260" customWidth="1"/>
    <col min="7941" max="7941" width="54.7109375" style="260" customWidth="1"/>
    <col min="7942" max="7942" width="15.28515625" style="260" customWidth="1"/>
    <col min="7943" max="7944" width="19.28515625" style="260" customWidth="1"/>
    <col min="7945" max="7945" width="13.85546875" style="260" customWidth="1"/>
    <col min="7946" max="7946" width="25.28515625" style="260" customWidth="1"/>
    <col min="7947" max="7947" width="16.28515625" style="260" customWidth="1"/>
    <col min="7948" max="8192" width="9.28515625" style="260"/>
    <col min="8193" max="8193" width="15" style="260" customWidth="1"/>
    <col min="8194" max="8194" width="12.7109375" style="260" customWidth="1"/>
    <col min="8195" max="8195" width="11.7109375" style="260" customWidth="1"/>
    <col min="8196" max="8196" width="44.85546875" style="260" customWidth="1"/>
    <col min="8197" max="8197" width="54.7109375" style="260" customWidth="1"/>
    <col min="8198" max="8198" width="15.28515625" style="260" customWidth="1"/>
    <col min="8199" max="8200" width="19.28515625" style="260" customWidth="1"/>
    <col min="8201" max="8201" width="13.85546875" style="260" customWidth="1"/>
    <col min="8202" max="8202" width="25.28515625" style="260" customWidth="1"/>
    <col min="8203" max="8203" width="16.28515625" style="260" customWidth="1"/>
    <col min="8204" max="8448" width="9.28515625" style="260"/>
    <col min="8449" max="8449" width="15" style="260" customWidth="1"/>
    <col min="8450" max="8450" width="12.7109375" style="260" customWidth="1"/>
    <col min="8451" max="8451" width="11.7109375" style="260" customWidth="1"/>
    <col min="8452" max="8452" width="44.85546875" style="260" customWidth="1"/>
    <col min="8453" max="8453" width="54.7109375" style="260" customWidth="1"/>
    <col min="8454" max="8454" width="15.28515625" style="260" customWidth="1"/>
    <col min="8455" max="8456" width="19.28515625" style="260" customWidth="1"/>
    <col min="8457" max="8457" width="13.85546875" style="260" customWidth="1"/>
    <col min="8458" max="8458" width="25.28515625" style="260" customWidth="1"/>
    <col min="8459" max="8459" width="16.28515625" style="260" customWidth="1"/>
    <col min="8460" max="8704" width="9.28515625" style="260"/>
    <col min="8705" max="8705" width="15" style="260" customWidth="1"/>
    <col min="8706" max="8706" width="12.7109375" style="260" customWidth="1"/>
    <col min="8707" max="8707" width="11.7109375" style="260" customWidth="1"/>
    <col min="8708" max="8708" width="44.85546875" style="260" customWidth="1"/>
    <col min="8709" max="8709" width="54.7109375" style="260" customWidth="1"/>
    <col min="8710" max="8710" width="15.28515625" style="260" customWidth="1"/>
    <col min="8711" max="8712" width="19.28515625" style="260" customWidth="1"/>
    <col min="8713" max="8713" width="13.85546875" style="260" customWidth="1"/>
    <col min="8714" max="8714" width="25.28515625" style="260" customWidth="1"/>
    <col min="8715" max="8715" width="16.28515625" style="260" customWidth="1"/>
    <col min="8716" max="8960" width="9.28515625" style="260"/>
    <col min="8961" max="8961" width="15" style="260" customWidth="1"/>
    <col min="8962" max="8962" width="12.7109375" style="260" customWidth="1"/>
    <col min="8963" max="8963" width="11.7109375" style="260" customWidth="1"/>
    <col min="8964" max="8964" width="44.85546875" style="260" customWidth="1"/>
    <col min="8965" max="8965" width="54.7109375" style="260" customWidth="1"/>
    <col min="8966" max="8966" width="15.28515625" style="260" customWidth="1"/>
    <col min="8967" max="8968" width="19.28515625" style="260" customWidth="1"/>
    <col min="8969" max="8969" width="13.85546875" style="260" customWidth="1"/>
    <col min="8970" max="8970" width="25.28515625" style="260" customWidth="1"/>
    <col min="8971" max="8971" width="16.28515625" style="260" customWidth="1"/>
    <col min="8972" max="9216" width="9.28515625" style="260"/>
    <col min="9217" max="9217" width="15" style="260" customWidth="1"/>
    <col min="9218" max="9218" width="12.7109375" style="260" customWidth="1"/>
    <col min="9219" max="9219" width="11.7109375" style="260" customWidth="1"/>
    <col min="9220" max="9220" width="44.85546875" style="260" customWidth="1"/>
    <col min="9221" max="9221" width="54.7109375" style="260" customWidth="1"/>
    <col min="9222" max="9222" width="15.28515625" style="260" customWidth="1"/>
    <col min="9223" max="9224" width="19.28515625" style="260" customWidth="1"/>
    <col min="9225" max="9225" width="13.85546875" style="260" customWidth="1"/>
    <col min="9226" max="9226" width="25.28515625" style="260" customWidth="1"/>
    <col min="9227" max="9227" width="16.28515625" style="260" customWidth="1"/>
    <col min="9228" max="9472" width="9.28515625" style="260"/>
    <col min="9473" max="9473" width="15" style="260" customWidth="1"/>
    <col min="9474" max="9474" width="12.7109375" style="260" customWidth="1"/>
    <col min="9475" max="9475" width="11.7109375" style="260" customWidth="1"/>
    <col min="9476" max="9476" width="44.85546875" style="260" customWidth="1"/>
    <col min="9477" max="9477" width="54.7109375" style="260" customWidth="1"/>
    <col min="9478" max="9478" width="15.28515625" style="260" customWidth="1"/>
    <col min="9479" max="9480" width="19.28515625" style="260" customWidth="1"/>
    <col min="9481" max="9481" width="13.85546875" style="260" customWidth="1"/>
    <col min="9482" max="9482" width="25.28515625" style="260" customWidth="1"/>
    <col min="9483" max="9483" width="16.28515625" style="260" customWidth="1"/>
    <col min="9484" max="9728" width="9.28515625" style="260"/>
    <col min="9729" max="9729" width="15" style="260" customWidth="1"/>
    <col min="9730" max="9730" width="12.7109375" style="260" customWidth="1"/>
    <col min="9731" max="9731" width="11.7109375" style="260" customWidth="1"/>
    <col min="9732" max="9732" width="44.85546875" style="260" customWidth="1"/>
    <col min="9733" max="9733" width="54.7109375" style="260" customWidth="1"/>
    <col min="9734" max="9734" width="15.28515625" style="260" customWidth="1"/>
    <col min="9735" max="9736" width="19.28515625" style="260" customWidth="1"/>
    <col min="9737" max="9737" width="13.85546875" style="260" customWidth="1"/>
    <col min="9738" max="9738" width="25.28515625" style="260" customWidth="1"/>
    <col min="9739" max="9739" width="16.28515625" style="260" customWidth="1"/>
    <col min="9740" max="9984" width="9.28515625" style="260"/>
    <col min="9985" max="9985" width="15" style="260" customWidth="1"/>
    <col min="9986" max="9986" width="12.7109375" style="260" customWidth="1"/>
    <col min="9987" max="9987" width="11.7109375" style="260" customWidth="1"/>
    <col min="9988" max="9988" width="44.85546875" style="260" customWidth="1"/>
    <col min="9989" max="9989" width="54.7109375" style="260" customWidth="1"/>
    <col min="9990" max="9990" width="15.28515625" style="260" customWidth="1"/>
    <col min="9991" max="9992" width="19.28515625" style="260" customWidth="1"/>
    <col min="9993" max="9993" width="13.85546875" style="260" customWidth="1"/>
    <col min="9994" max="9994" width="25.28515625" style="260" customWidth="1"/>
    <col min="9995" max="9995" width="16.28515625" style="260" customWidth="1"/>
    <col min="9996" max="10240" width="9.28515625" style="260"/>
    <col min="10241" max="10241" width="15" style="260" customWidth="1"/>
    <col min="10242" max="10242" width="12.7109375" style="260" customWidth="1"/>
    <col min="10243" max="10243" width="11.7109375" style="260" customWidth="1"/>
    <col min="10244" max="10244" width="44.85546875" style="260" customWidth="1"/>
    <col min="10245" max="10245" width="54.7109375" style="260" customWidth="1"/>
    <col min="10246" max="10246" width="15.28515625" style="260" customWidth="1"/>
    <col min="10247" max="10248" width="19.28515625" style="260" customWidth="1"/>
    <col min="10249" max="10249" width="13.85546875" style="260" customWidth="1"/>
    <col min="10250" max="10250" width="25.28515625" style="260" customWidth="1"/>
    <col min="10251" max="10251" width="16.28515625" style="260" customWidth="1"/>
    <col min="10252" max="10496" width="9.28515625" style="260"/>
    <col min="10497" max="10497" width="15" style="260" customWidth="1"/>
    <col min="10498" max="10498" width="12.7109375" style="260" customWidth="1"/>
    <col min="10499" max="10499" width="11.7109375" style="260" customWidth="1"/>
    <col min="10500" max="10500" width="44.85546875" style="260" customWidth="1"/>
    <col min="10501" max="10501" width="54.7109375" style="260" customWidth="1"/>
    <col min="10502" max="10502" width="15.28515625" style="260" customWidth="1"/>
    <col min="10503" max="10504" width="19.28515625" style="260" customWidth="1"/>
    <col min="10505" max="10505" width="13.85546875" style="260" customWidth="1"/>
    <col min="10506" max="10506" width="25.28515625" style="260" customWidth="1"/>
    <col min="10507" max="10507" width="16.28515625" style="260" customWidth="1"/>
    <col min="10508" max="10752" width="9.28515625" style="260"/>
    <col min="10753" max="10753" width="15" style="260" customWidth="1"/>
    <col min="10754" max="10754" width="12.7109375" style="260" customWidth="1"/>
    <col min="10755" max="10755" width="11.7109375" style="260" customWidth="1"/>
    <col min="10756" max="10756" width="44.85546875" style="260" customWidth="1"/>
    <col min="10757" max="10757" width="54.7109375" style="260" customWidth="1"/>
    <col min="10758" max="10758" width="15.28515625" style="260" customWidth="1"/>
    <col min="10759" max="10760" width="19.28515625" style="260" customWidth="1"/>
    <col min="10761" max="10761" width="13.85546875" style="260" customWidth="1"/>
    <col min="10762" max="10762" width="25.28515625" style="260" customWidth="1"/>
    <col min="10763" max="10763" width="16.28515625" style="260" customWidth="1"/>
    <col min="10764" max="11008" width="9.28515625" style="260"/>
    <col min="11009" max="11009" width="15" style="260" customWidth="1"/>
    <col min="11010" max="11010" width="12.7109375" style="260" customWidth="1"/>
    <col min="11011" max="11011" width="11.7109375" style="260" customWidth="1"/>
    <col min="11012" max="11012" width="44.85546875" style="260" customWidth="1"/>
    <col min="11013" max="11013" width="54.7109375" style="260" customWidth="1"/>
    <col min="11014" max="11014" width="15.28515625" style="260" customWidth="1"/>
    <col min="11015" max="11016" width="19.28515625" style="260" customWidth="1"/>
    <col min="11017" max="11017" width="13.85546875" style="260" customWidth="1"/>
    <col min="11018" max="11018" width="25.28515625" style="260" customWidth="1"/>
    <col min="11019" max="11019" width="16.28515625" style="260" customWidth="1"/>
    <col min="11020" max="11264" width="9.28515625" style="260"/>
    <col min="11265" max="11265" width="15" style="260" customWidth="1"/>
    <col min="11266" max="11266" width="12.7109375" style="260" customWidth="1"/>
    <col min="11267" max="11267" width="11.7109375" style="260" customWidth="1"/>
    <col min="11268" max="11268" width="44.85546875" style="260" customWidth="1"/>
    <col min="11269" max="11269" width="54.7109375" style="260" customWidth="1"/>
    <col min="11270" max="11270" width="15.28515625" style="260" customWidth="1"/>
    <col min="11271" max="11272" width="19.28515625" style="260" customWidth="1"/>
    <col min="11273" max="11273" width="13.85546875" style="260" customWidth="1"/>
    <col min="11274" max="11274" width="25.28515625" style="260" customWidth="1"/>
    <col min="11275" max="11275" width="16.28515625" style="260" customWidth="1"/>
    <col min="11276" max="11520" width="9.28515625" style="260"/>
    <col min="11521" max="11521" width="15" style="260" customWidth="1"/>
    <col min="11522" max="11522" width="12.7109375" style="260" customWidth="1"/>
    <col min="11523" max="11523" width="11.7109375" style="260" customWidth="1"/>
    <col min="11524" max="11524" width="44.85546875" style="260" customWidth="1"/>
    <col min="11525" max="11525" width="54.7109375" style="260" customWidth="1"/>
    <col min="11526" max="11526" width="15.28515625" style="260" customWidth="1"/>
    <col min="11527" max="11528" width="19.28515625" style="260" customWidth="1"/>
    <col min="11529" max="11529" width="13.85546875" style="260" customWidth="1"/>
    <col min="11530" max="11530" width="25.28515625" style="260" customWidth="1"/>
    <col min="11531" max="11531" width="16.28515625" style="260" customWidth="1"/>
    <col min="11532" max="11776" width="9.28515625" style="260"/>
    <col min="11777" max="11777" width="15" style="260" customWidth="1"/>
    <col min="11778" max="11778" width="12.7109375" style="260" customWidth="1"/>
    <col min="11779" max="11779" width="11.7109375" style="260" customWidth="1"/>
    <col min="11780" max="11780" width="44.85546875" style="260" customWidth="1"/>
    <col min="11781" max="11781" width="54.7109375" style="260" customWidth="1"/>
    <col min="11782" max="11782" width="15.28515625" style="260" customWidth="1"/>
    <col min="11783" max="11784" width="19.28515625" style="260" customWidth="1"/>
    <col min="11785" max="11785" width="13.85546875" style="260" customWidth="1"/>
    <col min="11786" max="11786" width="25.28515625" style="260" customWidth="1"/>
    <col min="11787" max="11787" width="16.28515625" style="260" customWidth="1"/>
    <col min="11788" max="12032" width="9.28515625" style="260"/>
    <col min="12033" max="12033" width="15" style="260" customWidth="1"/>
    <col min="12034" max="12034" width="12.7109375" style="260" customWidth="1"/>
    <col min="12035" max="12035" width="11.7109375" style="260" customWidth="1"/>
    <col min="12036" max="12036" width="44.85546875" style="260" customWidth="1"/>
    <col min="12037" max="12037" width="54.7109375" style="260" customWidth="1"/>
    <col min="12038" max="12038" width="15.28515625" style="260" customWidth="1"/>
    <col min="12039" max="12040" width="19.28515625" style="260" customWidth="1"/>
    <col min="12041" max="12041" width="13.85546875" style="260" customWidth="1"/>
    <col min="12042" max="12042" width="25.28515625" style="260" customWidth="1"/>
    <col min="12043" max="12043" width="16.28515625" style="260" customWidth="1"/>
    <col min="12044" max="12288" width="9.28515625" style="260"/>
    <col min="12289" max="12289" width="15" style="260" customWidth="1"/>
    <col min="12290" max="12290" width="12.7109375" style="260" customWidth="1"/>
    <col min="12291" max="12291" width="11.7109375" style="260" customWidth="1"/>
    <col min="12292" max="12292" width="44.85546875" style="260" customWidth="1"/>
    <col min="12293" max="12293" width="54.7109375" style="260" customWidth="1"/>
    <col min="12294" max="12294" width="15.28515625" style="260" customWidth="1"/>
    <col min="12295" max="12296" width="19.28515625" style="260" customWidth="1"/>
    <col min="12297" max="12297" width="13.85546875" style="260" customWidth="1"/>
    <col min="12298" max="12298" width="25.28515625" style="260" customWidth="1"/>
    <col min="12299" max="12299" width="16.28515625" style="260" customWidth="1"/>
    <col min="12300" max="12544" width="9.28515625" style="260"/>
    <col min="12545" max="12545" width="15" style="260" customWidth="1"/>
    <col min="12546" max="12546" width="12.7109375" style="260" customWidth="1"/>
    <col min="12547" max="12547" width="11.7109375" style="260" customWidth="1"/>
    <col min="12548" max="12548" width="44.85546875" style="260" customWidth="1"/>
    <col min="12549" max="12549" width="54.7109375" style="260" customWidth="1"/>
    <col min="12550" max="12550" width="15.28515625" style="260" customWidth="1"/>
    <col min="12551" max="12552" width="19.28515625" style="260" customWidth="1"/>
    <col min="12553" max="12553" width="13.85546875" style="260" customWidth="1"/>
    <col min="12554" max="12554" width="25.28515625" style="260" customWidth="1"/>
    <col min="12555" max="12555" width="16.28515625" style="260" customWidth="1"/>
    <col min="12556" max="12800" width="9.28515625" style="260"/>
    <col min="12801" max="12801" width="15" style="260" customWidth="1"/>
    <col min="12802" max="12802" width="12.7109375" style="260" customWidth="1"/>
    <col min="12803" max="12803" width="11.7109375" style="260" customWidth="1"/>
    <col min="12804" max="12804" width="44.85546875" style="260" customWidth="1"/>
    <col min="12805" max="12805" width="54.7109375" style="260" customWidth="1"/>
    <col min="12806" max="12806" width="15.28515625" style="260" customWidth="1"/>
    <col min="12807" max="12808" width="19.28515625" style="260" customWidth="1"/>
    <col min="12809" max="12809" width="13.85546875" style="260" customWidth="1"/>
    <col min="12810" max="12810" width="25.28515625" style="260" customWidth="1"/>
    <col min="12811" max="12811" width="16.28515625" style="260" customWidth="1"/>
    <col min="12812" max="13056" width="9.28515625" style="260"/>
    <col min="13057" max="13057" width="15" style="260" customWidth="1"/>
    <col min="13058" max="13058" width="12.7109375" style="260" customWidth="1"/>
    <col min="13059" max="13059" width="11.7109375" style="260" customWidth="1"/>
    <col min="13060" max="13060" width="44.85546875" style="260" customWidth="1"/>
    <col min="13061" max="13061" width="54.7109375" style="260" customWidth="1"/>
    <col min="13062" max="13062" width="15.28515625" style="260" customWidth="1"/>
    <col min="13063" max="13064" width="19.28515625" style="260" customWidth="1"/>
    <col min="13065" max="13065" width="13.85546875" style="260" customWidth="1"/>
    <col min="13066" max="13066" width="25.28515625" style="260" customWidth="1"/>
    <col min="13067" max="13067" width="16.28515625" style="260" customWidth="1"/>
    <col min="13068" max="13312" width="9.28515625" style="260"/>
    <col min="13313" max="13313" width="15" style="260" customWidth="1"/>
    <col min="13314" max="13314" width="12.7109375" style="260" customWidth="1"/>
    <col min="13315" max="13315" width="11.7109375" style="260" customWidth="1"/>
    <col min="13316" max="13316" width="44.85546875" style="260" customWidth="1"/>
    <col min="13317" max="13317" width="54.7109375" style="260" customWidth="1"/>
    <col min="13318" max="13318" width="15.28515625" style="260" customWidth="1"/>
    <col min="13319" max="13320" width="19.28515625" style="260" customWidth="1"/>
    <col min="13321" max="13321" width="13.85546875" style="260" customWidth="1"/>
    <col min="13322" max="13322" width="25.28515625" style="260" customWidth="1"/>
    <col min="13323" max="13323" width="16.28515625" style="260" customWidth="1"/>
    <col min="13324" max="13568" width="9.28515625" style="260"/>
    <col min="13569" max="13569" width="15" style="260" customWidth="1"/>
    <col min="13570" max="13570" width="12.7109375" style="260" customWidth="1"/>
    <col min="13571" max="13571" width="11.7109375" style="260" customWidth="1"/>
    <col min="13572" max="13572" width="44.85546875" style="260" customWidth="1"/>
    <col min="13573" max="13573" width="54.7109375" style="260" customWidth="1"/>
    <col min="13574" max="13574" width="15.28515625" style="260" customWidth="1"/>
    <col min="13575" max="13576" width="19.28515625" style="260" customWidth="1"/>
    <col min="13577" max="13577" width="13.85546875" style="260" customWidth="1"/>
    <col min="13578" max="13578" width="25.28515625" style="260" customWidth="1"/>
    <col min="13579" max="13579" width="16.28515625" style="260" customWidth="1"/>
    <col min="13580" max="13824" width="9.28515625" style="260"/>
    <col min="13825" max="13825" width="15" style="260" customWidth="1"/>
    <col min="13826" max="13826" width="12.7109375" style="260" customWidth="1"/>
    <col min="13827" max="13827" width="11.7109375" style="260" customWidth="1"/>
    <col min="13828" max="13828" width="44.85546875" style="260" customWidth="1"/>
    <col min="13829" max="13829" width="54.7109375" style="260" customWidth="1"/>
    <col min="13830" max="13830" width="15.28515625" style="260" customWidth="1"/>
    <col min="13831" max="13832" width="19.28515625" style="260" customWidth="1"/>
    <col min="13833" max="13833" width="13.85546875" style="260" customWidth="1"/>
    <col min="13834" max="13834" width="25.28515625" style="260" customWidth="1"/>
    <col min="13835" max="13835" width="16.28515625" style="260" customWidth="1"/>
    <col min="13836" max="14080" width="9.28515625" style="260"/>
    <col min="14081" max="14081" width="15" style="260" customWidth="1"/>
    <col min="14082" max="14082" width="12.7109375" style="260" customWidth="1"/>
    <col min="14083" max="14083" width="11.7109375" style="260" customWidth="1"/>
    <col min="14084" max="14084" width="44.85546875" style="260" customWidth="1"/>
    <col min="14085" max="14085" width="54.7109375" style="260" customWidth="1"/>
    <col min="14086" max="14086" width="15.28515625" style="260" customWidth="1"/>
    <col min="14087" max="14088" width="19.28515625" style="260" customWidth="1"/>
    <col min="14089" max="14089" width="13.85546875" style="260" customWidth="1"/>
    <col min="14090" max="14090" width="25.28515625" style="260" customWidth="1"/>
    <col min="14091" max="14091" width="16.28515625" style="260" customWidth="1"/>
    <col min="14092" max="14336" width="9.28515625" style="260"/>
    <col min="14337" max="14337" width="15" style="260" customWidth="1"/>
    <col min="14338" max="14338" width="12.7109375" style="260" customWidth="1"/>
    <col min="14339" max="14339" width="11.7109375" style="260" customWidth="1"/>
    <col min="14340" max="14340" width="44.85546875" style="260" customWidth="1"/>
    <col min="14341" max="14341" width="54.7109375" style="260" customWidth="1"/>
    <col min="14342" max="14342" width="15.28515625" style="260" customWidth="1"/>
    <col min="14343" max="14344" width="19.28515625" style="260" customWidth="1"/>
    <col min="14345" max="14345" width="13.85546875" style="260" customWidth="1"/>
    <col min="14346" max="14346" width="25.28515625" style="260" customWidth="1"/>
    <col min="14347" max="14347" width="16.28515625" style="260" customWidth="1"/>
    <col min="14348" max="14592" width="9.28515625" style="260"/>
    <col min="14593" max="14593" width="15" style="260" customWidth="1"/>
    <col min="14594" max="14594" width="12.7109375" style="260" customWidth="1"/>
    <col min="14595" max="14595" width="11.7109375" style="260" customWidth="1"/>
    <col min="14596" max="14596" width="44.85546875" style="260" customWidth="1"/>
    <col min="14597" max="14597" width="54.7109375" style="260" customWidth="1"/>
    <col min="14598" max="14598" width="15.28515625" style="260" customWidth="1"/>
    <col min="14599" max="14600" width="19.28515625" style="260" customWidth="1"/>
    <col min="14601" max="14601" width="13.85546875" style="260" customWidth="1"/>
    <col min="14602" max="14602" width="25.28515625" style="260" customWidth="1"/>
    <col min="14603" max="14603" width="16.28515625" style="260" customWidth="1"/>
    <col min="14604" max="14848" width="9.28515625" style="260"/>
    <col min="14849" max="14849" width="15" style="260" customWidth="1"/>
    <col min="14850" max="14850" width="12.7109375" style="260" customWidth="1"/>
    <col min="14851" max="14851" width="11.7109375" style="260" customWidth="1"/>
    <col min="14852" max="14852" width="44.85546875" style="260" customWidth="1"/>
    <col min="14853" max="14853" width="54.7109375" style="260" customWidth="1"/>
    <col min="14854" max="14854" width="15.28515625" style="260" customWidth="1"/>
    <col min="14855" max="14856" width="19.28515625" style="260" customWidth="1"/>
    <col min="14857" max="14857" width="13.85546875" style="260" customWidth="1"/>
    <col min="14858" max="14858" width="25.28515625" style="260" customWidth="1"/>
    <col min="14859" max="14859" width="16.28515625" style="260" customWidth="1"/>
    <col min="14860" max="15104" width="9.28515625" style="260"/>
    <col min="15105" max="15105" width="15" style="260" customWidth="1"/>
    <col min="15106" max="15106" width="12.7109375" style="260" customWidth="1"/>
    <col min="15107" max="15107" width="11.7109375" style="260" customWidth="1"/>
    <col min="15108" max="15108" width="44.85546875" style="260" customWidth="1"/>
    <col min="15109" max="15109" width="54.7109375" style="260" customWidth="1"/>
    <col min="15110" max="15110" width="15.28515625" style="260" customWidth="1"/>
    <col min="15111" max="15112" width="19.28515625" style="260" customWidth="1"/>
    <col min="15113" max="15113" width="13.85546875" style="260" customWidth="1"/>
    <col min="15114" max="15114" width="25.28515625" style="260" customWidth="1"/>
    <col min="15115" max="15115" width="16.28515625" style="260" customWidth="1"/>
    <col min="15116" max="15360" width="9.28515625" style="260"/>
    <col min="15361" max="15361" width="15" style="260" customWidth="1"/>
    <col min="15362" max="15362" width="12.7109375" style="260" customWidth="1"/>
    <col min="15363" max="15363" width="11.7109375" style="260" customWidth="1"/>
    <col min="15364" max="15364" width="44.85546875" style="260" customWidth="1"/>
    <col min="15365" max="15365" width="54.7109375" style="260" customWidth="1"/>
    <col min="15366" max="15366" width="15.28515625" style="260" customWidth="1"/>
    <col min="15367" max="15368" width="19.28515625" style="260" customWidth="1"/>
    <col min="15369" max="15369" width="13.85546875" style="260" customWidth="1"/>
    <col min="15370" max="15370" width="25.28515625" style="260" customWidth="1"/>
    <col min="15371" max="15371" width="16.28515625" style="260" customWidth="1"/>
    <col min="15372" max="15616" width="9.28515625" style="260"/>
    <col min="15617" max="15617" width="15" style="260" customWidth="1"/>
    <col min="15618" max="15618" width="12.7109375" style="260" customWidth="1"/>
    <col min="15619" max="15619" width="11.7109375" style="260" customWidth="1"/>
    <col min="15620" max="15620" width="44.85546875" style="260" customWidth="1"/>
    <col min="15621" max="15621" width="54.7109375" style="260" customWidth="1"/>
    <col min="15622" max="15622" width="15.28515625" style="260" customWidth="1"/>
    <col min="15623" max="15624" width="19.28515625" style="260" customWidth="1"/>
    <col min="15625" max="15625" width="13.85546875" style="260" customWidth="1"/>
    <col min="15626" max="15626" width="25.28515625" style="260" customWidth="1"/>
    <col min="15627" max="15627" width="16.28515625" style="260" customWidth="1"/>
    <col min="15628" max="15872" width="9.28515625" style="260"/>
    <col min="15873" max="15873" width="15" style="260" customWidth="1"/>
    <col min="15874" max="15874" width="12.7109375" style="260" customWidth="1"/>
    <col min="15875" max="15875" width="11.7109375" style="260" customWidth="1"/>
    <col min="15876" max="15876" width="44.85546875" style="260" customWidth="1"/>
    <col min="15877" max="15877" width="54.7109375" style="260" customWidth="1"/>
    <col min="15878" max="15878" width="15.28515625" style="260" customWidth="1"/>
    <col min="15879" max="15880" width="19.28515625" style="260" customWidth="1"/>
    <col min="15881" max="15881" width="13.85546875" style="260" customWidth="1"/>
    <col min="15882" max="15882" width="25.28515625" style="260" customWidth="1"/>
    <col min="15883" max="15883" width="16.28515625" style="260" customWidth="1"/>
    <col min="15884" max="16128" width="9.28515625" style="260"/>
    <col min="16129" max="16129" width="15" style="260" customWidth="1"/>
    <col min="16130" max="16130" width="12.7109375" style="260" customWidth="1"/>
    <col min="16131" max="16131" width="11.7109375" style="260" customWidth="1"/>
    <col min="16132" max="16132" width="44.85546875" style="260" customWidth="1"/>
    <col min="16133" max="16133" width="54.7109375" style="260" customWidth="1"/>
    <col min="16134" max="16134" width="15.28515625" style="260" customWidth="1"/>
    <col min="16135" max="16136" width="19.28515625" style="260" customWidth="1"/>
    <col min="16137" max="16137" width="13.85546875" style="260" customWidth="1"/>
    <col min="16138" max="16138" width="25.28515625" style="260" customWidth="1"/>
    <col min="16139" max="16139" width="16.28515625" style="260" customWidth="1"/>
    <col min="16140" max="16384" width="9.28515625" style="260"/>
  </cols>
  <sheetData>
    <row r="2" spans="1:11" ht="15.75" x14ac:dyDescent="0.25">
      <c r="I2" s="673" t="s">
        <v>509</v>
      </c>
      <c r="J2" s="4"/>
    </row>
    <row r="3" spans="1:11" ht="15.75" x14ac:dyDescent="0.25">
      <c r="I3" s="673" t="s">
        <v>667</v>
      </c>
      <c r="J3" s="4"/>
    </row>
    <row r="4" spans="1:11" ht="15.75" x14ac:dyDescent="0.25">
      <c r="I4" s="100" t="s">
        <v>691</v>
      </c>
      <c r="J4" s="7"/>
    </row>
    <row r="5" spans="1:11" ht="15.75" x14ac:dyDescent="0.25">
      <c r="I5" s="101" t="s">
        <v>684</v>
      </c>
      <c r="J5" s="102"/>
    </row>
    <row r="6" spans="1:11" ht="15.75" x14ac:dyDescent="0.25">
      <c r="I6" s="800" t="s">
        <v>510</v>
      </c>
      <c r="J6" s="800"/>
    </row>
    <row r="8" spans="1:11" ht="15.75" x14ac:dyDescent="0.25">
      <c r="G8" s="264"/>
      <c r="H8" s="264"/>
      <c r="I8" s="267" t="s">
        <v>511</v>
      </c>
      <c r="J8" s="267"/>
      <c r="K8" s="260"/>
    </row>
    <row r="9" spans="1:11" ht="15" customHeight="1" x14ac:dyDescent="0.25">
      <c r="G9" s="264"/>
      <c r="H9" s="264"/>
      <c r="I9" s="798" t="s">
        <v>281</v>
      </c>
      <c r="J9" s="798"/>
      <c r="K9" s="260"/>
    </row>
    <row r="10" spans="1:11" ht="15.75" x14ac:dyDescent="0.25">
      <c r="G10" s="264"/>
      <c r="H10" s="264"/>
      <c r="I10" s="268" t="s">
        <v>512</v>
      </c>
      <c r="J10" s="269"/>
      <c r="K10" s="260"/>
    </row>
    <row r="11" spans="1:11" ht="15.75" x14ac:dyDescent="0.25">
      <c r="G11" s="264"/>
      <c r="H11" s="264"/>
      <c r="I11" s="268" t="s">
        <v>282</v>
      </c>
      <c r="J11" s="269"/>
      <c r="K11" s="260"/>
    </row>
    <row r="12" spans="1:11" ht="14.1" customHeight="1" x14ac:dyDescent="0.25">
      <c r="G12" s="264"/>
      <c r="H12" s="264"/>
      <c r="I12" s="6" t="s">
        <v>513</v>
      </c>
      <c r="J12" s="270"/>
      <c r="K12" s="260"/>
    </row>
    <row r="13" spans="1:11" ht="20.25" customHeight="1" x14ac:dyDescent="0.25">
      <c r="G13" s="264"/>
      <c r="H13" s="264"/>
      <c r="I13" s="271" t="s">
        <v>276</v>
      </c>
      <c r="J13" s="272"/>
      <c r="K13" s="260"/>
    </row>
    <row r="14" spans="1:11" ht="15.75" x14ac:dyDescent="0.25">
      <c r="G14" s="264"/>
      <c r="H14" s="264"/>
      <c r="I14" s="273" t="s">
        <v>514</v>
      </c>
      <c r="K14" s="260"/>
    </row>
    <row r="15" spans="1:11" s="268" customFormat="1" ht="15.75" x14ac:dyDescent="0.25">
      <c r="A15" s="260"/>
      <c r="B15" s="261"/>
      <c r="C15" s="262"/>
      <c r="D15" s="263"/>
      <c r="E15" s="264"/>
      <c r="F15" s="262"/>
      <c r="G15" s="264"/>
      <c r="H15" s="264"/>
      <c r="I15" s="264"/>
      <c r="K15" s="274"/>
    </row>
    <row r="16" spans="1:11" ht="27" customHeight="1" x14ac:dyDescent="0.25">
      <c r="A16" s="950" t="s">
        <v>515</v>
      </c>
      <c r="B16" s="950"/>
      <c r="C16" s="950"/>
      <c r="D16" s="950"/>
      <c r="E16" s="950"/>
      <c r="F16" s="950"/>
      <c r="G16" s="950"/>
      <c r="H16" s="950"/>
      <c r="I16" s="950"/>
      <c r="J16" s="950"/>
      <c r="K16" s="950"/>
    </row>
    <row r="17" spans="1:11" ht="28.35" customHeight="1" x14ac:dyDescent="0.25">
      <c r="A17" s="951">
        <v>1559100000</v>
      </c>
      <c r="B17" s="951"/>
      <c r="C17" s="951"/>
      <c r="D17" s="952"/>
      <c r="E17" s="952"/>
      <c r="F17" s="952"/>
      <c r="G17" s="952"/>
      <c r="H17" s="952"/>
      <c r="I17" s="952"/>
      <c r="J17" s="952"/>
      <c r="K17" s="952"/>
    </row>
    <row r="18" spans="1:11" ht="22.15" customHeight="1" thickBot="1" x14ac:dyDescent="0.3">
      <c r="A18" s="953" t="s">
        <v>0</v>
      </c>
      <c r="B18" s="953"/>
      <c r="C18" s="953"/>
      <c r="D18" s="275"/>
      <c r="E18" s="275"/>
      <c r="F18" s="276"/>
      <c r="G18" s="275"/>
      <c r="H18" s="275"/>
      <c r="I18" s="275"/>
      <c r="J18" s="275"/>
      <c r="K18" s="277" t="s">
        <v>283</v>
      </c>
    </row>
    <row r="19" spans="1:11" s="268" customFormat="1" ht="77.25" customHeight="1" x14ac:dyDescent="0.25">
      <c r="A19" s="954" t="s">
        <v>10</v>
      </c>
      <c r="B19" s="956" t="s">
        <v>11</v>
      </c>
      <c r="C19" s="958" t="s">
        <v>516</v>
      </c>
      <c r="D19" s="956" t="s">
        <v>517</v>
      </c>
      <c r="E19" s="958" t="s">
        <v>518</v>
      </c>
      <c r="F19" s="956" t="s">
        <v>519</v>
      </c>
      <c r="G19" s="958" t="s">
        <v>520</v>
      </c>
      <c r="H19" s="960" t="s">
        <v>521</v>
      </c>
      <c r="I19" s="956" t="s">
        <v>522</v>
      </c>
      <c r="J19" s="960" t="s">
        <v>523</v>
      </c>
      <c r="K19" s="948" t="s">
        <v>524</v>
      </c>
    </row>
    <row r="20" spans="1:11" s="268" customFormat="1" ht="157.9" customHeight="1" thickBot="1" x14ac:dyDescent="0.3">
      <c r="A20" s="955"/>
      <c r="B20" s="957"/>
      <c r="C20" s="959"/>
      <c r="D20" s="957"/>
      <c r="E20" s="959"/>
      <c r="F20" s="957"/>
      <c r="G20" s="959"/>
      <c r="H20" s="961"/>
      <c r="I20" s="957"/>
      <c r="J20" s="961"/>
      <c r="K20" s="949"/>
    </row>
    <row r="21" spans="1:11" s="103" customFormat="1" ht="24" customHeight="1" thickBot="1" x14ac:dyDescent="0.3">
      <c r="A21" s="278" t="s">
        <v>525</v>
      </c>
      <c r="B21" s="279" t="s">
        <v>526</v>
      </c>
      <c r="C21" s="280" t="s">
        <v>527</v>
      </c>
      <c r="D21" s="279" t="s">
        <v>528</v>
      </c>
      <c r="E21" s="279" t="s">
        <v>529</v>
      </c>
      <c r="F21" s="279" t="s">
        <v>530</v>
      </c>
      <c r="G21" s="279" t="s">
        <v>531</v>
      </c>
      <c r="H21" s="280" t="s">
        <v>532</v>
      </c>
      <c r="I21" s="280" t="s">
        <v>533</v>
      </c>
      <c r="J21" s="281">
        <v>10</v>
      </c>
      <c r="K21" s="282">
        <v>11</v>
      </c>
    </row>
    <row r="22" spans="1:11" s="103" customFormat="1" ht="57" thickBot="1" x14ac:dyDescent="0.3">
      <c r="A22" s="283" t="s">
        <v>15</v>
      </c>
      <c r="B22" s="284"/>
      <c r="C22" s="285"/>
      <c r="D22" s="286" t="s">
        <v>534</v>
      </c>
      <c r="E22" s="287"/>
      <c r="F22" s="288"/>
      <c r="G22" s="289"/>
      <c r="H22" s="290"/>
      <c r="I22" s="290"/>
      <c r="J22" s="291">
        <f>J23</f>
        <v>50189664</v>
      </c>
      <c r="K22" s="292"/>
    </row>
    <row r="23" spans="1:11" s="103" customFormat="1" ht="60" customHeight="1" x14ac:dyDescent="0.25">
      <c r="A23" s="293" t="s">
        <v>18</v>
      </c>
      <c r="B23" s="294"/>
      <c r="C23" s="294"/>
      <c r="D23" s="295" t="s">
        <v>534</v>
      </c>
      <c r="E23" s="296"/>
      <c r="F23" s="297"/>
      <c r="G23" s="298"/>
      <c r="H23" s="299"/>
      <c r="I23" s="299"/>
      <c r="J23" s="300">
        <f>SUM(J24:J31)</f>
        <v>50189664</v>
      </c>
      <c r="K23" s="301"/>
    </row>
    <row r="24" spans="1:11" s="103" customFormat="1" ht="101.25" customHeight="1" x14ac:dyDescent="0.25">
      <c r="A24" s="302" t="s">
        <v>173</v>
      </c>
      <c r="B24" s="303" t="s">
        <v>174</v>
      </c>
      <c r="C24" s="303" t="s">
        <v>19</v>
      </c>
      <c r="D24" s="576" t="s">
        <v>175</v>
      </c>
      <c r="E24" s="304" t="s">
        <v>535</v>
      </c>
      <c r="F24" s="305"/>
      <c r="G24" s="306"/>
      <c r="H24" s="306"/>
      <c r="I24" s="306"/>
      <c r="J24" s="307">
        <f>338000</f>
        <v>338000</v>
      </c>
      <c r="K24" s="308"/>
    </row>
    <row r="25" spans="1:11" s="103" customFormat="1" ht="54" customHeight="1" x14ac:dyDescent="0.25">
      <c r="A25" s="302" t="s">
        <v>20</v>
      </c>
      <c r="B25" s="460" t="s">
        <v>21</v>
      </c>
      <c r="C25" s="460" t="s">
        <v>22</v>
      </c>
      <c r="D25" s="762" t="s">
        <v>23</v>
      </c>
      <c r="E25" s="304" t="s">
        <v>593</v>
      </c>
      <c r="F25" s="305"/>
      <c r="G25" s="306"/>
      <c r="H25" s="306"/>
      <c r="I25" s="306"/>
      <c r="J25" s="307">
        <v>2173600</v>
      </c>
      <c r="K25" s="308"/>
    </row>
    <row r="26" spans="1:11" s="103" customFormat="1" ht="74.25" customHeight="1" x14ac:dyDescent="0.25">
      <c r="A26" s="309" t="s">
        <v>24</v>
      </c>
      <c r="B26" s="310" t="s">
        <v>25</v>
      </c>
      <c r="C26" s="310" t="s">
        <v>26</v>
      </c>
      <c r="D26" s="467" t="s">
        <v>27</v>
      </c>
      <c r="E26" s="304" t="s">
        <v>535</v>
      </c>
      <c r="F26" s="305"/>
      <c r="G26" s="306"/>
      <c r="H26" s="306"/>
      <c r="I26" s="306"/>
      <c r="J26" s="307">
        <v>372400</v>
      </c>
      <c r="K26" s="308"/>
    </row>
    <row r="27" spans="1:11" s="103" customFormat="1" ht="63" customHeight="1" x14ac:dyDescent="0.25">
      <c r="A27" s="786" t="s">
        <v>31</v>
      </c>
      <c r="B27" s="674" t="s">
        <v>32</v>
      </c>
      <c r="C27" s="674" t="s">
        <v>33</v>
      </c>
      <c r="D27" s="467" t="s">
        <v>536</v>
      </c>
      <c r="E27" s="304" t="s">
        <v>535</v>
      </c>
      <c r="F27" s="305"/>
      <c r="G27" s="306"/>
      <c r="H27" s="306"/>
      <c r="I27" s="306"/>
      <c r="J27" s="307">
        <v>53364</v>
      </c>
      <c r="K27" s="308"/>
    </row>
    <row r="28" spans="1:11" s="103" customFormat="1" ht="71.25" customHeight="1" x14ac:dyDescent="0.25">
      <c r="A28" s="786" t="s">
        <v>255</v>
      </c>
      <c r="B28" s="674">
        <v>7650</v>
      </c>
      <c r="C28" s="674" t="s">
        <v>178</v>
      </c>
      <c r="D28" s="467" t="s">
        <v>256</v>
      </c>
      <c r="E28" s="304" t="s">
        <v>537</v>
      </c>
      <c r="F28" s="305"/>
      <c r="G28" s="306"/>
      <c r="H28" s="306"/>
      <c r="I28" s="306"/>
      <c r="J28" s="307">
        <v>57000</v>
      </c>
      <c r="K28" s="308"/>
    </row>
    <row r="29" spans="1:11" s="103" customFormat="1" ht="99.75" customHeight="1" x14ac:dyDescent="0.25">
      <c r="A29" s="786" t="s">
        <v>257</v>
      </c>
      <c r="B29" s="674" t="s">
        <v>258</v>
      </c>
      <c r="C29" s="674" t="s">
        <v>178</v>
      </c>
      <c r="D29" s="467" t="s">
        <v>259</v>
      </c>
      <c r="E29" s="304" t="s">
        <v>537</v>
      </c>
      <c r="F29" s="305"/>
      <c r="G29" s="306"/>
      <c r="H29" s="306"/>
      <c r="I29" s="306"/>
      <c r="J29" s="307">
        <v>16900</v>
      </c>
      <c r="K29" s="308"/>
    </row>
    <row r="30" spans="1:11" s="103" customFormat="1" ht="54" customHeight="1" x14ac:dyDescent="0.25">
      <c r="A30" s="786" t="s">
        <v>159</v>
      </c>
      <c r="B30" s="674" t="s">
        <v>180</v>
      </c>
      <c r="C30" s="674" t="s">
        <v>37</v>
      </c>
      <c r="D30" s="661" t="s">
        <v>160</v>
      </c>
      <c r="E30" s="304" t="s">
        <v>593</v>
      </c>
      <c r="F30" s="305"/>
      <c r="G30" s="306"/>
      <c r="H30" s="306"/>
      <c r="I30" s="306"/>
      <c r="J30" s="307">
        <v>900000</v>
      </c>
      <c r="K30" s="308"/>
    </row>
    <row r="31" spans="1:11" s="103" customFormat="1" ht="77.25" customHeight="1" thickBot="1" x14ac:dyDescent="0.3">
      <c r="A31" s="792" t="s">
        <v>435</v>
      </c>
      <c r="B31" s="794" t="s">
        <v>538</v>
      </c>
      <c r="C31" s="794" t="s">
        <v>226</v>
      </c>
      <c r="D31" s="575" t="s">
        <v>436</v>
      </c>
      <c r="E31" s="311" t="s">
        <v>539</v>
      </c>
      <c r="F31" s="312"/>
      <c r="G31" s="313"/>
      <c r="H31" s="313"/>
      <c r="I31" s="313"/>
      <c r="J31" s="314">
        <f>0+1000000+150000+2937000+26000+310400+1500000+4000000+3000000+5000000+1300000+4572000+4000000-4000000+5000000+3000000+1000000+2500000+900000+1000000+3000000+5000000+1083000</f>
        <v>46278400</v>
      </c>
      <c r="K31" s="315"/>
    </row>
    <row r="32" spans="1:11" s="103" customFormat="1" ht="54" customHeight="1" thickBot="1" x14ac:dyDescent="0.3">
      <c r="A32" s="634" t="s">
        <v>43</v>
      </c>
      <c r="B32" s="635"/>
      <c r="C32" s="635"/>
      <c r="D32" s="710" t="s">
        <v>633</v>
      </c>
      <c r="E32" s="636"/>
      <c r="F32" s="637"/>
      <c r="G32" s="638"/>
      <c r="H32" s="638"/>
      <c r="I32" s="638"/>
      <c r="J32" s="321">
        <f>J33</f>
        <v>1549318</v>
      </c>
      <c r="K32" s="639"/>
    </row>
    <row r="33" spans="1:11" s="103" customFormat="1" ht="43.5" customHeight="1" x14ac:dyDescent="0.25">
      <c r="A33" s="640" t="s">
        <v>45</v>
      </c>
      <c r="B33" s="324" t="s">
        <v>16</v>
      </c>
      <c r="C33" s="324" t="s">
        <v>16</v>
      </c>
      <c r="D33" s="325" t="s">
        <v>633</v>
      </c>
      <c r="E33" s="350"/>
      <c r="F33" s="357"/>
      <c r="G33" s="641"/>
      <c r="H33" s="641"/>
      <c r="I33" s="641"/>
      <c r="J33" s="329">
        <f>J34+J35</f>
        <v>1549318</v>
      </c>
      <c r="K33" s="662"/>
    </row>
    <row r="34" spans="1:11" s="103" customFormat="1" ht="45.75" customHeight="1" x14ac:dyDescent="0.25">
      <c r="A34" s="789" t="s">
        <v>47</v>
      </c>
      <c r="B34" s="674" t="s">
        <v>48</v>
      </c>
      <c r="C34" s="674" t="s">
        <v>49</v>
      </c>
      <c r="D34" s="476" t="s">
        <v>50</v>
      </c>
      <c r="E34" s="304" t="s">
        <v>535</v>
      </c>
      <c r="F34" s="642"/>
      <c r="G34" s="643"/>
      <c r="H34" s="643"/>
      <c r="I34" s="643"/>
      <c r="J34" s="307">
        <v>499750</v>
      </c>
      <c r="K34" s="663"/>
    </row>
    <row r="35" spans="1:11" s="103" customFormat="1" ht="102" customHeight="1" thickBot="1" x14ac:dyDescent="0.3">
      <c r="A35" s="792" t="s">
        <v>626</v>
      </c>
      <c r="B35" s="793" t="s">
        <v>627</v>
      </c>
      <c r="C35" s="793" t="s">
        <v>59</v>
      </c>
      <c r="D35" s="693" t="s">
        <v>628</v>
      </c>
      <c r="E35" s="333" t="s">
        <v>535</v>
      </c>
      <c r="F35" s="694"/>
      <c r="G35" s="695"/>
      <c r="H35" s="695"/>
      <c r="I35" s="695"/>
      <c r="J35" s="341">
        <v>1049568</v>
      </c>
      <c r="K35" s="696"/>
    </row>
    <row r="36" spans="1:11" s="103" customFormat="1" ht="66" customHeight="1" thickBot="1" x14ac:dyDescent="0.3">
      <c r="A36" s="316" t="s">
        <v>70</v>
      </c>
      <c r="B36" s="317" t="s">
        <v>16</v>
      </c>
      <c r="C36" s="317" t="s">
        <v>16</v>
      </c>
      <c r="D36" s="697" t="s">
        <v>71</v>
      </c>
      <c r="E36" s="318"/>
      <c r="F36" s="319"/>
      <c r="G36" s="320"/>
      <c r="H36" s="320"/>
      <c r="I36" s="320"/>
      <c r="J36" s="321">
        <f>J37</f>
        <v>3834633</v>
      </c>
      <c r="K36" s="322"/>
    </row>
    <row r="37" spans="1:11" s="103" customFormat="1" ht="56.25" x14ac:dyDescent="0.25">
      <c r="A37" s="323" t="s">
        <v>72</v>
      </c>
      <c r="B37" s="324" t="s">
        <v>16</v>
      </c>
      <c r="C37" s="324" t="s">
        <v>16</v>
      </c>
      <c r="D37" s="325" t="s">
        <v>71</v>
      </c>
      <c r="E37" s="326"/>
      <c r="F37" s="327"/>
      <c r="G37" s="328"/>
      <c r="H37" s="328"/>
      <c r="I37" s="328"/>
      <c r="J37" s="329">
        <f>J38+J39+J40</f>
        <v>3834633</v>
      </c>
      <c r="K37" s="330"/>
    </row>
    <row r="38" spans="1:11" s="103" customFormat="1" ht="66" customHeight="1" x14ac:dyDescent="0.25">
      <c r="A38" s="309" t="s">
        <v>188</v>
      </c>
      <c r="B38" s="310" t="s">
        <v>46</v>
      </c>
      <c r="C38" s="310" t="s">
        <v>19</v>
      </c>
      <c r="D38" s="467" t="s">
        <v>182</v>
      </c>
      <c r="E38" s="304" t="s">
        <v>535</v>
      </c>
      <c r="F38" s="305"/>
      <c r="G38" s="306"/>
      <c r="H38" s="306"/>
      <c r="I38" s="306"/>
      <c r="J38" s="307">
        <v>46000</v>
      </c>
      <c r="K38" s="308"/>
    </row>
    <row r="39" spans="1:11" s="103" customFormat="1" ht="56.25" customHeight="1" x14ac:dyDescent="0.25">
      <c r="A39" s="331" t="s">
        <v>189</v>
      </c>
      <c r="B39" s="332" t="s">
        <v>190</v>
      </c>
      <c r="C39" s="332" t="s">
        <v>48</v>
      </c>
      <c r="D39" s="575" t="s">
        <v>191</v>
      </c>
      <c r="E39" s="333" t="s">
        <v>535</v>
      </c>
      <c r="F39" s="312"/>
      <c r="G39" s="313"/>
      <c r="H39" s="313"/>
      <c r="I39" s="313"/>
      <c r="J39" s="314">
        <v>80500</v>
      </c>
      <c r="K39" s="315"/>
    </row>
    <row r="40" spans="1:11" s="103" customFormat="1" ht="408.75" customHeight="1" x14ac:dyDescent="0.25">
      <c r="A40" s="587" t="s">
        <v>582</v>
      </c>
      <c r="B40" s="787" t="s">
        <v>583</v>
      </c>
      <c r="C40" s="787" t="s">
        <v>584</v>
      </c>
      <c r="D40" s="588" t="s">
        <v>585</v>
      </c>
      <c r="E40" s="394" t="s">
        <v>586</v>
      </c>
      <c r="F40" s="305"/>
      <c r="G40" s="306"/>
      <c r="H40" s="306"/>
      <c r="I40" s="306"/>
      <c r="J40" s="307">
        <f>2164782+1543351</f>
        <v>3708133</v>
      </c>
      <c r="K40" s="308"/>
    </row>
    <row r="41" spans="1:11" s="103" customFormat="1" ht="66.75" customHeight="1" thickBot="1" x14ac:dyDescent="0.3">
      <c r="A41" s="645" t="s">
        <v>90</v>
      </c>
      <c r="B41" s="646" t="s">
        <v>16</v>
      </c>
      <c r="C41" s="646" t="s">
        <v>16</v>
      </c>
      <c r="D41" s="644" t="s">
        <v>91</v>
      </c>
      <c r="E41" s="647"/>
      <c r="F41" s="648"/>
      <c r="G41" s="649"/>
      <c r="H41" s="649"/>
      <c r="I41" s="649"/>
      <c r="J41" s="650">
        <f>J42</f>
        <v>1884997</v>
      </c>
      <c r="K41" s="651"/>
    </row>
    <row r="42" spans="1:11" s="103" customFormat="1" ht="75" x14ac:dyDescent="0.25">
      <c r="A42" s="323" t="s">
        <v>92</v>
      </c>
      <c r="B42" s="324" t="s">
        <v>16</v>
      </c>
      <c r="C42" s="324" t="s">
        <v>16</v>
      </c>
      <c r="D42" s="325" t="s">
        <v>91</v>
      </c>
      <c r="E42" s="334"/>
      <c r="F42" s="335"/>
      <c r="G42" s="336"/>
      <c r="H42" s="336"/>
      <c r="I42" s="336"/>
      <c r="J42" s="329">
        <f>J43+J44+J45+J46+J47+J48</f>
        <v>1884997</v>
      </c>
      <c r="K42" s="337"/>
    </row>
    <row r="43" spans="1:11" s="103" customFormat="1" ht="55.15" customHeight="1" x14ac:dyDescent="0.25">
      <c r="A43" s="309" t="s">
        <v>93</v>
      </c>
      <c r="B43" s="310" t="s">
        <v>94</v>
      </c>
      <c r="C43" s="310" t="s">
        <v>57</v>
      </c>
      <c r="D43" s="704" t="s">
        <v>95</v>
      </c>
      <c r="E43" s="304" t="s">
        <v>535</v>
      </c>
      <c r="F43" s="338"/>
      <c r="G43" s="339"/>
      <c r="H43" s="339"/>
      <c r="I43" s="339"/>
      <c r="J43" s="307">
        <f>27000+26699</f>
        <v>53699</v>
      </c>
      <c r="K43" s="340"/>
    </row>
    <row r="44" spans="1:11" s="103" customFormat="1" ht="52.9" customHeight="1" x14ac:dyDescent="0.25">
      <c r="A44" s="309" t="s">
        <v>99</v>
      </c>
      <c r="B44" s="310" t="s">
        <v>100</v>
      </c>
      <c r="C44" s="310" t="s">
        <v>101</v>
      </c>
      <c r="D44" s="704" t="s">
        <v>102</v>
      </c>
      <c r="E44" s="304" t="s">
        <v>535</v>
      </c>
      <c r="F44" s="338"/>
      <c r="G44" s="339"/>
      <c r="H44" s="339"/>
      <c r="I44" s="339"/>
      <c r="J44" s="307">
        <f>50000+67999</f>
        <v>117999</v>
      </c>
      <c r="K44" s="340"/>
    </row>
    <row r="45" spans="1:11" s="103" customFormat="1" ht="49.9" customHeight="1" x14ac:dyDescent="0.25">
      <c r="A45" s="309" t="s">
        <v>103</v>
      </c>
      <c r="B45" s="310" t="s">
        <v>104</v>
      </c>
      <c r="C45" s="310" t="s">
        <v>101</v>
      </c>
      <c r="D45" s="704" t="s">
        <v>105</v>
      </c>
      <c r="E45" s="304" t="s">
        <v>535</v>
      </c>
      <c r="F45" s="338"/>
      <c r="G45" s="339"/>
      <c r="H45" s="339"/>
      <c r="I45" s="339"/>
      <c r="J45" s="307">
        <v>50299</v>
      </c>
      <c r="K45" s="340"/>
    </row>
    <row r="46" spans="1:11" s="103" customFormat="1" ht="51.6" customHeight="1" x14ac:dyDescent="0.25">
      <c r="A46" s="309" t="s">
        <v>200</v>
      </c>
      <c r="B46" s="310" t="s">
        <v>201</v>
      </c>
      <c r="C46" s="310" t="s">
        <v>110</v>
      </c>
      <c r="D46" s="705" t="s">
        <v>202</v>
      </c>
      <c r="E46" s="333" t="s">
        <v>535</v>
      </c>
      <c r="F46" s="338"/>
      <c r="G46" s="339"/>
      <c r="H46" s="339"/>
      <c r="I46" s="339"/>
      <c r="J46" s="307">
        <v>23000</v>
      </c>
      <c r="K46" s="340"/>
    </row>
    <row r="47" spans="1:11" s="103" customFormat="1" ht="51.6" customHeight="1" x14ac:dyDescent="0.3">
      <c r="A47" s="309">
        <v>1015041</v>
      </c>
      <c r="B47" s="310">
        <v>5041</v>
      </c>
      <c r="C47" s="674" t="s">
        <v>116</v>
      </c>
      <c r="D47" s="706" t="s">
        <v>161</v>
      </c>
      <c r="E47" s="707" t="s">
        <v>593</v>
      </c>
      <c r="F47" s="338"/>
      <c r="G47" s="339"/>
      <c r="H47" s="339"/>
      <c r="I47" s="339"/>
      <c r="J47" s="307">
        <v>1594000</v>
      </c>
      <c r="K47" s="340"/>
    </row>
    <row r="48" spans="1:11" s="103" customFormat="1" ht="87" customHeight="1" thickBot="1" x14ac:dyDescent="0.35">
      <c r="A48" s="698">
        <v>1015061</v>
      </c>
      <c r="B48" s="699">
        <v>5061</v>
      </c>
      <c r="C48" s="700" t="s">
        <v>116</v>
      </c>
      <c r="D48" s="706" t="s">
        <v>123</v>
      </c>
      <c r="E48" s="707" t="s">
        <v>593</v>
      </c>
      <c r="F48" s="701"/>
      <c r="G48" s="702"/>
      <c r="H48" s="702"/>
      <c r="I48" s="702"/>
      <c r="J48" s="314">
        <f>0+46000</f>
        <v>46000</v>
      </c>
      <c r="K48" s="703"/>
    </row>
    <row r="49" spans="1:11" s="103" customFormat="1" ht="72.599999999999994" customHeight="1" thickBot="1" x14ac:dyDescent="0.3">
      <c r="A49" s="342" t="s">
        <v>127</v>
      </c>
      <c r="B49" s="284"/>
      <c r="C49" s="284"/>
      <c r="D49" s="343" t="s">
        <v>540</v>
      </c>
      <c r="E49" s="344"/>
      <c r="F49" s="288"/>
      <c r="G49" s="345"/>
      <c r="H49" s="345"/>
      <c r="I49" s="345"/>
      <c r="J49" s="346">
        <f>J50</f>
        <v>10470500</v>
      </c>
      <c r="K49" s="292"/>
    </row>
    <row r="50" spans="1:11" s="103" customFormat="1" ht="77.25" customHeight="1" x14ac:dyDescent="0.25">
      <c r="A50" s="347" t="s">
        <v>129</v>
      </c>
      <c r="B50" s="348"/>
      <c r="C50" s="348"/>
      <c r="D50" s="349" t="s">
        <v>540</v>
      </c>
      <c r="E50" s="350"/>
      <c r="F50" s="351"/>
      <c r="G50" s="352"/>
      <c r="H50" s="352"/>
      <c r="I50" s="352"/>
      <c r="J50" s="353">
        <f>SUM(J51:J53)</f>
        <v>10470500</v>
      </c>
      <c r="K50" s="354"/>
    </row>
    <row r="51" spans="1:11" s="103" customFormat="1" ht="60.75" customHeight="1" x14ac:dyDescent="0.25">
      <c r="A51" s="302" t="s">
        <v>130</v>
      </c>
      <c r="B51" s="303" t="s">
        <v>46</v>
      </c>
      <c r="C51" s="303" t="s">
        <v>19</v>
      </c>
      <c r="D51" s="576" t="s">
        <v>541</v>
      </c>
      <c r="E51" s="304" t="s">
        <v>535</v>
      </c>
      <c r="F51" s="408"/>
      <c r="G51" s="461"/>
      <c r="H51" s="461"/>
      <c r="I51" s="461"/>
      <c r="J51" s="307">
        <f>23000+23000</f>
        <v>46000</v>
      </c>
      <c r="K51" s="566"/>
    </row>
    <row r="52" spans="1:11" s="103" customFormat="1" ht="60.75" customHeight="1" x14ac:dyDescent="0.25">
      <c r="A52" s="302" t="s">
        <v>643</v>
      </c>
      <c r="B52" s="303" t="s">
        <v>644</v>
      </c>
      <c r="C52" s="303" t="s">
        <v>29</v>
      </c>
      <c r="D52" s="576" t="s">
        <v>448</v>
      </c>
      <c r="E52" s="304" t="s">
        <v>593</v>
      </c>
      <c r="F52" s="408"/>
      <c r="G52" s="461"/>
      <c r="H52" s="461"/>
      <c r="I52" s="461"/>
      <c r="J52" s="307">
        <v>5400000</v>
      </c>
      <c r="K52" s="566"/>
    </row>
    <row r="53" spans="1:11" s="103" customFormat="1" ht="45" customHeight="1" thickBot="1" x14ac:dyDescent="0.3">
      <c r="A53" s="462" t="s">
        <v>138</v>
      </c>
      <c r="B53" s="463" t="s">
        <v>28</v>
      </c>
      <c r="C53" s="463" t="s">
        <v>29</v>
      </c>
      <c r="D53" s="576" t="s">
        <v>30</v>
      </c>
      <c r="E53" s="304" t="s">
        <v>593</v>
      </c>
      <c r="F53" s="464"/>
      <c r="G53" s="465"/>
      <c r="H53" s="465"/>
      <c r="I53" s="465"/>
      <c r="J53" s="676">
        <f>4960000+64500</f>
        <v>5024500</v>
      </c>
      <c r="K53" s="466"/>
    </row>
    <row r="54" spans="1:11" s="479" customFormat="1" ht="64.5" customHeight="1" thickBot="1" x14ac:dyDescent="0.3">
      <c r="A54" s="589" t="s">
        <v>147</v>
      </c>
      <c r="B54" s="590"/>
      <c r="C54" s="590"/>
      <c r="D54" s="591" t="s">
        <v>542</v>
      </c>
      <c r="E54" s="592"/>
      <c r="F54" s="590"/>
      <c r="G54" s="593"/>
      <c r="H54" s="593"/>
      <c r="I54" s="593"/>
      <c r="J54" s="594">
        <f>J55</f>
        <v>95735557</v>
      </c>
      <c r="K54" s="595"/>
    </row>
    <row r="55" spans="1:11" s="103" customFormat="1" ht="57.75" customHeight="1" x14ac:dyDescent="0.25">
      <c r="A55" s="347" t="s">
        <v>149</v>
      </c>
      <c r="B55" s="327"/>
      <c r="C55" s="335"/>
      <c r="D55" s="355" t="s">
        <v>542</v>
      </c>
      <c r="E55" s="356"/>
      <c r="F55" s="357"/>
      <c r="G55" s="358"/>
      <c r="H55" s="358"/>
      <c r="I55" s="358"/>
      <c r="J55" s="358">
        <f>J57+J61+J63+J68+J70+J75+J86+J91+J94+J96+J97+J102+J64+J67+J79+J81+J93+J98+J103+J56+J83+J84+J89+J90+J107+J108+J66+J85+J100+J101+J73+J74+J60</f>
        <v>95735557</v>
      </c>
      <c r="K55" s="359"/>
    </row>
    <row r="56" spans="1:11" s="103" customFormat="1" ht="60.75" customHeight="1" x14ac:dyDescent="0.25">
      <c r="A56" s="462" t="s">
        <v>205</v>
      </c>
      <c r="B56" s="312" t="s">
        <v>46</v>
      </c>
      <c r="C56" s="312" t="s">
        <v>19</v>
      </c>
      <c r="D56" s="467" t="s">
        <v>182</v>
      </c>
      <c r="E56" s="304" t="s">
        <v>535</v>
      </c>
      <c r="F56" s="357"/>
      <c r="G56" s="358"/>
      <c r="H56" s="358"/>
      <c r="I56" s="358"/>
      <c r="J56" s="468">
        <f>198750+49800</f>
        <v>248550</v>
      </c>
      <c r="K56" s="359"/>
    </row>
    <row r="57" spans="1:11" s="103" customFormat="1" ht="187.5" customHeight="1" x14ac:dyDescent="0.25">
      <c r="A57" s="926" t="s">
        <v>543</v>
      </c>
      <c r="B57" s="903" t="s">
        <v>52</v>
      </c>
      <c r="C57" s="903" t="s">
        <v>53</v>
      </c>
      <c r="D57" s="929" t="s">
        <v>443</v>
      </c>
      <c r="E57" s="578" t="s">
        <v>594</v>
      </c>
      <c r="F57" s="940" t="s">
        <v>549</v>
      </c>
      <c r="G57" s="367">
        <v>16389490</v>
      </c>
      <c r="H57" s="362">
        <v>11185952</v>
      </c>
      <c r="I57" s="363">
        <f>(H57/G57)*100%</f>
        <v>0.68250763141501047</v>
      </c>
      <c r="J57" s="367">
        <f>5203538-896882-388420</f>
        <v>3918236</v>
      </c>
      <c r="K57" s="364">
        <f>(H57+J57)/G57</f>
        <v>0.92157766959191534</v>
      </c>
    </row>
    <row r="58" spans="1:11" s="385" customFormat="1" ht="24" customHeight="1" x14ac:dyDescent="0.25">
      <c r="A58" s="927"/>
      <c r="B58" s="912"/>
      <c r="C58" s="912"/>
      <c r="D58" s="930"/>
      <c r="E58" s="469" t="s">
        <v>547</v>
      </c>
      <c r="F58" s="940"/>
      <c r="G58" s="470">
        <v>276327</v>
      </c>
      <c r="H58" s="471">
        <v>276327</v>
      </c>
      <c r="I58" s="472">
        <v>1</v>
      </c>
      <c r="J58" s="412"/>
      <c r="K58" s="373">
        <v>1</v>
      </c>
    </row>
    <row r="59" spans="1:11" s="385" customFormat="1" ht="29.45" customHeight="1" x14ac:dyDescent="0.25">
      <c r="A59" s="928"/>
      <c r="B59" s="904"/>
      <c r="C59" s="904"/>
      <c r="D59" s="931"/>
      <c r="E59" s="473" t="s">
        <v>595</v>
      </c>
      <c r="F59" s="940"/>
      <c r="G59" s="474">
        <v>587560</v>
      </c>
      <c r="H59" s="475">
        <v>379945</v>
      </c>
      <c r="I59" s="472">
        <v>0.65</v>
      </c>
      <c r="J59" s="412">
        <v>183500</v>
      </c>
      <c r="K59" s="373">
        <v>1</v>
      </c>
    </row>
    <row r="60" spans="1:11" s="385" customFormat="1" ht="202.5" x14ac:dyDescent="0.25">
      <c r="A60" s="779" t="s">
        <v>543</v>
      </c>
      <c r="B60" s="768" t="s">
        <v>52</v>
      </c>
      <c r="C60" s="768" t="s">
        <v>53</v>
      </c>
      <c r="D60" s="777" t="s">
        <v>443</v>
      </c>
      <c r="E60" s="578" t="s">
        <v>665</v>
      </c>
      <c r="F60" s="708" t="s">
        <v>666</v>
      </c>
      <c r="G60" s="709">
        <v>1486740</v>
      </c>
      <c r="H60" s="475">
        <v>0</v>
      </c>
      <c r="I60" s="363">
        <v>0</v>
      </c>
      <c r="J60" s="367">
        <v>48398</v>
      </c>
      <c r="K60" s="364">
        <f>(H60+J60)/G60</f>
        <v>3.255310276174718E-2</v>
      </c>
    </row>
    <row r="61" spans="1:11" s="103" customFormat="1" ht="205.9" customHeight="1" x14ac:dyDescent="0.25">
      <c r="A61" s="926" t="s">
        <v>543</v>
      </c>
      <c r="B61" s="903" t="s">
        <v>52</v>
      </c>
      <c r="C61" s="903" t="s">
        <v>53</v>
      </c>
      <c r="D61" s="929" t="s">
        <v>443</v>
      </c>
      <c r="E61" s="365" t="s">
        <v>545</v>
      </c>
      <c r="F61" s="942" t="s">
        <v>546</v>
      </c>
      <c r="G61" s="366">
        <v>23825333</v>
      </c>
      <c r="H61" s="362">
        <f>H62</f>
        <v>274112.37</v>
      </c>
      <c r="I61" s="363">
        <f>H61/G61</f>
        <v>1.150508032773351E-2</v>
      </c>
      <c r="J61" s="362">
        <f>15000000+1205842-5000000+12345379</f>
        <v>23551221</v>
      </c>
      <c r="K61" s="364">
        <v>1</v>
      </c>
    </row>
    <row r="62" spans="1:11" s="103" customFormat="1" ht="25.5" customHeight="1" x14ac:dyDescent="0.25">
      <c r="A62" s="937"/>
      <c r="B62" s="947"/>
      <c r="C62" s="947"/>
      <c r="D62" s="931"/>
      <c r="E62" s="368" t="s">
        <v>547</v>
      </c>
      <c r="F62" s="943"/>
      <c r="G62" s="369">
        <v>1675846</v>
      </c>
      <c r="H62" s="370">
        <v>274112.37</v>
      </c>
      <c r="I62" s="371">
        <f>H62/G62</f>
        <v>0.16356656279872972</v>
      </c>
      <c r="J62" s="372">
        <v>1205842</v>
      </c>
      <c r="K62" s="373">
        <v>1</v>
      </c>
    </row>
    <row r="63" spans="1:11" s="103" customFormat="1" ht="264" customHeight="1" x14ac:dyDescent="0.25">
      <c r="A63" s="926" t="s">
        <v>543</v>
      </c>
      <c r="B63" s="903" t="s">
        <v>52</v>
      </c>
      <c r="C63" s="903" t="s">
        <v>53</v>
      </c>
      <c r="D63" s="929" t="s">
        <v>443</v>
      </c>
      <c r="E63" s="664" t="s">
        <v>596</v>
      </c>
      <c r="F63" s="944" t="s">
        <v>544</v>
      </c>
      <c r="G63" s="367">
        <v>4900988</v>
      </c>
      <c r="H63" s="362">
        <v>0</v>
      </c>
      <c r="I63" s="363">
        <v>0</v>
      </c>
      <c r="J63" s="367">
        <v>4658554</v>
      </c>
      <c r="K63" s="364">
        <v>0.95</v>
      </c>
    </row>
    <row r="64" spans="1:11" s="103" customFormat="1" ht="204" hidden="1" customHeight="1" x14ac:dyDescent="0.25">
      <c r="A64" s="927"/>
      <c r="B64" s="912"/>
      <c r="C64" s="912"/>
      <c r="D64" s="930"/>
      <c r="E64" s="394" t="s">
        <v>550</v>
      </c>
      <c r="F64" s="945"/>
      <c r="G64" s="367">
        <v>874564</v>
      </c>
      <c r="H64" s="362">
        <v>0</v>
      </c>
      <c r="I64" s="363">
        <v>0</v>
      </c>
      <c r="J64" s="367">
        <f>874564-874564</f>
        <v>0</v>
      </c>
      <c r="K64" s="364">
        <v>1</v>
      </c>
    </row>
    <row r="65" spans="1:11" s="103" customFormat="1" ht="21.75" customHeight="1" x14ac:dyDescent="0.25">
      <c r="A65" s="928"/>
      <c r="B65" s="904"/>
      <c r="C65" s="904"/>
      <c r="D65" s="931"/>
      <c r="E65" s="596" t="s">
        <v>560</v>
      </c>
      <c r="F65" s="946"/>
      <c r="G65" s="412">
        <v>268825</v>
      </c>
      <c r="H65" s="391">
        <v>0</v>
      </c>
      <c r="I65" s="472">
        <v>0</v>
      </c>
      <c r="J65" s="412">
        <v>242435</v>
      </c>
      <c r="K65" s="373">
        <v>1</v>
      </c>
    </row>
    <row r="66" spans="1:11" s="103" customFormat="1" ht="188.25" customHeight="1" x14ac:dyDescent="0.25">
      <c r="A66" s="780" t="s">
        <v>543</v>
      </c>
      <c r="B66" s="769" t="s">
        <v>52</v>
      </c>
      <c r="C66" s="769" t="s">
        <v>53</v>
      </c>
      <c r="D66" s="778" t="s">
        <v>443</v>
      </c>
      <c r="E66" s="597" t="s">
        <v>634</v>
      </c>
      <c r="F66" s="776" t="s">
        <v>548</v>
      </c>
      <c r="G66" s="367">
        <v>258243</v>
      </c>
      <c r="H66" s="362"/>
      <c r="I66" s="363"/>
      <c r="J66" s="367">
        <v>258243</v>
      </c>
      <c r="K66" s="364">
        <v>1</v>
      </c>
    </row>
    <row r="67" spans="1:11" s="103" customFormat="1" ht="137.25" customHeight="1" x14ac:dyDescent="0.25">
      <c r="A67" s="779" t="s">
        <v>551</v>
      </c>
      <c r="B67" s="768" t="s">
        <v>21</v>
      </c>
      <c r="C67" s="768" t="s">
        <v>22</v>
      </c>
      <c r="D67" s="476" t="s">
        <v>23</v>
      </c>
      <c r="E67" s="597" t="s">
        <v>552</v>
      </c>
      <c r="F67" s="785" t="s">
        <v>553</v>
      </c>
      <c r="G67" s="367">
        <v>1463482</v>
      </c>
      <c r="H67" s="362">
        <v>1264348</v>
      </c>
      <c r="I67" s="363">
        <f>(H67/G67)*100%</f>
        <v>0.86393136369289136</v>
      </c>
      <c r="J67" s="367">
        <v>103135</v>
      </c>
      <c r="K67" s="364">
        <v>1</v>
      </c>
    </row>
    <row r="68" spans="1:11" s="103" customFormat="1" ht="98.25" customHeight="1" x14ac:dyDescent="0.25">
      <c r="A68" s="933">
        <v>1514060</v>
      </c>
      <c r="B68" s="934">
        <v>4060</v>
      </c>
      <c r="C68" s="935" t="s">
        <v>108</v>
      </c>
      <c r="D68" s="936" t="s">
        <v>109</v>
      </c>
      <c r="E68" s="374" t="s">
        <v>554</v>
      </c>
      <c r="F68" s="941" t="s">
        <v>544</v>
      </c>
      <c r="G68" s="375">
        <v>6058427</v>
      </c>
      <c r="H68" s="376">
        <v>2726948.29</v>
      </c>
      <c r="I68" s="377">
        <f>H68/G68</f>
        <v>0.45010830203945679</v>
      </c>
      <c r="J68" s="378">
        <f>2295144-694188-1600956+3169264-690455</f>
        <v>2478809</v>
      </c>
      <c r="K68" s="379">
        <v>1</v>
      </c>
    </row>
    <row r="69" spans="1:11" s="385" customFormat="1" ht="28.15" customHeight="1" x14ac:dyDescent="0.25">
      <c r="A69" s="933"/>
      <c r="B69" s="934"/>
      <c r="C69" s="935"/>
      <c r="D69" s="936"/>
      <c r="E69" s="380" t="s">
        <v>547</v>
      </c>
      <c r="F69" s="941"/>
      <c r="G69" s="381">
        <v>181142</v>
      </c>
      <c r="H69" s="382">
        <v>178959.68</v>
      </c>
      <c r="I69" s="383">
        <v>1</v>
      </c>
      <c r="J69" s="378"/>
      <c r="K69" s="384">
        <v>1</v>
      </c>
    </row>
    <row r="70" spans="1:11" s="103" customFormat="1" ht="121.5" customHeight="1" x14ac:dyDescent="0.25">
      <c r="A70" s="919">
        <v>1516012</v>
      </c>
      <c r="B70" s="921">
        <v>6012</v>
      </c>
      <c r="C70" s="903" t="s">
        <v>29</v>
      </c>
      <c r="D70" s="923" t="s">
        <v>244</v>
      </c>
      <c r="E70" s="386" t="s">
        <v>611</v>
      </c>
      <c r="F70" s="921" t="s">
        <v>555</v>
      </c>
      <c r="G70" s="361">
        <v>15864964</v>
      </c>
      <c r="H70" s="362">
        <f>H71+H72</f>
        <v>549821.11</v>
      </c>
      <c r="I70" s="387">
        <f>H70/G70</f>
        <v>3.4656309967044364E-2</v>
      </c>
      <c r="J70" s="388">
        <f>1444539-1444539+752140+1183600+182148+8935634+2704350</f>
        <v>13757872</v>
      </c>
      <c r="K70" s="389">
        <v>1</v>
      </c>
    </row>
    <row r="71" spans="1:11" s="103" customFormat="1" ht="20.25" x14ac:dyDescent="0.25">
      <c r="A71" s="932"/>
      <c r="B71" s="938"/>
      <c r="C71" s="912"/>
      <c r="D71" s="939"/>
      <c r="E71" s="390" t="s">
        <v>556</v>
      </c>
      <c r="F71" s="938"/>
      <c r="G71" s="391">
        <f>280375.62</f>
        <v>280375.62</v>
      </c>
      <c r="H71" s="391">
        <f>280375.62</f>
        <v>280375.62</v>
      </c>
      <c r="I71" s="392">
        <v>1</v>
      </c>
      <c r="J71" s="382"/>
      <c r="K71" s="393">
        <v>1</v>
      </c>
    </row>
    <row r="72" spans="1:11" s="103" customFormat="1" ht="20.25" x14ac:dyDescent="0.25">
      <c r="A72" s="920"/>
      <c r="B72" s="922"/>
      <c r="C72" s="904"/>
      <c r="D72" s="939"/>
      <c r="E72" s="677" t="s">
        <v>557</v>
      </c>
      <c r="F72" s="938"/>
      <c r="G72" s="665">
        <v>269445</v>
      </c>
      <c r="H72" s="412">
        <v>269445.49</v>
      </c>
      <c r="I72" s="678">
        <v>1</v>
      </c>
      <c r="J72" s="413"/>
      <c r="K72" s="567">
        <v>1</v>
      </c>
    </row>
    <row r="73" spans="1:11" s="103" customFormat="1" ht="155.44999999999999" customHeight="1" x14ac:dyDescent="0.25">
      <c r="A73" s="764">
        <v>1516012</v>
      </c>
      <c r="B73" s="766">
        <v>6012</v>
      </c>
      <c r="C73" s="768" t="s">
        <v>29</v>
      </c>
      <c r="D73" s="784" t="s">
        <v>244</v>
      </c>
      <c r="E73" s="386" t="s">
        <v>658</v>
      </c>
      <c r="F73" s="782" t="s">
        <v>548</v>
      </c>
      <c r="G73" s="376">
        <v>98014</v>
      </c>
      <c r="H73" s="362"/>
      <c r="I73" s="679">
        <v>0</v>
      </c>
      <c r="J73" s="361">
        <v>98014</v>
      </c>
      <c r="K73" s="389">
        <v>1</v>
      </c>
    </row>
    <row r="74" spans="1:11" s="103" customFormat="1" ht="132.6" customHeight="1" x14ac:dyDescent="0.25">
      <c r="A74" s="764">
        <v>1516012</v>
      </c>
      <c r="B74" s="766">
        <v>6012</v>
      </c>
      <c r="C74" s="768" t="s">
        <v>29</v>
      </c>
      <c r="D74" s="784" t="s">
        <v>244</v>
      </c>
      <c r="E74" s="386" t="s">
        <v>659</v>
      </c>
      <c r="F74" s="782" t="s">
        <v>548</v>
      </c>
      <c r="G74" s="376">
        <v>1786248</v>
      </c>
      <c r="H74" s="362"/>
      <c r="I74" s="679">
        <v>0</v>
      </c>
      <c r="J74" s="361">
        <f>1134373+651875</f>
        <v>1786248</v>
      </c>
      <c r="K74" s="389">
        <v>1</v>
      </c>
    </row>
    <row r="75" spans="1:11" s="103" customFormat="1" ht="114.6" customHeight="1" x14ac:dyDescent="0.25">
      <c r="A75" s="919">
        <v>1516012</v>
      </c>
      <c r="B75" s="921">
        <v>6012</v>
      </c>
      <c r="C75" s="903" t="s">
        <v>29</v>
      </c>
      <c r="D75" s="923" t="s">
        <v>244</v>
      </c>
      <c r="E75" s="394" t="s">
        <v>610</v>
      </c>
      <c r="F75" s="917" t="s">
        <v>548</v>
      </c>
      <c r="G75" s="395">
        <v>18595843</v>
      </c>
      <c r="H75" s="396"/>
      <c r="I75" s="397">
        <v>0</v>
      </c>
      <c r="J75" s="361">
        <f>1497526+4000000+10000000</f>
        <v>15497526</v>
      </c>
      <c r="K75" s="379">
        <f>J75/G75*100%</f>
        <v>0.83338658000070232</v>
      </c>
    </row>
    <row r="76" spans="1:11" s="103" customFormat="1" ht="23.45" customHeight="1" x14ac:dyDescent="0.25">
      <c r="A76" s="920"/>
      <c r="B76" s="922"/>
      <c r="C76" s="904"/>
      <c r="D76" s="924"/>
      <c r="E76" s="477" t="s">
        <v>560</v>
      </c>
      <c r="F76" s="918"/>
      <c r="G76" s="381">
        <v>1497526</v>
      </c>
      <c r="H76" s="398"/>
      <c r="I76" s="399">
        <v>0</v>
      </c>
      <c r="J76" s="400">
        <v>1497526</v>
      </c>
      <c r="K76" s="384">
        <v>1</v>
      </c>
    </row>
    <row r="77" spans="1:11" s="103" customFormat="1" ht="22.5" customHeight="1" x14ac:dyDescent="0.25">
      <c r="A77" s="652" t="s">
        <v>635</v>
      </c>
      <c r="B77" s="767"/>
      <c r="C77" s="769"/>
      <c r="D77" s="771" t="s">
        <v>636</v>
      </c>
      <c r="E77" s="653"/>
      <c r="F77" s="773"/>
      <c r="G77" s="654"/>
      <c r="H77" s="422"/>
      <c r="I77" s="655"/>
      <c r="J77" s="656"/>
      <c r="K77" s="384"/>
    </row>
    <row r="78" spans="1:11" s="103" customFormat="1" ht="43.5" customHeight="1" x14ac:dyDescent="0.25">
      <c r="A78" s="781"/>
      <c r="B78" s="782"/>
      <c r="C78" s="783"/>
      <c r="D78" s="657" t="s">
        <v>630</v>
      </c>
      <c r="E78" s="658"/>
      <c r="F78" s="785"/>
      <c r="G78" s="381"/>
      <c r="H78" s="398"/>
      <c r="I78" s="399"/>
      <c r="J78" s="400">
        <v>10000000</v>
      </c>
      <c r="K78" s="384"/>
    </row>
    <row r="79" spans="1:11" s="103" customFormat="1" ht="101.25" customHeight="1" x14ac:dyDescent="0.25">
      <c r="A79" s="919">
        <v>1516012</v>
      </c>
      <c r="B79" s="921">
        <v>6012</v>
      </c>
      <c r="C79" s="903" t="s">
        <v>29</v>
      </c>
      <c r="D79" s="923" t="s">
        <v>244</v>
      </c>
      <c r="E79" s="394" t="s">
        <v>558</v>
      </c>
      <c r="F79" s="917" t="s">
        <v>544</v>
      </c>
      <c r="G79" s="395">
        <v>2011948</v>
      </c>
      <c r="H79" s="396">
        <v>218940</v>
      </c>
      <c r="I79" s="397">
        <f>(H79/G79)*100%</f>
        <v>0.10881990985850529</v>
      </c>
      <c r="J79" s="376">
        <v>1748351</v>
      </c>
      <c r="K79" s="379">
        <v>1</v>
      </c>
    </row>
    <row r="80" spans="1:11" s="385" customFormat="1" ht="21" customHeight="1" x14ac:dyDescent="0.25">
      <c r="A80" s="920"/>
      <c r="B80" s="922"/>
      <c r="C80" s="904"/>
      <c r="D80" s="924"/>
      <c r="E80" s="477" t="s">
        <v>547</v>
      </c>
      <c r="F80" s="918"/>
      <c r="G80" s="381">
        <v>263597</v>
      </c>
      <c r="H80" s="398">
        <v>218940</v>
      </c>
      <c r="I80" s="399">
        <v>1</v>
      </c>
      <c r="J80" s="400"/>
      <c r="K80" s="384">
        <v>1</v>
      </c>
    </row>
    <row r="81" spans="1:11" s="103" customFormat="1" ht="80.25" customHeight="1" x14ac:dyDescent="0.25">
      <c r="A81" s="919">
        <v>1516012</v>
      </c>
      <c r="B81" s="921">
        <v>6012</v>
      </c>
      <c r="C81" s="903" t="s">
        <v>29</v>
      </c>
      <c r="D81" s="923" t="s">
        <v>244</v>
      </c>
      <c r="E81" s="597" t="s">
        <v>559</v>
      </c>
      <c r="F81" s="925" t="s">
        <v>548</v>
      </c>
      <c r="G81" s="395">
        <v>3262468</v>
      </c>
      <c r="H81" s="396">
        <v>0</v>
      </c>
      <c r="I81" s="397">
        <v>0</v>
      </c>
      <c r="J81" s="376">
        <v>2894056</v>
      </c>
      <c r="K81" s="379">
        <v>1</v>
      </c>
    </row>
    <row r="82" spans="1:11" s="385" customFormat="1" ht="23.25" customHeight="1" x14ac:dyDescent="0.25">
      <c r="A82" s="920"/>
      <c r="B82" s="922"/>
      <c r="C82" s="904"/>
      <c r="D82" s="924"/>
      <c r="E82" s="596" t="s">
        <v>560</v>
      </c>
      <c r="F82" s="925"/>
      <c r="G82" s="579">
        <v>49800</v>
      </c>
      <c r="H82" s="403"/>
      <c r="I82" s="580"/>
      <c r="J82" s="382">
        <v>49800</v>
      </c>
      <c r="K82" s="384">
        <v>1</v>
      </c>
    </row>
    <row r="83" spans="1:11" s="385" customFormat="1" ht="84.75" customHeight="1" x14ac:dyDescent="0.25">
      <c r="A83" s="765">
        <v>1516012</v>
      </c>
      <c r="B83" s="767">
        <v>6012</v>
      </c>
      <c r="C83" s="769" t="s">
        <v>29</v>
      </c>
      <c r="D83" s="771" t="s">
        <v>597</v>
      </c>
      <c r="E83" s="598" t="s">
        <v>617</v>
      </c>
      <c r="F83" s="772" t="s">
        <v>544</v>
      </c>
      <c r="G83" s="395">
        <v>187450</v>
      </c>
      <c r="H83" s="396"/>
      <c r="I83" s="397">
        <v>0</v>
      </c>
      <c r="J83" s="361">
        <v>187450</v>
      </c>
      <c r="K83" s="379">
        <v>1</v>
      </c>
    </row>
    <row r="84" spans="1:11" s="385" customFormat="1" ht="102" customHeight="1" x14ac:dyDescent="0.25">
      <c r="A84" s="781">
        <v>1516013</v>
      </c>
      <c r="B84" s="782">
        <v>6013</v>
      </c>
      <c r="C84" s="478" t="s">
        <v>29</v>
      </c>
      <c r="D84" s="574" t="s">
        <v>137</v>
      </c>
      <c r="E84" s="684" t="s">
        <v>598</v>
      </c>
      <c r="F84" s="599" t="s">
        <v>548</v>
      </c>
      <c r="G84" s="395">
        <v>60000</v>
      </c>
      <c r="H84" s="396"/>
      <c r="I84" s="397">
        <v>0</v>
      </c>
      <c r="J84" s="361">
        <v>60000</v>
      </c>
      <c r="K84" s="379">
        <v>1</v>
      </c>
    </row>
    <row r="85" spans="1:11" s="385" customFormat="1" ht="120.75" customHeight="1" x14ac:dyDescent="0.25">
      <c r="A85" s="781">
        <v>1516013</v>
      </c>
      <c r="B85" s="782">
        <v>6013</v>
      </c>
      <c r="C85" s="478" t="s">
        <v>29</v>
      </c>
      <c r="D85" s="574" t="s">
        <v>137</v>
      </c>
      <c r="E85" s="571" t="s">
        <v>637</v>
      </c>
      <c r="F85" s="599" t="s">
        <v>548</v>
      </c>
      <c r="G85" s="395">
        <v>226222</v>
      </c>
      <c r="H85" s="396"/>
      <c r="I85" s="397">
        <v>0</v>
      </c>
      <c r="J85" s="361">
        <v>226222</v>
      </c>
      <c r="K85" s="379">
        <v>1</v>
      </c>
    </row>
    <row r="86" spans="1:11" s="103" customFormat="1" ht="88.5" customHeight="1" x14ac:dyDescent="0.25">
      <c r="A86" s="919">
        <v>1516030</v>
      </c>
      <c r="B86" s="921">
        <v>6030</v>
      </c>
      <c r="C86" s="903" t="s">
        <v>29</v>
      </c>
      <c r="D86" s="923" t="s">
        <v>30</v>
      </c>
      <c r="E86" s="394" t="s">
        <v>561</v>
      </c>
      <c r="F86" s="917" t="s">
        <v>553</v>
      </c>
      <c r="G86" s="395">
        <v>3777567</v>
      </c>
      <c r="H86" s="401">
        <f>1516531+H88</f>
        <v>1640341.91</v>
      </c>
      <c r="I86" s="402">
        <f>H86/G86</f>
        <v>0.43423238025956917</v>
      </c>
      <c r="J86" s="376">
        <f>1011118+1104357</f>
        <v>2115475</v>
      </c>
      <c r="K86" s="389">
        <v>1</v>
      </c>
    </row>
    <row r="87" spans="1:11" s="103" customFormat="1" ht="20.25" customHeight="1" x14ac:dyDescent="0.25">
      <c r="A87" s="932"/>
      <c r="B87" s="938"/>
      <c r="C87" s="912"/>
      <c r="D87" s="939"/>
      <c r="E87" s="380" t="s">
        <v>562</v>
      </c>
      <c r="F87" s="964"/>
      <c r="G87" s="381">
        <v>49800</v>
      </c>
      <c r="H87" s="403">
        <v>49763</v>
      </c>
      <c r="I87" s="404">
        <v>1</v>
      </c>
      <c r="J87" s="376"/>
      <c r="K87" s="340">
        <v>1</v>
      </c>
    </row>
    <row r="88" spans="1:11" s="103" customFormat="1" ht="40.5" x14ac:dyDescent="0.25">
      <c r="A88" s="920"/>
      <c r="B88" s="922"/>
      <c r="C88" s="904"/>
      <c r="D88" s="924"/>
      <c r="E88" s="380" t="s">
        <v>563</v>
      </c>
      <c r="F88" s="918"/>
      <c r="G88" s="400">
        <v>140204</v>
      </c>
      <c r="H88" s="400">
        <v>123810.91</v>
      </c>
      <c r="I88" s="404">
        <v>1</v>
      </c>
      <c r="J88" s="376"/>
      <c r="K88" s="340">
        <v>1</v>
      </c>
    </row>
    <row r="89" spans="1:11" s="103" customFormat="1" ht="101.25" x14ac:dyDescent="0.25">
      <c r="A89" s="781">
        <v>1516030</v>
      </c>
      <c r="B89" s="782">
        <v>6030</v>
      </c>
      <c r="C89" s="783" t="s">
        <v>29</v>
      </c>
      <c r="D89" s="784" t="s">
        <v>30</v>
      </c>
      <c r="E89" s="600" t="s">
        <v>599</v>
      </c>
      <c r="F89" s="785" t="s">
        <v>548</v>
      </c>
      <c r="G89" s="376">
        <v>49800</v>
      </c>
      <c r="H89" s="376"/>
      <c r="I89" s="406">
        <v>0</v>
      </c>
      <c r="J89" s="376">
        <v>49800</v>
      </c>
      <c r="K89" s="308">
        <v>1</v>
      </c>
    </row>
    <row r="90" spans="1:11" s="103" customFormat="1" ht="83.25" customHeight="1" x14ac:dyDescent="0.25">
      <c r="A90" s="781">
        <v>1516030</v>
      </c>
      <c r="B90" s="782">
        <v>6030</v>
      </c>
      <c r="C90" s="783" t="s">
        <v>29</v>
      </c>
      <c r="D90" s="784" t="s">
        <v>30</v>
      </c>
      <c r="E90" s="600" t="s">
        <v>600</v>
      </c>
      <c r="F90" s="773" t="s">
        <v>548</v>
      </c>
      <c r="G90" s="376">
        <v>898690</v>
      </c>
      <c r="H90" s="376"/>
      <c r="I90" s="406">
        <v>0</v>
      </c>
      <c r="J90" s="376">
        <f>500000+153683+67587+177420</f>
        <v>898690</v>
      </c>
      <c r="K90" s="308">
        <v>1</v>
      </c>
    </row>
    <row r="91" spans="1:11" s="103" customFormat="1" ht="113.25" customHeight="1" x14ac:dyDescent="0.25">
      <c r="A91" s="962">
        <v>1516030</v>
      </c>
      <c r="B91" s="903">
        <v>6030</v>
      </c>
      <c r="C91" s="903" t="s">
        <v>29</v>
      </c>
      <c r="D91" s="923" t="s">
        <v>30</v>
      </c>
      <c r="E91" s="405" t="s">
        <v>564</v>
      </c>
      <c r="F91" s="917" t="s">
        <v>565</v>
      </c>
      <c r="G91" s="376">
        <v>3910004</v>
      </c>
      <c r="H91" s="376">
        <v>0</v>
      </c>
      <c r="I91" s="397">
        <v>0</v>
      </c>
      <c r="J91" s="376">
        <f>4003149-93145</f>
        <v>3910004</v>
      </c>
      <c r="K91" s="308">
        <v>1</v>
      </c>
    </row>
    <row r="92" spans="1:11" s="103" customFormat="1" ht="20.25" x14ac:dyDescent="0.25">
      <c r="A92" s="963"/>
      <c r="B92" s="904"/>
      <c r="C92" s="904"/>
      <c r="D92" s="924"/>
      <c r="E92" s="380" t="s">
        <v>547</v>
      </c>
      <c r="F92" s="918"/>
      <c r="G92" s="400">
        <v>174543</v>
      </c>
      <c r="H92" s="400">
        <v>0</v>
      </c>
      <c r="I92" s="404">
        <v>0</v>
      </c>
      <c r="J92" s="400">
        <v>174543</v>
      </c>
      <c r="K92" s="340">
        <v>1</v>
      </c>
    </row>
    <row r="93" spans="1:11" s="103" customFormat="1" ht="161.25" customHeight="1" x14ac:dyDescent="0.25">
      <c r="A93" s="775">
        <v>1516030</v>
      </c>
      <c r="B93" s="770" t="s">
        <v>28</v>
      </c>
      <c r="C93" s="770" t="s">
        <v>29</v>
      </c>
      <c r="D93" s="771" t="s">
        <v>30</v>
      </c>
      <c r="E93" s="601" t="s">
        <v>618</v>
      </c>
      <c r="F93" s="773" t="s">
        <v>548</v>
      </c>
      <c r="G93" s="376">
        <v>406558</v>
      </c>
      <c r="H93" s="376">
        <v>0</v>
      </c>
      <c r="I93" s="406">
        <v>0</v>
      </c>
      <c r="J93" s="376">
        <v>406558</v>
      </c>
      <c r="K93" s="308">
        <v>1</v>
      </c>
    </row>
    <row r="94" spans="1:11" s="103" customFormat="1" ht="141.75" x14ac:dyDescent="0.25">
      <c r="A94" s="913" t="s">
        <v>286</v>
      </c>
      <c r="B94" s="914" t="s">
        <v>287</v>
      </c>
      <c r="C94" s="914" t="s">
        <v>288</v>
      </c>
      <c r="D94" s="915" t="s">
        <v>289</v>
      </c>
      <c r="E94" s="394" t="s">
        <v>566</v>
      </c>
      <c r="F94" s="917" t="s">
        <v>544</v>
      </c>
      <c r="G94" s="395">
        <v>6435596</v>
      </c>
      <c r="H94" s="401">
        <v>3693192</v>
      </c>
      <c r="I94" s="402">
        <f>H94/G94</f>
        <v>0.57386945979828441</v>
      </c>
      <c r="J94" s="376">
        <v>2138727</v>
      </c>
      <c r="K94" s="379">
        <v>1</v>
      </c>
    </row>
    <row r="95" spans="1:11" s="103" customFormat="1" ht="20.25" x14ac:dyDescent="0.25">
      <c r="A95" s="913"/>
      <c r="B95" s="914"/>
      <c r="C95" s="914"/>
      <c r="D95" s="916"/>
      <c r="E95" s="407" t="s">
        <v>567</v>
      </c>
      <c r="F95" s="918"/>
      <c r="G95" s="381">
        <v>169440</v>
      </c>
      <c r="H95" s="403">
        <v>167500</v>
      </c>
      <c r="I95" s="399">
        <v>1</v>
      </c>
      <c r="J95" s="376"/>
      <c r="K95" s="384">
        <v>1</v>
      </c>
    </row>
    <row r="96" spans="1:11" s="103" customFormat="1" ht="135" customHeight="1" x14ac:dyDescent="0.25">
      <c r="A96" s="786" t="s">
        <v>286</v>
      </c>
      <c r="B96" s="787" t="s">
        <v>287</v>
      </c>
      <c r="C96" s="787" t="s">
        <v>288</v>
      </c>
      <c r="D96" s="588" t="s">
        <v>289</v>
      </c>
      <c r="E96" s="408" t="s">
        <v>568</v>
      </c>
      <c r="F96" s="783" t="s">
        <v>548</v>
      </c>
      <c r="G96" s="361">
        <v>49800</v>
      </c>
      <c r="H96" s="361">
        <v>0</v>
      </c>
      <c r="I96" s="409">
        <v>0</v>
      </c>
      <c r="J96" s="388">
        <v>49800</v>
      </c>
      <c r="K96" s="389">
        <v>1</v>
      </c>
    </row>
    <row r="97" spans="1:13" s="103" customFormat="1" ht="144" customHeight="1" x14ac:dyDescent="0.25">
      <c r="A97" s="786" t="s">
        <v>286</v>
      </c>
      <c r="B97" s="787" t="s">
        <v>287</v>
      </c>
      <c r="C97" s="787" t="s">
        <v>288</v>
      </c>
      <c r="D97" s="588" t="s">
        <v>289</v>
      </c>
      <c r="E97" s="408" t="s">
        <v>569</v>
      </c>
      <c r="F97" s="783" t="s">
        <v>548</v>
      </c>
      <c r="G97" s="361">
        <v>1600000</v>
      </c>
      <c r="H97" s="361">
        <v>0</v>
      </c>
      <c r="I97" s="409">
        <v>0</v>
      </c>
      <c r="J97" s="361">
        <f>1550200-400000</f>
        <v>1150200</v>
      </c>
      <c r="K97" s="389">
        <v>1</v>
      </c>
    </row>
    <row r="98" spans="1:13" s="103" customFormat="1" ht="80.25" customHeight="1" x14ac:dyDescent="0.25">
      <c r="A98" s="897" t="s">
        <v>570</v>
      </c>
      <c r="B98" s="899" t="s">
        <v>571</v>
      </c>
      <c r="C98" s="899" t="s">
        <v>288</v>
      </c>
      <c r="D98" s="901" t="s">
        <v>572</v>
      </c>
      <c r="E98" s="602" t="s">
        <v>619</v>
      </c>
      <c r="F98" s="903" t="s">
        <v>573</v>
      </c>
      <c r="G98" s="361">
        <v>1630569</v>
      </c>
      <c r="H98" s="361">
        <v>120891</v>
      </c>
      <c r="I98" s="409">
        <f>(H98/G98)*100%</f>
        <v>7.4140376764184779E-2</v>
      </c>
      <c r="J98" s="361">
        <f>1501526-183812</f>
        <v>1317714</v>
      </c>
      <c r="K98" s="389">
        <v>1</v>
      </c>
    </row>
    <row r="99" spans="1:13" s="385" customFormat="1" ht="44.45" customHeight="1" x14ac:dyDescent="0.25">
      <c r="A99" s="898"/>
      <c r="B99" s="900"/>
      <c r="C99" s="900"/>
      <c r="D99" s="902"/>
      <c r="E99" s="603" t="s">
        <v>563</v>
      </c>
      <c r="F99" s="904"/>
      <c r="G99" s="382">
        <v>129043</v>
      </c>
      <c r="H99" s="382">
        <v>120891</v>
      </c>
      <c r="I99" s="410">
        <v>1</v>
      </c>
      <c r="J99" s="382"/>
      <c r="K99" s="389">
        <v>1</v>
      </c>
    </row>
    <row r="100" spans="1:13" s="385" customFormat="1" ht="105.75" customHeight="1" x14ac:dyDescent="0.25">
      <c r="A100" s="788" t="s">
        <v>570</v>
      </c>
      <c r="B100" s="790" t="s">
        <v>571</v>
      </c>
      <c r="C100" s="790" t="s">
        <v>288</v>
      </c>
      <c r="D100" s="791" t="s">
        <v>572</v>
      </c>
      <c r="E100" s="680" t="s">
        <v>660</v>
      </c>
      <c r="F100" s="770" t="s">
        <v>548</v>
      </c>
      <c r="G100" s="361">
        <v>49950</v>
      </c>
      <c r="H100" s="361"/>
      <c r="I100" s="409">
        <v>0</v>
      </c>
      <c r="J100" s="361">
        <v>49950</v>
      </c>
      <c r="K100" s="389">
        <v>1</v>
      </c>
    </row>
    <row r="101" spans="1:13" s="385" customFormat="1" ht="87" customHeight="1" x14ac:dyDescent="0.25">
      <c r="A101" s="788" t="s">
        <v>570</v>
      </c>
      <c r="B101" s="790" t="s">
        <v>571</v>
      </c>
      <c r="C101" s="790" t="s">
        <v>288</v>
      </c>
      <c r="D101" s="791" t="s">
        <v>572</v>
      </c>
      <c r="E101" s="680" t="s">
        <v>661</v>
      </c>
      <c r="F101" s="770" t="s">
        <v>548</v>
      </c>
      <c r="G101" s="361">
        <v>541861</v>
      </c>
      <c r="H101" s="361"/>
      <c r="I101" s="409">
        <v>0</v>
      </c>
      <c r="J101" s="361">
        <v>541861</v>
      </c>
      <c r="K101" s="389">
        <v>1</v>
      </c>
    </row>
    <row r="102" spans="1:13" s="103" customFormat="1" ht="191.45" customHeight="1" x14ac:dyDescent="0.25">
      <c r="A102" s="779" t="s">
        <v>574</v>
      </c>
      <c r="B102" s="768" t="s">
        <v>575</v>
      </c>
      <c r="C102" s="768" t="s">
        <v>288</v>
      </c>
      <c r="D102" s="777" t="s">
        <v>576</v>
      </c>
      <c r="E102" s="360" t="s">
        <v>577</v>
      </c>
      <c r="F102" s="783" t="s">
        <v>548</v>
      </c>
      <c r="G102" s="362">
        <v>1477980</v>
      </c>
      <c r="H102" s="362">
        <v>0</v>
      </c>
      <c r="I102" s="387">
        <v>0</v>
      </c>
      <c r="J102" s="362">
        <f>1477980-213962</f>
        <v>1264018</v>
      </c>
      <c r="K102" s="364">
        <v>1</v>
      </c>
    </row>
    <row r="103" spans="1:13" s="479" customFormat="1" ht="102" customHeight="1" x14ac:dyDescent="0.25">
      <c r="A103" s="897" t="s">
        <v>578</v>
      </c>
      <c r="B103" s="906" t="s">
        <v>140</v>
      </c>
      <c r="C103" s="906" t="s">
        <v>141</v>
      </c>
      <c r="D103" s="909" t="s">
        <v>142</v>
      </c>
      <c r="E103" s="411" t="s">
        <v>620</v>
      </c>
      <c r="F103" s="903" t="s">
        <v>579</v>
      </c>
      <c r="G103" s="362">
        <v>45050824</v>
      </c>
      <c r="H103" s="361">
        <v>2753824</v>
      </c>
      <c r="I103" s="387">
        <v>7.0000000000000007E-2</v>
      </c>
      <c r="J103" s="361">
        <f>6418944-478735-5940209+7000000+531097-2799508</f>
        <v>4731589</v>
      </c>
      <c r="K103" s="389">
        <f>(J103+H103)/G103</f>
        <v>0.16615485212878681</v>
      </c>
      <c r="M103" s="659"/>
    </row>
    <row r="104" spans="1:13" s="479" customFormat="1" ht="20.25" customHeight="1" x14ac:dyDescent="0.25">
      <c r="A104" s="905"/>
      <c r="B104" s="907"/>
      <c r="C104" s="907"/>
      <c r="D104" s="910"/>
      <c r="E104" s="415" t="s">
        <v>547</v>
      </c>
      <c r="F104" s="912"/>
      <c r="G104" s="391">
        <v>169781</v>
      </c>
      <c r="H104" s="382">
        <v>169781</v>
      </c>
      <c r="I104" s="416">
        <v>1</v>
      </c>
      <c r="J104" s="382"/>
      <c r="K104" s="393">
        <v>1</v>
      </c>
    </row>
    <row r="105" spans="1:13" s="479" customFormat="1" ht="43.5" customHeight="1" x14ac:dyDescent="0.25">
      <c r="A105" s="905"/>
      <c r="B105" s="907"/>
      <c r="C105" s="907"/>
      <c r="D105" s="910"/>
      <c r="E105" s="480" t="s">
        <v>563</v>
      </c>
      <c r="F105" s="912"/>
      <c r="G105" s="412">
        <v>1003085</v>
      </c>
      <c r="H105" s="413">
        <v>1003085</v>
      </c>
      <c r="I105" s="414">
        <v>1</v>
      </c>
      <c r="J105" s="413"/>
      <c r="K105" s="567">
        <v>1</v>
      </c>
    </row>
    <row r="106" spans="1:13" s="479" customFormat="1" ht="101.25" customHeight="1" x14ac:dyDescent="0.25">
      <c r="A106" s="898"/>
      <c r="B106" s="908"/>
      <c r="C106" s="908"/>
      <c r="D106" s="911"/>
      <c r="E106" s="660" t="s">
        <v>638</v>
      </c>
      <c r="F106" s="904"/>
      <c r="G106" s="412">
        <v>10458431</v>
      </c>
      <c r="H106" s="413"/>
      <c r="I106" s="414"/>
      <c r="J106" s="413">
        <f>7531097-2799508</f>
        <v>4731589</v>
      </c>
      <c r="K106" s="567">
        <f>(J106+H106)/G106</f>
        <v>0.45241862761249751</v>
      </c>
    </row>
    <row r="107" spans="1:13" s="479" customFormat="1" ht="96" customHeight="1" x14ac:dyDescent="0.25">
      <c r="A107" s="786" t="s">
        <v>578</v>
      </c>
      <c r="B107" s="674" t="s">
        <v>140</v>
      </c>
      <c r="C107" s="674" t="s">
        <v>141</v>
      </c>
      <c r="D107" s="675" t="s">
        <v>142</v>
      </c>
      <c r="E107" s="578" t="s">
        <v>621</v>
      </c>
      <c r="F107" s="783" t="s">
        <v>548</v>
      </c>
      <c r="G107" s="362">
        <v>148634</v>
      </c>
      <c r="H107" s="361"/>
      <c r="I107" s="387">
        <v>0</v>
      </c>
      <c r="J107" s="361">
        <v>148634</v>
      </c>
      <c r="K107" s="389">
        <v>1</v>
      </c>
    </row>
    <row r="108" spans="1:13" s="479" customFormat="1" ht="99.75" customHeight="1" x14ac:dyDescent="0.25">
      <c r="A108" s="897" t="s">
        <v>601</v>
      </c>
      <c r="B108" s="906" t="s">
        <v>602</v>
      </c>
      <c r="C108" s="906" t="s">
        <v>239</v>
      </c>
      <c r="D108" s="909" t="s">
        <v>240</v>
      </c>
      <c r="E108" s="601" t="s">
        <v>622</v>
      </c>
      <c r="F108" s="903" t="s">
        <v>548</v>
      </c>
      <c r="G108" s="362">
        <f>G109+G111</f>
        <v>5455092</v>
      </c>
      <c r="H108" s="361"/>
      <c r="I108" s="387">
        <v>0</v>
      </c>
      <c r="J108" s="361">
        <f>J109+J111</f>
        <v>5441652</v>
      </c>
      <c r="K108" s="389">
        <v>1</v>
      </c>
      <c r="L108" s="659"/>
      <c r="M108" s="659"/>
    </row>
    <row r="109" spans="1:13" s="479" customFormat="1" ht="127.15" customHeight="1" x14ac:dyDescent="0.25">
      <c r="A109" s="905"/>
      <c r="B109" s="907"/>
      <c r="C109" s="907"/>
      <c r="D109" s="910"/>
      <c r="E109" s="403" t="s">
        <v>662</v>
      </c>
      <c r="F109" s="912"/>
      <c r="G109" s="391">
        <v>3091468</v>
      </c>
      <c r="H109" s="382"/>
      <c r="I109" s="416"/>
      <c r="J109" s="382">
        <f>2042000+1036028</f>
        <v>3078028</v>
      </c>
      <c r="K109" s="393">
        <v>1</v>
      </c>
    </row>
    <row r="110" spans="1:13" s="479" customFormat="1" ht="26.25" customHeight="1" x14ac:dyDescent="0.25">
      <c r="A110" s="905"/>
      <c r="B110" s="907"/>
      <c r="C110" s="907"/>
      <c r="D110" s="910"/>
      <c r="E110" s="403" t="s">
        <v>560</v>
      </c>
      <c r="F110" s="912"/>
      <c r="G110" s="412">
        <v>109440</v>
      </c>
      <c r="H110" s="382"/>
      <c r="I110" s="416"/>
      <c r="J110" s="382">
        <v>96000</v>
      </c>
      <c r="K110" s="393">
        <v>1</v>
      </c>
    </row>
    <row r="111" spans="1:13" s="479" customFormat="1" ht="148.15" customHeight="1" thickBot="1" x14ac:dyDescent="0.3">
      <c r="A111" s="905"/>
      <c r="B111" s="907"/>
      <c r="C111" s="907"/>
      <c r="D111" s="910"/>
      <c r="E111" s="480" t="s">
        <v>663</v>
      </c>
      <c r="F111" s="912"/>
      <c r="G111" s="412">
        <v>2363624</v>
      </c>
      <c r="H111" s="413"/>
      <c r="I111" s="414"/>
      <c r="J111" s="413">
        <f>2363624</f>
        <v>2363624</v>
      </c>
      <c r="K111" s="567">
        <v>1</v>
      </c>
    </row>
    <row r="112" spans="1:13" s="479" customFormat="1" ht="56.45" customHeight="1" thickBot="1" x14ac:dyDescent="0.3">
      <c r="A112" s="316" t="s">
        <v>206</v>
      </c>
      <c r="B112" s="723"/>
      <c r="C112" s="724"/>
      <c r="D112" s="725" t="s">
        <v>207</v>
      </c>
      <c r="E112" s="726"/>
      <c r="F112" s="727"/>
      <c r="G112" s="728"/>
      <c r="H112" s="729"/>
      <c r="I112" s="730"/>
      <c r="J112" s="593">
        <f>J113</f>
        <v>6968100</v>
      </c>
      <c r="K112" s="731"/>
    </row>
    <row r="113" spans="1:16" s="479" customFormat="1" ht="54.6" customHeight="1" x14ac:dyDescent="0.25">
      <c r="A113" s="789" t="s">
        <v>208</v>
      </c>
      <c r="B113" s="795"/>
      <c r="C113" s="795"/>
      <c r="D113" s="577" t="s">
        <v>207</v>
      </c>
      <c r="E113" s="745"/>
      <c r="F113" s="770"/>
      <c r="G113" s="746"/>
      <c r="H113" s="747"/>
      <c r="I113" s="748"/>
      <c r="J113" s="747">
        <f>J114</f>
        <v>6968100</v>
      </c>
      <c r="K113" s="970"/>
    </row>
    <row r="114" spans="1:16" s="479" customFormat="1" ht="98.45" customHeight="1" thickBot="1" x14ac:dyDescent="0.3">
      <c r="A114" s="792" t="s">
        <v>671</v>
      </c>
      <c r="B114" s="794" t="s">
        <v>672</v>
      </c>
      <c r="C114" s="700" t="s">
        <v>288</v>
      </c>
      <c r="D114" s="467" t="s">
        <v>669</v>
      </c>
      <c r="E114" s="719" t="s">
        <v>673</v>
      </c>
      <c r="F114" s="769"/>
      <c r="G114" s="720"/>
      <c r="H114" s="721"/>
      <c r="I114" s="722"/>
      <c r="J114" s="744">
        <v>6968100</v>
      </c>
      <c r="K114" s="971"/>
    </row>
    <row r="115" spans="1:16" s="103" customFormat="1" ht="61.5" customHeight="1" thickBot="1" x14ac:dyDescent="0.3">
      <c r="A115" s="316" t="s">
        <v>214</v>
      </c>
      <c r="B115" s="317" t="s">
        <v>16</v>
      </c>
      <c r="C115" s="732" t="s">
        <v>16</v>
      </c>
      <c r="D115" s="725" t="s">
        <v>215</v>
      </c>
      <c r="E115" s="733">
        <v>0</v>
      </c>
      <c r="F115" s="734"/>
      <c r="G115" s="735"/>
      <c r="H115" s="736"/>
      <c r="I115" s="737"/>
      <c r="J115" s="738">
        <f>J116</f>
        <v>46000</v>
      </c>
      <c r="K115" s="739"/>
    </row>
    <row r="116" spans="1:16" s="103" customFormat="1" ht="60" customHeight="1" x14ac:dyDescent="0.25">
      <c r="A116" s="323" t="s">
        <v>216</v>
      </c>
      <c r="B116" s="324" t="s">
        <v>16</v>
      </c>
      <c r="C116" s="324" t="s">
        <v>16</v>
      </c>
      <c r="D116" s="577" t="s">
        <v>215</v>
      </c>
      <c r="E116" s="417"/>
      <c r="F116" s="774"/>
      <c r="G116" s="418"/>
      <c r="H116" s="419"/>
      <c r="I116" s="420"/>
      <c r="J116" s="358">
        <f>J117</f>
        <v>46000</v>
      </c>
      <c r="K116" s="421"/>
    </row>
    <row r="117" spans="1:16" s="103" customFormat="1" ht="57.75" customHeight="1" thickBot="1" x14ac:dyDescent="0.3">
      <c r="A117" s="331" t="s">
        <v>217</v>
      </c>
      <c r="B117" s="332" t="s">
        <v>46</v>
      </c>
      <c r="C117" s="332" t="s">
        <v>19</v>
      </c>
      <c r="D117" s="575" t="s">
        <v>182</v>
      </c>
      <c r="E117" s="333" t="s">
        <v>535</v>
      </c>
      <c r="F117" s="772"/>
      <c r="G117" s="740"/>
      <c r="H117" s="422"/>
      <c r="I117" s="741"/>
      <c r="J117" s="742">
        <f>23000+23000</f>
        <v>46000</v>
      </c>
      <c r="K117" s="972"/>
    </row>
    <row r="118" spans="1:16" s="103" customFormat="1" ht="57.75" customHeight="1" thickBot="1" x14ac:dyDescent="0.3">
      <c r="A118" s="316">
        <v>3700000</v>
      </c>
      <c r="B118" s="743"/>
      <c r="C118" s="743"/>
      <c r="D118" s="725" t="s">
        <v>219</v>
      </c>
      <c r="E118" s="318"/>
      <c r="F118" s="734"/>
      <c r="G118" s="735"/>
      <c r="H118" s="736"/>
      <c r="I118" s="737"/>
      <c r="J118" s="738">
        <f>J119</f>
        <v>48200</v>
      </c>
      <c r="K118" s="739"/>
    </row>
    <row r="119" spans="1:16" s="103" customFormat="1" ht="57.75" customHeight="1" x14ac:dyDescent="0.25">
      <c r="A119" s="323">
        <v>3710000</v>
      </c>
      <c r="B119" s="324" t="s">
        <v>16</v>
      </c>
      <c r="C119" s="324" t="s">
        <v>16</v>
      </c>
      <c r="D119" s="577" t="s">
        <v>219</v>
      </c>
      <c r="E119" s="326"/>
      <c r="F119" s="774"/>
      <c r="G119" s="418"/>
      <c r="H119" s="419"/>
      <c r="I119" s="420"/>
      <c r="J119" s="358">
        <f>J120</f>
        <v>48200</v>
      </c>
      <c r="K119" s="421"/>
    </row>
    <row r="120" spans="1:16" s="103" customFormat="1" ht="57.75" customHeight="1" thickBot="1" x14ac:dyDescent="0.3">
      <c r="A120" s="309">
        <v>3710160</v>
      </c>
      <c r="B120" s="310" t="s">
        <v>46</v>
      </c>
      <c r="C120" s="310" t="s">
        <v>19</v>
      </c>
      <c r="D120" s="467" t="s">
        <v>182</v>
      </c>
      <c r="E120" s="304" t="s">
        <v>535</v>
      </c>
      <c r="F120" s="773"/>
      <c r="G120" s="711"/>
      <c r="H120" s="712"/>
      <c r="I120" s="713"/>
      <c r="J120" s="714">
        <f>0+48200</f>
        <v>48200</v>
      </c>
      <c r="K120" s="715"/>
    </row>
    <row r="121" spans="1:16" ht="21" thickBot="1" x14ac:dyDescent="0.3">
      <c r="A121" s="582" t="s">
        <v>580</v>
      </c>
      <c r="B121" s="288" t="s">
        <v>580</v>
      </c>
      <c r="C121" s="288" t="s">
        <v>580</v>
      </c>
      <c r="D121" s="287" t="s">
        <v>150</v>
      </c>
      <c r="E121" s="568" t="s">
        <v>580</v>
      </c>
      <c r="F121" s="569" t="s">
        <v>580</v>
      </c>
      <c r="G121" s="570" t="s">
        <v>580</v>
      </c>
      <c r="H121" s="570" t="s">
        <v>580</v>
      </c>
      <c r="I121" s="570" t="s">
        <v>580</v>
      </c>
      <c r="J121" s="681">
        <f>J22+J36+J41+J49+J54+J115+J32+J118+J112</f>
        <v>170726969</v>
      </c>
      <c r="K121" s="682" t="s">
        <v>580</v>
      </c>
      <c r="M121" s="423"/>
    </row>
    <row r="122" spans="1:16" ht="20.25" x14ac:dyDescent="0.25">
      <c r="A122" s="424"/>
      <c r="B122" s="425"/>
      <c r="C122" s="425"/>
      <c r="D122" s="426"/>
      <c r="E122" s="427"/>
      <c r="F122" s="428"/>
      <c r="G122" s="429"/>
      <c r="H122" s="429"/>
      <c r="I122" s="429"/>
      <c r="J122" s="430"/>
      <c r="K122" s="431"/>
    </row>
    <row r="123" spans="1:16" s="29" customFormat="1" ht="49.9" customHeight="1" x14ac:dyDescent="0.3">
      <c r="A123" s="896" t="s">
        <v>674</v>
      </c>
      <c r="B123" s="896"/>
      <c r="C123" s="896"/>
      <c r="D123" s="896"/>
      <c r="E123" s="896"/>
      <c r="F123" s="896"/>
      <c r="G123" s="896"/>
      <c r="H123" s="896"/>
      <c r="I123" s="896"/>
      <c r="J123" s="896"/>
      <c r="K123" s="110"/>
      <c r="L123" s="26"/>
      <c r="M123" s="110"/>
      <c r="N123" s="110"/>
      <c r="O123" s="27"/>
      <c r="P123" s="28"/>
    </row>
    <row r="125" spans="1:16" s="20" customFormat="1" ht="20.25" x14ac:dyDescent="0.3">
      <c r="A125" s="432"/>
      <c r="B125" s="432"/>
      <c r="G125" s="433"/>
      <c r="J125" s="434"/>
    </row>
    <row r="126" spans="1:16" s="436" customFormat="1" ht="21" x14ac:dyDescent="0.35">
      <c r="A126" s="435"/>
      <c r="B126" s="435"/>
    </row>
    <row r="127" spans="1:16" s="437" customFormat="1" ht="20.25" x14ac:dyDescent="0.3">
      <c r="B127" s="438"/>
      <c r="C127" s="439"/>
      <c r="E127" s="440"/>
      <c r="F127" s="439"/>
      <c r="G127" s="433"/>
      <c r="H127" s="433"/>
      <c r="I127" s="433"/>
      <c r="J127" s="683"/>
      <c r="K127" s="441"/>
    </row>
    <row r="128" spans="1:16" x14ac:dyDescent="0.25">
      <c r="B128" s="260"/>
      <c r="C128" s="260"/>
      <c r="D128" s="260"/>
      <c r="E128" s="260"/>
      <c r="F128" s="260"/>
      <c r="G128" s="260"/>
      <c r="H128" s="260"/>
      <c r="I128" s="260"/>
      <c r="J128" s="260"/>
      <c r="K128" s="260"/>
    </row>
    <row r="129" spans="2:11" x14ac:dyDescent="0.25">
      <c r="B129" s="260"/>
      <c r="C129" s="260"/>
      <c r="D129" s="260"/>
      <c r="E129" s="260"/>
      <c r="F129" s="260"/>
      <c r="G129" s="260"/>
      <c r="H129" s="260"/>
      <c r="I129" s="260"/>
      <c r="J129" s="260"/>
      <c r="K129" s="260"/>
    </row>
  </sheetData>
  <mergeCells count="88">
    <mergeCell ref="I9:J9"/>
    <mergeCell ref="A86:A88"/>
    <mergeCell ref="B86:B88"/>
    <mergeCell ref="C86:C88"/>
    <mergeCell ref="D86:D88"/>
    <mergeCell ref="F86:F88"/>
    <mergeCell ref="A91:A92"/>
    <mergeCell ref="B91:B92"/>
    <mergeCell ref="C91:C92"/>
    <mergeCell ref="D91:D92"/>
    <mergeCell ref="F91:F92"/>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F70:F72"/>
    <mergeCell ref="B70:B72"/>
    <mergeCell ref="C70:C72"/>
    <mergeCell ref="D70:D72"/>
    <mergeCell ref="F57:F59"/>
    <mergeCell ref="F68:F69"/>
    <mergeCell ref="F61:F62"/>
    <mergeCell ref="F63:F65"/>
    <mergeCell ref="B61:B62"/>
    <mergeCell ref="C61:C62"/>
    <mergeCell ref="D61:D62"/>
    <mergeCell ref="B63:B65"/>
    <mergeCell ref="C63:C65"/>
    <mergeCell ref="D63:D65"/>
    <mergeCell ref="A57:A59"/>
    <mergeCell ref="B57:B59"/>
    <mergeCell ref="C57:C59"/>
    <mergeCell ref="D57:D59"/>
    <mergeCell ref="A70:A72"/>
    <mergeCell ref="A68:A69"/>
    <mergeCell ref="B68:B69"/>
    <mergeCell ref="C68:C69"/>
    <mergeCell ref="D68:D69"/>
    <mergeCell ref="A61:A62"/>
    <mergeCell ref="A63:A65"/>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94:A95"/>
    <mergeCell ref="B94:B95"/>
    <mergeCell ref="C94:C95"/>
    <mergeCell ref="D94:D95"/>
    <mergeCell ref="F94:F95"/>
    <mergeCell ref="A123:J123"/>
    <mergeCell ref="A98:A99"/>
    <mergeCell ref="B98:B99"/>
    <mergeCell ref="C98:C99"/>
    <mergeCell ref="D98:D99"/>
    <mergeCell ref="F98:F99"/>
    <mergeCell ref="A103:A106"/>
    <mergeCell ref="B103:B106"/>
    <mergeCell ref="C103:C106"/>
    <mergeCell ref="D103:D106"/>
    <mergeCell ref="F103:F106"/>
    <mergeCell ref="A108:A111"/>
    <mergeCell ref="B108:B111"/>
    <mergeCell ref="C108:C111"/>
    <mergeCell ref="D108:D111"/>
    <mergeCell ref="F108:F111"/>
  </mergeCells>
  <pageMargins left="0.78740157480314965" right="0.51181102362204722" top="0.74803149606299213" bottom="0.35433070866141736"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polzovatel</cp:lastModifiedBy>
  <cp:lastPrinted>2024-12-19T07:43:34Z</cp:lastPrinted>
  <dcterms:created xsi:type="dcterms:W3CDTF">2021-12-17T13:26:15Z</dcterms:created>
  <dcterms:modified xsi:type="dcterms:W3CDTF">2024-12-19T07:47:24Z</dcterms:modified>
</cp:coreProperties>
</file>