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1-FIN-OTDEL\share\БЮДЖЕТ 2024 рік\Рішення про бюджет на 2024 рік\11. Рішення від          2025 №     -VIII\Рішення №        -VIII від        2025 року\"/>
    </mc:Choice>
  </mc:AlternateContent>
  <bookViews>
    <workbookView xWindow="4812" yWindow="1380" windowWidth="21600" windowHeight="11292" firstSheet="1" activeTab="5"/>
  </bookViews>
  <sheets>
    <sheet name="дод 1 Доходи" sheetId="26" r:id="rId1"/>
    <sheet name="дод 2 Джерела" sheetId="23" r:id="rId2"/>
    <sheet name="дод 3 Видатки" sheetId="19" r:id="rId3"/>
    <sheet name="дод 4 Трансферти" sheetId="24" r:id="rId4"/>
    <sheet name="дод 5 Програми" sheetId="11" r:id="rId5"/>
    <sheet name="дод 6 Бюджет розвитку" sheetId="25" r:id="rId6"/>
  </sheets>
  <definedNames>
    <definedName name="_xlnm.Print_Titles" localSheetId="2">'дод 3 Видатки'!$18:$22</definedName>
    <definedName name="_xlnm.Print_Titles" localSheetId="4">'дод 5 Програми'!$20:$22</definedName>
    <definedName name="_xlnm.Print_Area" localSheetId="0">'дод 1 Доходи'!$A$1:$F$91</definedName>
    <definedName name="_xlnm.Print_Area" localSheetId="1">'дод 2 Джерела'!$A$1:$F$40</definedName>
    <definedName name="_xlnm.Print_Area" localSheetId="2">'дод 3 Видатки'!$A$1:$P$146</definedName>
    <definedName name="_xlnm.Print_Area" localSheetId="3">'дод 4 Трансферти'!$A$1:$D$80</definedName>
    <definedName name="_xlnm.Print_Area" localSheetId="4">'дод 5 Програми'!$A$1:$J$127</definedName>
    <definedName name="_xlnm.Print_Area" localSheetId="5">'дод 6 Бюджет розвитку'!$A$1:$K$125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23" i="11" l="1"/>
  <c r="O139" i="19"/>
  <c r="O143" i="19"/>
  <c r="D60" i="24"/>
  <c r="D59" i="24" s="1"/>
  <c r="J87" i="11" l="1"/>
  <c r="J103" i="11"/>
  <c r="J35" i="25" l="1"/>
  <c r="J52" i="11"/>
  <c r="J43" i="11" s="1"/>
  <c r="D57" i="24"/>
  <c r="D39" i="24"/>
  <c r="D29" i="24"/>
  <c r="D23" i="24"/>
  <c r="O115" i="19"/>
  <c r="K115" i="19" s="1"/>
  <c r="J52" i="19"/>
  <c r="K59" i="19"/>
  <c r="J59" i="19" s="1"/>
  <c r="F105" i="19"/>
  <c r="E28" i="23"/>
  <c r="D28" i="23"/>
  <c r="D67" i="26"/>
  <c r="D79" i="26"/>
  <c r="E68" i="26"/>
  <c r="F68" i="26"/>
  <c r="D72" i="26"/>
  <c r="D26" i="23" l="1"/>
  <c r="D50" i="24" l="1"/>
  <c r="F73" i="26"/>
  <c r="F65" i="26" s="1"/>
  <c r="F64" i="26" s="1"/>
  <c r="C82" i="26"/>
  <c r="D86" i="26"/>
  <c r="C86" i="26" s="1"/>
  <c r="C85" i="26"/>
  <c r="D84" i="26"/>
  <c r="C84" i="26" s="1"/>
  <c r="D83" i="26"/>
  <c r="C83" i="26" s="1"/>
  <c r="C81" i="26"/>
  <c r="D80" i="26"/>
  <c r="C80" i="26" s="1"/>
  <c r="C79" i="26"/>
  <c r="D78" i="26"/>
  <c r="C78" i="26" s="1"/>
  <c r="D77" i="26"/>
  <c r="C77" i="26" s="1"/>
  <c r="E76" i="26"/>
  <c r="E73" i="26" s="1"/>
  <c r="C75" i="26"/>
  <c r="D74" i="26"/>
  <c r="C74" i="26" s="1"/>
  <c r="C72" i="26"/>
  <c r="C71" i="26" s="1"/>
  <c r="D71" i="26"/>
  <c r="C70" i="26"/>
  <c r="D69" i="26"/>
  <c r="C69" i="26" s="1"/>
  <c r="D66" i="26"/>
  <c r="C67" i="26"/>
  <c r="E62" i="26"/>
  <c r="C62" i="26" s="1"/>
  <c r="C61" i="26" s="1"/>
  <c r="C60" i="26"/>
  <c r="E59" i="26"/>
  <c r="C59" i="26"/>
  <c r="E58" i="26"/>
  <c r="C58" i="26" s="1"/>
  <c r="D57" i="26"/>
  <c r="C57" i="26" s="1"/>
  <c r="D56" i="26"/>
  <c r="D55" i="26" s="1"/>
  <c r="D54" i="26"/>
  <c r="C54" i="26" s="1"/>
  <c r="C53" i="26"/>
  <c r="C52" i="26"/>
  <c r="D51" i="26"/>
  <c r="C51" i="26"/>
  <c r="C50" i="26"/>
  <c r="C48" i="26"/>
  <c r="D47" i="26"/>
  <c r="D45" i="26" s="1"/>
  <c r="C45" i="26" s="1"/>
  <c r="C47" i="26"/>
  <c r="C46" i="26"/>
  <c r="C43" i="26"/>
  <c r="E42" i="26"/>
  <c r="C42" i="26" s="1"/>
  <c r="D41" i="26"/>
  <c r="C41" i="26" s="1"/>
  <c r="D40" i="26"/>
  <c r="C40" i="26" s="1"/>
  <c r="C39" i="26"/>
  <c r="C38" i="26"/>
  <c r="D37" i="26"/>
  <c r="D35" i="26" s="1"/>
  <c r="C35" i="26" s="1"/>
  <c r="C36" i="26"/>
  <c r="C34" i="26"/>
  <c r="C33" i="26"/>
  <c r="C32" i="26"/>
  <c r="C31" i="26"/>
  <c r="D30" i="26"/>
  <c r="C30" i="26" s="1"/>
  <c r="C27" i="26"/>
  <c r="C26" i="26"/>
  <c r="C25" i="26"/>
  <c r="D24" i="26"/>
  <c r="C24" i="26" s="1"/>
  <c r="C23" i="26"/>
  <c r="D22" i="26"/>
  <c r="C22" i="26" s="1"/>
  <c r="D49" i="26" l="1"/>
  <c r="C49" i="26" s="1"/>
  <c r="C76" i="26"/>
  <c r="C73" i="26" s="1"/>
  <c r="D73" i="26"/>
  <c r="E65" i="26"/>
  <c r="E64" i="26" s="1"/>
  <c r="F58" i="26"/>
  <c r="F55" i="26" s="1"/>
  <c r="F44" i="26" s="1"/>
  <c r="E20" i="26"/>
  <c r="D21" i="26"/>
  <c r="C21" i="26" s="1"/>
  <c r="E55" i="26"/>
  <c r="E44" i="26" s="1"/>
  <c r="C66" i="26"/>
  <c r="F62" i="26"/>
  <c r="F61" i="26" s="1"/>
  <c r="C56" i="26"/>
  <c r="D68" i="26"/>
  <c r="C68" i="26" s="1"/>
  <c r="D44" i="26"/>
  <c r="C37" i="26"/>
  <c r="E61" i="26"/>
  <c r="D29" i="26"/>
  <c r="E63" i="26" l="1"/>
  <c r="E87" i="26" s="1"/>
  <c r="C55" i="26"/>
  <c r="F63" i="26"/>
  <c r="F87" i="26" s="1"/>
  <c r="C44" i="26"/>
  <c r="C29" i="26"/>
  <c r="D28" i="26"/>
  <c r="D65" i="26"/>
  <c r="D64" i="26" l="1"/>
  <c r="C64" i="26" s="1"/>
  <c r="C65" i="26"/>
  <c r="C28" i="26"/>
  <c r="D20" i="26"/>
  <c r="C20" i="26" l="1"/>
  <c r="D63" i="26"/>
  <c r="D87" i="26" l="1"/>
  <c r="C87" i="26" s="1"/>
  <c r="C63" i="26"/>
  <c r="J31" i="25" l="1"/>
  <c r="J41" i="11"/>
  <c r="H41" i="11"/>
  <c r="D74" i="24"/>
  <c r="D69" i="24"/>
  <c r="F39" i="19"/>
  <c r="K39" i="19"/>
  <c r="D35" i="24" l="1"/>
  <c r="D37" i="24"/>
  <c r="F48" i="19"/>
  <c r="F47" i="19"/>
  <c r="G47" i="19"/>
  <c r="F125" i="19" l="1"/>
  <c r="J114" i="25"/>
  <c r="J113" i="25" s="1"/>
  <c r="I112" i="11" l="1"/>
  <c r="H112" i="11"/>
  <c r="J114" i="11"/>
  <c r="G114" i="11" s="1"/>
  <c r="J112" i="11" l="1"/>
  <c r="O124" i="19"/>
  <c r="J125" i="19"/>
  <c r="J126" i="19"/>
  <c r="J127" i="19"/>
  <c r="P127" i="19" s="1"/>
  <c r="K127" i="19"/>
  <c r="G130" i="19" l="1"/>
  <c r="F130" i="19"/>
  <c r="H55" i="11" l="1"/>
  <c r="G55" i="11" s="1"/>
  <c r="D25" i="24"/>
  <c r="F52" i="19"/>
  <c r="K110" i="19" l="1"/>
  <c r="J121" i="25"/>
  <c r="J120" i="25" s="1"/>
  <c r="J119" i="25" s="1"/>
  <c r="J118" i="25"/>
  <c r="J104" i="25"/>
  <c r="J107" i="25"/>
  <c r="K107" i="25" s="1"/>
  <c r="K60" i="25"/>
  <c r="J57" i="25"/>
  <c r="J99" i="11"/>
  <c r="O111" i="19"/>
  <c r="J56" i="25"/>
  <c r="J51" i="25"/>
  <c r="J48" i="25"/>
  <c r="J44" i="25"/>
  <c r="J43" i="25"/>
  <c r="J40" i="25"/>
  <c r="K57" i="25" l="1"/>
  <c r="J42" i="25"/>
  <c r="J109" i="11"/>
  <c r="H93" i="11"/>
  <c r="H81" i="11"/>
  <c r="H27" i="11"/>
  <c r="D31" i="24"/>
  <c r="J28" i="19"/>
  <c r="O141" i="19"/>
  <c r="J141" i="19" s="1"/>
  <c r="O135" i="19"/>
  <c r="K135" i="19" s="1"/>
  <c r="O121" i="19"/>
  <c r="O110" i="19"/>
  <c r="O97" i="19"/>
  <c r="O92" i="19"/>
  <c r="K92" i="19" s="1"/>
  <c r="O83" i="19"/>
  <c r="O81" i="19"/>
  <c r="K71" i="19"/>
  <c r="O71" i="19" s="1"/>
  <c r="F135" i="19"/>
  <c r="F104" i="19"/>
  <c r="F97" i="19"/>
  <c r="F93" i="19"/>
  <c r="G81" i="19"/>
  <c r="F81" i="19"/>
  <c r="E81" i="19" s="1"/>
  <c r="F44" i="19"/>
  <c r="F27" i="19"/>
  <c r="K141" i="19" l="1"/>
  <c r="J135" i="19"/>
  <c r="H95" i="11"/>
  <c r="H35" i="11"/>
  <c r="J91" i="25" l="1"/>
  <c r="J104" i="11" l="1"/>
  <c r="O116" i="19"/>
  <c r="F106" i="19" l="1"/>
  <c r="F37" i="19"/>
  <c r="D49" i="24"/>
  <c r="H44" i="19" l="1"/>
  <c r="G44" i="19"/>
  <c r="J74" i="25" l="1"/>
  <c r="J102" i="11" l="1"/>
  <c r="O114" i="19"/>
  <c r="D41" i="24" l="1"/>
  <c r="F49" i="19"/>
  <c r="G43" i="19" l="1"/>
  <c r="F43" i="19"/>
  <c r="F42" i="19"/>
  <c r="J117" i="25" l="1"/>
  <c r="J116" i="25" s="1"/>
  <c r="J112" i="25"/>
  <c r="J110" i="25"/>
  <c r="G109" i="25"/>
  <c r="K104" i="25"/>
  <c r="J103" i="25"/>
  <c r="J99" i="25"/>
  <c r="I99" i="25"/>
  <c r="J98" i="25"/>
  <c r="I95" i="25"/>
  <c r="J92" i="25"/>
  <c r="J87" i="25"/>
  <c r="H87" i="25"/>
  <c r="I87" i="25" s="1"/>
  <c r="I79" i="25"/>
  <c r="J75" i="25"/>
  <c r="K75" i="25" s="1"/>
  <c r="H71" i="25"/>
  <c r="H70" i="25" s="1"/>
  <c r="I70" i="25" s="1"/>
  <c r="G71" i="25"/>
  <c r="J70" i="25"/>
  <c r="J68" i="25"/>
  <c r="I68" i="25"/>
  <c r="I67" i="25"/>
  <c r="J64" i="25"/>
  <c r="I62" i="25"/>
  <c r="J61" i="25"/>
  <c r="H61" i="25"/>
  <c r="I61" i="25" s="1"/>
  <c r="I57" i="25"/>
  <c r="J53" i="25"/>
  <c r="J50" i="25" s="1"/>
  <c r="J49" i="25" s="1"/>
  <c r="J41" i="25"/>
  <c r="J37" i="25"/>
  <c r="J36" i="25" s="1"/>
  <c r="J33" i="25"/>
  <c r="J32" i="25" s="1"/>
  <c r="J24" i="25"/>
  <c r="J23" i="25" l="1"/>
  <c r="J22" i="25" s="1"/>
  <c r="J109" i="25"/>
  <c r="J55" i="25" s="1"/>
  <c r="J54" i="25" l="1"/>
  <c r="J122" i="25" s="1"/>
  <c r="J110" i="11" l="1"/>
  <c r="J107" i="11"/>
  <c r="O122" i="19"/>
  <c r="K122" i="19" s="1"/>
  <c r="O118" i="19"/>
  <c r="H45" i="11"/>
  <c r="H44" i="11"/>
  <c r="J38" i="11"/>
  <c r="G95" i="11"/>
  <c r="J89" i="11"/>
  <c r="J84" i="11" s="1"/>
  <c r="H89" i="11"/>
  <c r="H63" i="11"/>
  <c r="I35" i="11"/>
  <c r="G35" i="11" s="1"/>
  <c r="H32" i="11"/>
  <c r="D48" i="24"/>
  <c r="D45" i="24"/>
  <c r="D43" i="24"/>
  <c r="O102" i="19"/>
  <c r="K102" i="19"/>
  <c r="E106" i="19"/>
  <c r="P106" i="19" s="1"/>
  <c r="F102" i="19"/>
  <c r="F73" i="19"/>
  <c r="F68" i="19"/>
  <c r="F67" i="19"/>
  <c r="F34" i="19"/>
  <c r="E37" i="19"/>
  <c r="P37" i="19" s="1"/>
  <c r="G97" i="19" l="1"/>
  <c r="G80" i="19"/>
  <c r="F80" i="19"/>
  <c r="F76" i="19"/>
  <c r="G88" i="11" l="1"/>
  <c r="O96" i="19"/>
  <c r="J101" i="19"/>
  <c r="P101" i="19" s="1"/>
  <c r="K101" i="19"/>
  <c r="D24" i="24" l="1"/>
  <c r="E51" i="19"/>
  <c r="E52" i="19"/>
  <c r="P52" i="19" s="1"/>
  <c r="H122" i="11" l="1"/>
  <c r="G122" i="11" s="1"/>
  <c r="H121" i="11"/>
  <c r="G121" i="11" s="1"/>
  <c r="J120" i="11"/>
  <c r="J119" i="11" s="1"/>
  <c r="I120" i="11"/>
  <c r="I119" i="11" s="1"/>
  <c r="H118" i="11"/>
  <c r="G118" i="11" s="1"/>
  <c r="H117" i="11"/>
  <c r="G117" i="11" s="1"/>
  <c r="J116" i="11"/>
  <c r="J115" i="11" s="1"/>
  <c r="I116" i="11"/>
  <c r="I115" i="11" s="1"/>
  <c r="G113" i="11"/>
  <c r="G112" i="11" s="1"/>
  <c r="G111" i="11" s="1"/>
  <c r="J111" i="11"/>
  <c r="I111" i="11"/>
  <c r="H111" i="11"/>
  <c r="I110" i="11"/>
  <c r="I109" i="11"/>
  <c r="I108" i="11"/>
  <c r="J108" i="11" s="1"/>
  <c r="G108" i="11" s="1"/>
  <c r="I107" i="11"/>
  <c r="G107" i="11"/>
  <c r="J106" i="11"/>
  <c r="I106" i="11" s="1"/>
  <c r="I105" i="11"/>
  <c r="G105" i="11"/>
  <c r="I104" i="11"/>
  <c r="I103" i="11"/>
  <c r="I102" i="11"/>
  <c r="J101" i="11"/>
  <c r="G101" i="11" s="1"/>
  <c r="I100" i="11"/>
  <c r="G100" i="11"/>
  <c r="I99" i="11"/>
  <c r="H98" i="11"/>
  <c r="H97" i="11" s="1"/>
  <c r="G96" i="11"/>
  <c r="H94" i="11"/>
  <c r="G94" i="11" s="1"/>
  <c r="G93" i="11"/>
  <c r="H92" i="11"/>
  <c r="G92" i="11" s="1"/>
  <c r="H91" i="11"/>
  <c r="G91" i="11" s="1"/>
  <c r="H90" i="11"/>
  <c r="G90" i="11" s="1"/>
  <c r="G87" i="11"/>
  <c r="H86" i="11"/>
  <c r="G85" i="11"/>
  <c r="H82" i="11"/>
  <c r="G82" i="11" s="1"/>
  <c r="G81" i="11"/>
  <c r="G80" i="11"/>
  <c r="J79" i="11"/>
  <c r="J69" i="11" s="1"/>
  <c r="J68" i="11" s="1"/>
  <c r="H79" i="11"/>
  <c r="G79" i="11" s="1"/>
  <c r="H78" i="11"/>
  <c r="G78" i="11" s="1"/>
  <c r="G77" i="11"/>
  <c r="G76" i="11"/>
  <c r="G75" i="11"/>
  <c r="G74" i="11"/>
  <c r="G73" i="11"/>
  <c r="G72" i="11"/>
  <c r="G71" i="11"/>
  <c r="G70" i="11"/>
  <c r="I69" i="11"/>
  <c r="I68" i="11" s="1"/>
  <c r="G67" i="11"/>
  <c r="J66" i="11"/>
  <c r="J65" i="11" s="1"/>
  <c r="I66" i="11"/>
  <c r="I65" i="11" s="1"/>
  <c r="H66" i="11"/>
  <c r="H65" i="11" s="1"/>
  <c r="H64" i="11"/>
  <c r="G63" i="11"/>
  <c r="G62" i="11"/>
  <c r="G61" i="11"/>
  <c r="G60" i="11"/>
  <c r="G59" i="11"/>
  <c r="J58" i="11"/>
  <c r="J57" i="11" s="1"/>
  <c r="I58" i="11"/>
  <c r="I57" i="11" s="1"/>
  <c r="H56" i="11"/>
  <c r="G56" i="11" s="1"/>
  <c r="I54" i="11"/>
  <c r="H53" i="11"/>
  <c r="G53" i="11" s="1"/>
  <c r="I52" i="11"/>
  <c r="G52" i="11" s="1"/>
  <c r="I51" i="11"/>
  <c r="G50" i="11"/>
  <c r="G49" i="11"/>
  <c r="H48" i="11"/>
  <c r="G48" i="11" s="1"/>
  <c r="H47" i="11"/>
  <c r="G47" i="11" s="1"/>
  <c r="G46" i="11"/>
  <c r="G45" i="11"/>
  <c r="J42" i="11"/>
  <c r="I41" i="11"/>
  <c r="J40" i="11"/>
  <c r="I40" i="11" s="1"/>
  <c r="H40" i="11"/>
  <c r="J39" i="11"/>
  <c r="I39" i="11" s="1"/>
  <c r="H39" i="11"/>
  <c r="I38" i="11"/>
  <c r="H38" i="11"/>
  <c r="J37" i="11"/>
  <c r="I37" i="11" s="1"/>
  <c r="H37" i="11"/>
  <c r="I36" i="11"/>
  <c r="G36" i="11" s="1"/>
  <c r="I34" i="11"/>
  <c r="H34" i="11"/>
  <c r="I33" i="11"/>
  <c r="G33" i="11" s="1"/>
  <c r="I32" i="11"/>
  <c r="J31" i="11"/>
  <c r="I31" i="11" s="1"/>
  <c r="H31" i="11"/>
  <c r="I30" i="11"/>
  <c r="H30" i="11"/>
  <c r="J29" i="11"/>
  <c r="H29" i="11"/>
  <c r="G28" i="11"/>
  <c r="J27" i="11"/>
  <c r="I27" i="11" s="1"/>
  <c r="G27" i="11" s="1"/>
  <c r="H26" i="11"/>
  <c r="G25" i="11"/>
  <c r="H84" i="11" l="1"/>
  <c r="G54" i="11"/>
  <c r="I43" i="11"/>
  <c r="G31" i="11"/>
  <c r="H120" i="11"/>
  <c r="H119" i="11" s="1"/>
  <c r="G37" i="11"/>
  <c r="G39" i="11"/>
  <c r="G106" i="11"/>
  <c r="H116" i="11"/>
  <c r="H115" i="11" s="1"/>
  <c r="G26" i="11"/>
  <c r="H24" i="11"/>
  <c r="G86" i="11"/>
  <c r="H83" i="11"/>
  <c r="G65" i="11"/>
  <c r="G66" i="11"/>
  <c r="G41" i="11"/>
  <c r="H58" i="11"/>
  <c r="G58" i="11" s="1"/>
  <c r="G34" i="11"/>
  <c r="I101" i="11"/>
  <c r="G104" i="11"/>
  <c r="G44" i="11"/>
  <c r="H43" i="11"/>
  <c r="G43" i="11" s="1"/>
  <c r="I42" i="11"/>
  <c r="I89" i="11"/>
  <c r="I84" i="11" s="1"/>
  <c r="G84" i="11" s="1"/>
  <c r="J83" i="11"/>
  <c r="G30" i="11"/>
  <c r="I98" i="11"/>
  <c r="I97" i="11" s="1"/>
  <c r="G97" i="11" s="1"/>
  <c r="G38" i="11"/>
  <c r="G40" i="11"/>
  <c r="G32" i="11"/>
  <c r="G116" i="11"/>
  <c r="G115" i="11" s="1"/>
  <c r="J24" i="11"/>
  <c r="J23" i="11" s="1"/>
  <c r="G51" i="11"/>
  <c r="G64" i="11"/>
  <c r="G110" i="11"/>
  <c r="G120" i="11"/>
  <c r="G119" i="11" s="1"/>
  <c r="I29" i="11"/>
  <c r="I24" i="11" s="1"/>
  <c r="J98" i="11"/>
  <c r="J97" i="11" s="1"/>
  <c r="G103" i="11"/>
  <c r="G109" i="11"/>
  <c r="H69" i="11"/>
  <c r="G99" i="11"/>
  <c r="G102" i="11"/>
  <c r="G89" i="11" l="1"/>
  <c r="H57" i="11"/>
  <c r="G57" i="11" s="1"/>
  <c r="I23" i="11"/>
  <c r="I83" i="11"/>
  <c r="H42" i="11"/>
  <c r="G42" i="11" s="1"/>
  <c r="G98" i="11"/>
  <c r="H68" i="11"/>
  <c r="G68" i="11" s="1"/>
  <c r="G69" i="11"/>
  <c r="G29" i="11"/>
  <c r="H23" i="11"/>
  <c r="G24" i="11"/>
  <c r="I123" i="11" l="1"/>
  <c r="G83" i="11"/>
  <c r="H123" i="11"/>
  <c r="G23" i="11"/>
  <c r="G123" i="11" s="1"/>
  <c r="D56" i="24" l="1"/>
  <c r="D38" i="24"/>
  <c r="K111" i="19" l="1"/>
  <c r="J44" i="19"/>
  <c r="K43" i="19"/>
  <c r="K41" i="19" s="1"/>
  <c r="O39" i="19"/>
  <c r="F141" i="19"/>
  <c r="O138" i="19"/>
  <c r="F138" i="19"/>
  <c r="E138" i="19" s="1"/>
  <c r="F137" i="19"/>
  <c r="F103" i="19"/>
  <c r="H89" i="19"/>
  <c r="G89" i="19"/>
  <c r="F89" i="19"/>
  <c r="H85" i="19"/>
  <c r="G85" i="19"/>
  <c r="F85" i="19"/>
  <c r="H84" i="19"/>
  <c r="F84" i="19"/>
  <c r="E84" i="19" s="1"/>
  <c r="H83" i="19"/>
  <c r="F83" i="19"/>
  <c r="M41" i="19"/>
  <c r="O51" i="19"/>
  <c r="L51" i="19"/>
  <c r="L41" i="19" s="1"/>
  <c r="F50" i="19"/>
  <c r="E50" i="19" s="1"/>
  <c r="O59" i="19"/>
  <c r="E58" i="19"/>
  <c r="P58" i="19" s="1"/>
  <c r="E59" i="19"/>
  <c r="P59" i="19" s="1"/>
  <c r="H55" i="19"/>
  <c r="F55" i="19"/>
  <c r="H46" i="19"/>
  <c r="F46" i="19"/>
  <c r="H43" i="19"/>
  <c r="H42" i="19"/>
  <c r="F25" i="19"/>
  <c r="F28" i="19"/>
  <c r="O43" i="19" l="1"/>
  <c r="J43" i="19" s="1"/>
  <c r="O41" i="19" l="1"/>
  <c r="D73" i="24"/>
  <c r="D78" i="24" s="1"/>
  <c r="D70" i="24"/>
  <c r="D68" i="24"/>
  <c r="D67" i="24"/>
  <c r="D66" i="24" s="1"/>
  <c r="D55" i="24"/>
  <c r="D61" i="24" s="1"/>
  <c r="D52" i="24"/>
  <c r="D46" i="24"/>
  <c r="D44" i="24"/>
  <c r="D42" i="24"/>
  <c r="D40" i="24"/>
  <c r="D36" i="24"/>
  <c r="D34" i="24"/>
  <c r="D32" i="24"/>
  <c r="D30" i="24"/>
  <c r="D28" i="24"/>
  <c r="D26" i="24"/>
  <c r="D22" i="24"/>
  <c r="D77" i="24" l="1"/>
  <c r="D76" i="24" s="1"/>
  <c r="O134" i="19"/>
  <c r="J136" i="19"/>
  <c r="J137" i="19"/>
  <c r="J138" i="19"/>
  <c r="P138" i="19" s="1"/>
  <c r="K138" i="19"/>
  <c r="K134" i="19" s="1"/>
  <c r="J122" i="19"/>
  <c r="P122" i="19" s="1"/>
  <c r="J134" i="19" l="1"/>
  <c r="J133" i="19" s="1"/>
  <c r="J115" i="19"/>
  <c r="P115" i="19" s="1"/>
  <c r="K121" i="19"/>
  <c r="K114" i="19"/>
  <c r="F110" i="19"/>
  <c r="F132" i="19"/>
  <c r="E132" i="19" s="1"/>
  <c r="P132" i="19" s="1"/>
  <c r="O79" i="19"/>
  <c r="J90" i="19"/>
  <c r="K90" i="19"/>
  <c r="F90" i="19"/>
  <c r="H60" i="19"/>
  <c r="H41" i="19" s="1"/>
  <c r="G60" i="19"/>
  <c r="F60" i="19"/>
  <c r="F36" i="19"/>
  <c r="J26" i="19"/>
  <c r="J27" i="19"/>
  <c r="K27" i="19"/>
  <c r="K36" i="19" l="1"/>
  <c r="O36" i="19" s="1"/>
  <c r="J34" i="19"/>
  <c r="E34" i="19"/>
  <c r="F29" i="19"/>
  <c r="P34" i="19" l="1"/>
  <c r="J36" i="19"/>
  <c r="G76" i="19" l="1"/>
  <c r="G49" i="19" l="1"/>
  <c r="G48" i="19"/>
  <c r="O25" i="19" l="1"/>
  <c r="J25" i="19" s="1"/>
  <c r="K25" i="19"/>
  <c r="O62" i="19" l="1"/>
  <c r="K62" i="19"/>
  <c r="H62" i="19"/>
  <c r="I62" i="19"/>
  <c r="L62" i="19"/>
  <c r="M62" i="19"/>
  <c r="N62" i="19"/>
  <c r="J71" i="19"/>
  <c r="E71" i="19"/>
  <c r="P71" i="19" l="1"/>
  <c r="E47" i="19" l="1"/>
  <c r="P47" i="19" s="1"/>
  <c r="E48" i="19"/>
  <c r="P48" i="19" s="1"/>
  <c r="E49" i="19"/>
  <c r="F54" i="19" l="1"/>
  <c r="F41" i="19" s="1"/>
  <c r="G125" i="19"/>
  <c r="G79" i="19"/>
  <c r="G25" i="19"/>
  <c r="G24" i="19" s="1"/>
  <c r="G135" i="19"/>
  <c r="G141" i="19"/>
  <c r="G110" i="19"/>
  <c r="G63" i="19"/>
  <c r="G62" i="19" s="1"/>
  <c r="F63" i="19"/>
  <c r="G42" i="19"/>
  <c r="G41" i="19" s="1"/>
  <c r="D27" i="23" l="1"/>
  <c r="J121" i="19"/>
  <c r="O119" i="19"/>
  <c r="K118" i="19"/>
  <c r="O117" i="19"/>
  <c r="O113" i="19"/>
  <c r="O112" i="19"/>
  <c r="J112" i="19" s="1"/>
  <c r="P112" i="19" s="1"/>
  <c r="F66" i="19"/>
  <c r="F62" i="19" s="1"/>
  <c r="F94" i="19"/>
  <c r="F92" i="19"/>
  <c r="E91" i="19"/>
  <c r="P91" i="19" s="1"/>
  <c r="H79" i="19"/>
  <c r="E38" i="19"/>
  <c r="E60" i="19"/>
  <c r="P60" i="19" s="1"/>
  <c r="P49" i="19"/>
  <c r="E46" i="19"/>
  <c r="E39" i="19"/>
  <c r="C26" i="23"/>
  <c r="P121" i="19" l="1"/>
  <c r="C27" i="23"/>
  <c r="C34" i="23" s="1"/>
  <c r="D25" i="23"/>
  <c r="J118" i="19"/>
  <c r="P118" i="19" s="1"/>
  <c r="D34" i="23"/>
  <c r="F79" i="19"/>
  <c r="K112" i="19"/>
  <c r="C25" i="23" l="1"/>
  <c r="E105" i="19" l="1"/>
  <c r="P105" i="19" s="1"/>
  <c r="O120" i="19"/>
  <c r="O109" i="19" s="1"/>
  <c r="K120" i="19" l="1"/>
  <c r="J120" i="19"/>
  <c r="P120" i="19" s="1"/>
  <c r="J33" i="19" l="1"/>
  <c r="J35" i="19"/>
  <c r="J38" i="19"/>
  <c r="J32" i="19"/>
  <c r="J39" i="19" l="1"/>
  <c r="P39" i="19" s="1"/>
  <c r="E125" i="19" l="1"/>
  <c r="F126" i="19"/>
  <c r="F124" i="19" s="1"/>
  <c r="K117" i="19"/>
  <c r="K119" i="19"/>
  <c r="K116" i="19"/>
  <c r="J113" i="19"/>
  <c r="J111" i="19"/>
  <c r="P111" i="19" s="1"/>
  <c r="K113" i="19"/>
  <c r="E135" i="19"/>
  <c r="E137" i="19"/>
  <c r="F136" i="19"/>
  <c r="F134" i="19" s="1"/>
  <c r="G129" i="19"/>
  <c r="F131" i="19"/>
  <c r="F129" i="19" s="1"/>
  <c r="O40" i="19"/>
  <c r="J45" i="19"/>
  <c r="J46" i="19"/>
  <c r="J50" i="19"/>
  <c r="J51" i="19"/>
  <c r="P38" i="19"/>
  <c r="K30" i="19"/>
  <c r="F30" i="19"/>
  <c r="F26" i="19"/>
  <c r="K109" i="19" l="1"/>
  <c r="F24" i="19"/>
  <c r="O30" i="19"/>
  <c r="O24" i="19" s="1"/>
  <c r="K24" i="19"/>
  <c r="K23" i="19" s="1"/>
  <c r="P50" i="19"/>
  <c r="P137" i="19"/>
  <c r="J119" i="19"/>
  <c r="P119" i="19" s="1"/>
  <c r="E126" i="19"/>
  <c r="E124" i="19" s="1"/>
  <c r="E136" i="19"/>
  <c r="P136" i="19" s="1"/>
  <c r="P51" i="19"/>
  <c r="E134" i="19" l="1"/>
  <c r="J30" i="19"/>
  <c r="F28" i="23"/>
  <c r="F35" i="23" s="1"/>
  <c r="F32" i="23" s="1"/>
  <c r="D35" i="23"/>
  <c r="E35" i="23"/>
  <c r="E32" i="23" s="1"/>
  <c r="E25" i="23"/>
  <c r="E24" i="23" s="1"/>
  <c r="E31" i="23" s="1"/>
  <c r="D32" i="23" l="1"/>
  <c r="F25" i="23"/>
  <c r="F24" i="23" s="1"/>
  <c r="F31" i="23" s="1"/>
  <c r="C32" i="23"/>
  <c r="C24" i="23"/>
  <c r="D33" i="23"/>
  <c r="C33" i="23" s="1"/>
  <c r="E29" i="23"/>
  <c r="E36" i="23" s="1"/>
  <c r="F29" i="23" l="1"/>
  <c r="F36" i="23" s="1"/>
  <c r="D24" i="23"/>
  <c r="D31" i="23" s="1"/>
  <c r="C31" i="23"/>
  <c r="C29" i="23"/>
  <c r="C36" i="23" s="1"/>
  <c r="D29" i="23" l="1"/>
  <c r="D36" i="23" s="1"/>
  <c r="J117" i="19"/>
  <c r="P117" i="19" s="1"/>
  <c r="F99" i="19" l="1"/>
  <c r="F96" i="19" s="1"/>
  <c r="J103" i="19"/>
  <c r="G103" i="19"/>
  <c r="E103" i="19"/>
  <c r="P103" i="19" l="1"/>
  <c r="E70" i="19" l="1"/>
  <c r="P70" i="19" s="1"/>
  <c r="E67" i="19"/>
  <c r="P67" i="19" s="1"/>
  <c r="E68" i="19"/>
  <c r="P68" i="19" s="1"/>
  <c r="E56" i="19"/>
  <c r="P56" i="19" s="1"/>
  <c r="N109" i="19" l="1"/>
  <c r="M109" i="19"/>
  <c r="L109" i="19"/>
  <c r="I109" i="19"/>
  <c r="H109" i="19"/>
  <c r="G109" i="19"/>
  <c r="F109" i="19"/>
  <c r="J116" i="19"/>
  <c r="P116" i="19" l="1"/>
  <c r="N24" i="19"/>
  <c r="M24" i="19"/>
  <c r="L24" i="19"/>
  <c r="I24" i="19"/>
  <c r="H24" i="19"/>
  <c r="N41" i="19" l="1"/>
  <c r="I41" i="19"/>
  <c r="K86" i="19"/>
  <c r="K84" i="19"/>
  <c r="K83" i="19"/>
  <c r="K81" i="19"/>
  <c r="J114" i="19"/>
  <c r="J107" i="19"/>
  <c r="I140" i="19"/>
  <c r="K140" i="19"/>
  <c r="L140" i="19"/>
  <c r="M140" i="19"/>
  <c r="N140" i="19"/>
  <c r="O140" i="19"/>
  <c r="H140" i="19"/>
  <c r="G140" i="19"/>
  <c r="F140" i="19"/>
  <c r="P114" i="19" l="1"/>
  <c r="J142" i="19" l="1"/>
  <c r="E142" i="19"/>
  <c r="E141" i="19"/>
  <c r="K139" i="19"/>
  <c r="G139" i="19"/>
  <c r="F139" i="19"/>
  <c r="I139" i="19"/>
  <c r="H139" i="19"/>
  <c r="P135" i="19"/>
  <c r="P134" i="19" s="1"/>
  <c r="O133" i="19"/>
  <c r="N134" i="19"/>
  <c r="N133" i="19" s="1"/>
  <c r="M134" i="19"/>
  <c r="M133" i="19" s="1"/>
  <c r="L134" i="19"/>
  <c r="L133" i="19" s="1"/>
  <c r="K133" i="19"/>
  <c r="I134" i="19"/>
  <c r="I133" i="19" s="1"/>
  <c r="H134" i="19"/>
  <c r="H133" i="19" s="1"/>
  <c r="G134" i="19"/>
  <c r="G133" i="19" s="1"/>
  <c r="F133" i="19"/>
  <c r="E131" i="19"/>
  <c r="P131" i="19" s="1"/>
  <c r="J130" i="19"/>
  <c r="J129" i="19" s="1"/>
  <c r="J128" i="19" s="1"/>
  <c r="E130" i="19"/>
  <c r="O129" i="19"/>
  <c r="O128" i="19" s="1"/>
  <c r="N129" i="19"/>
  <c r="N128" i="19" s="1"/>
  <c r="M129" i="19"/>
  <c r="M128" i="19" s="1"/>
  <c r="L129" i="19"/>
  <c r="L128" i="19" s="1"/>
  <c r="K129" i="19"/>
  <c r="K128" i="19" s="1"/>
  <c r="K126" i="19" s="1"/>
  <c r="K125" i="19" s="1"/>
  <c r="I129" i="19"/>
  <c r="I128" i="19" s="1"/>
  <c r="H129" i="19"/>
  <c r="H128" i="19" s="1"/>
  <c r="G128" i="19"/>
  <c r="F128" i="19"/>
  <c r="E123" i="19"/>
  <c r="O123" i="19"/>
  <c r="N124" i="19"/>
  <c r="N123" i="19" s="1"/>
  <c r="M124" i="19"/>
  <c r="M123" i="19" s="1"/>
  <c r="L124" i="19"/>
  <c r="I124" i="19"/>
  <c r="I123" i="19" s="1"/>
  <c r="H124" i="19"/>
  <c r="H123" i="19" s="1"/>
  <c r="G124" i="19"/>
  <c r="G123" i="19" s="1"/>
  <c r="F123" i="19"/>
  <c r="E113" i="19"/>
  <c r="P113" i="19" s="1"/>
  <c r="J110" i="19"/>
  <c r="J109" i="19" s="1"/>
  <c r="E110" i="19"/>
  <c r="O108" i="19"/>
  <c r="N108" i="19"/>
  <c r="M108" i="19"/>
  <c r="L108" i="19"/>
  <c r="I108" i="19"/>
  <c r="H108" i="19"/>
  <c r="G108" i="19"/>
  <c r="E107" i="19"/>
  <c r="J104" i="19"/>
  <c r="E104" i="19"/>
  <c r="J102" i="19"/>
  <c r="E102" i="19"/>
  <c r="J100" i="19"/>
  <c r="E100" i="19"/>
  <c r="J99" i="19"/>
  <c r="E99" i="19"/>
  <c r="J98" i="19"/>
  <c r="E98" i="19"/>
  <c r="K97" i="19"/>
  <c r="J97" i="19"/>
  <c r="E97" i="19"/>
  <c r="O95" i="19"/>
  <c r="N96" i="19"/>
  <c r="N95" i="19" s="1"/>
  <c r="M96" i="19"/>
  <c r="M95" i="19" s="1"/>
  <c r="L96" i="19"/>
  <c r="L95" i="19" s="1"/>
  <c r="I96" i="19"/>
  <c r="I95" i="19" s="1"/>
  <c r="H96" i="19"/>
  <c r="H95" i="19" s="1"/>
  <c r="G96" i="19"/>
  <c r="G95" i="19" s="1"/>
  <c r="F95" i="19"/>
  <c r="J94" i="19"/>
  <c r="E94" i="19"/>
  <c r="J93" i="19"/>
  <c r="E93" i="19"/>
  <c r="J92" i="19"/>
  <c r="E92" i="19"/>
  <c r="E90" i="19"/>
  <c r="P90" i="19" s="1"/>
  <c r="J89" i="19"/>
  <c r="E89" i="19"/>
  <c r="J88" i="19"/>
  <c r="E88" i="19"/>
  <c r="J87" i="19"/>
  <c r="E87" i="19"/>
  <c r="J86" i="19"/>
  <c r="E86" i="19"/>
  <c r="J85" i="19"/>
  <c r="E85" i="19"/>
  <c r="J84" i="19"/>
  <c r="J83" i="19"/>
  <c r="E83" i="19"/>
  <c r="J82" i="19"/>
  <c r="E82" i="19"/>
  <c r="J81" i="19"/>
  <c r="J80" i="19"/>
  <c r="E80" i="19"/>
  <c r="O78" i="19"/>
  <c r="N79" i="19"/>
  <c r="N78" i="19" s="1"/>
  <c r="M79" i="19"/>
  <c r="M78" i="19" s="1"/>
  <c r="L79" i="19"/>
  <c r="L78" i="19" s="1"/>
  <c r="K79" i="19"/>
  <c r="K78" i="19" s="1"/>
  <c r="I79" i="19"/>
  <c r="I78" i="19" s="1"/>
  <c r="H78" i="19"/>
  <c r="G78" i="19"/>
  <c r="F78" i="19"/>
  <c r="J77" i="19"/>
  <c r="E77" i="19"/>
  <c r="J76" i="19"/>
  <c r="E76" i="19"/>
  <c r="O75" i="19"/>
  <c r="O74" i="19" s="1"/>
  <c r="N75" i="19"/>
  <c r="N74" i="19" s="1"/>
  <c r="M75" i="19"/>
  <c r="M74" i="19" s="1"/>
  <c r="L75" i="19"/>
  <c r="L74" i="19" s="1"/>
  <c r="K75" i="19"/>
  <c r="K74" i="19" s="1"/>
  <c r="I75" i="19"/>
  <c r="I74" i="19" s="1"/>
  <c r="H75" i="19"/>
  <c r="H74" i="19" s="1"/>
  <c r="G75" i="19"/>
  <c r="G74" i="19" s="1"/>
  <c r="F75" i="19"/>
  <c r="F74" i="19" s="1"/>
  <c r="J73" i="19"/>
  <c r="E73" i="19"/>
  <c r="J72" i="19"/>
  <c r="E72" i="19"/>
  <c r="J69" i="19"/>
  <c r="E69" i="19"/>
  <c r="J66" i="19"/>
  <c r="E66" i="19"/>
  <c r="J65" i="19"/>
  <c r="E65" i="19"/>
  <c r="J64" i="19"/>
  <c r="E64" i="19"/>
  <c r="J63" i="19"/>
  <c r="E63" i="19"/>
  <c r="O61" i="19"/>
  <c r="N61" i="19"/>
  <c r="M61" i="19"/>
  <c r="L61" i="19"/>
  <c r="K61" i="19"/>
  <c r="I61" i="19"/>
  <c r="H61" i="19"/>
  <c r="G61" i="19"/>
  <c r="F61" i="19"/>
  <c r="E57" i="19"/>
  <c r="P57" i="19" s="1"/>
  <c r="E55" i="19"/>
  <c r="E54" i="19"/>
  <c r="P54" i="19" s="1"/>
  <c r="E53" i="19"/>
  <c r="P53" i="19" s="1"/>
  <c r="P46" i="19"/>
  <c r="E45" i="19"/>
  <c r="E44" i="19"/>
  <c r="E43" i="19"/>
  <c r="J42" i="19"/>
  <c r="J41" i="19" s="1"/>
  <c r="E42" i="19"/>
  <c r="N40" i="19"/>
  <c r="M40" i="19"/>
  <c r="K40" i="19"/>
  <c r="H40" i="19"/>
  <c r="F40" i="19"/>
  <c r="L40" i="19"/>
  <c r="I40" i="19"/>
  <c r="E36" i="19"/>
  <c r="E35" i="19"/>
  <c r="E33" i="19"/>
  <c r="E32" i="19"/>
  <c r="J31" i="19"/>
  <c r="E31" i="19"/>
  <c r="E30" i="19"/>
  <c r="P30" i="19" s="1"/>
  <c r="J29" i="19"/>
  <c r="E29" i="19"/>
  <c r="E28" i="19"/>
  <c r="E27" i="19"/>
  <c r="E26" i="19"/>
  <c r="E25" i="19"/>
  <c r="O23" i="19"/>
  <c r="N23" i="19"/>
  <c r="M23" i="19"/>
  <c r="I23" i="19"/>
  <c r="H23" i="19"/>
  <c r="G23" i="19"/>
  <c r="F23" i="19"/>
  <c r="L23" i="19"/>
  <c r="L123" i="19" l="1"/>
  <c r="J123" i="19" s="1"/>
  <c r="P123" i="19" s="1"/>
  <c r="J124" i="19"/>
  <c r="P124" i="19" s="1"/>
  <c r="K124" i="19"/>
  <c r="K123" i="19" s="1"/>
  <c r="J24" i="19"/>
  <c r="J23" i="19" s="1"/>
  <c r="E41" i="19"/>
  <c r="P41" i="19" s="1"/>
  <c r="E96" i="19"/>
  <c r="E95" i="19" s="1"/>
  <c r="P25" i="19"/>
  <c r="E24" i="19"/>
  <c r="J96" i="19"/>
  <c r="J95" i="19" s="1"/>
  <c r="K96" i="19"/>
  <c r="K95" i="19" s="1"/>
  <c r="E129" i="19"/>
  <c r="P129" i="19" s="1"/>
  <c r="P130" i="19"/>
  <c r="P102" i="19"/>
  <c r="P36" i="19"/>
  <c r="J62" i="19"/>
  <c r="J61" i="19" s="1"/>
  <c r="E62" i="19"/>
  <c r="E61" i="19" s="1"/>
  <c r="E79" i="19"/>
  <c r="E78" i="19" s="1"/>
  <c r="J40" i="19"/>
  <c r="P43" i="19"/>
  <c r="E109" i="19"/>
  <c r="P109" i="19" s="1"/>
  <c r="P110" i="19"/>
  <c r="P126" i="19"/>
  <c r="P42" i="19"/>
  <c r="M143" i="19"/>
  <c r="P35" i="19"/>
  <c r="P100" i="19"/>
  <c r="P26" i="19"/>
  <c r="P32" i="19"/>
  <c r="P80" i="19"/>
  <c r="P97" i="19"/>
  <c r="P98" i="19"/>
  <c r="P81" i="19"/>
  <c r="P89" i="19"/>
  <c r="P94" i="19"/>
  <c r="P83" i="19"/>
  <c r="P84" i="19"/>
  <c r="P88" i="19"/>
  <c r="P93" i="19"/>
  <c r="P44" i="19"/>
  <c r="P65" i="19"/>
  <c r="P82" i="19"/>
  <c r="J79" i="19"/>
  <c r="J78" i="19" s="1"/>
  <c r="G40" i="19"/>
  <c r="G143" i="19" s="1"/>
  <c r="E133" i="19"/>
  <c r="P55" i="19"/>
  <c r="P76" i="19"/>
  <c r="P64" i="19"/>
  <c r="P72" i="19"/>
  <c r="P45" i="19"/>
  <c r="P66" i="19"/>
  <c r="P77" i="19"/>
  <c r="P141" i="19"/>
  <c r="E140" i="19"/>
  <c r="E139" i="19" s="1"/>
  <c r="J75" i="19"/>
  <c r="J74" i="19" s="1"/>
  <c r="P33" i="19"/>
  <c r="L143" i="19"/>
  <c r="P31" i="19"/>
  <c r="P28" i="19"/>
  <c r="J140" i="19"/>
  <c r="J139" i="19" s="1"/>
  <c r="P86" i="19"/>
  <c r="P104" i="19"/>
  <c r="P99" i="19"/>
  <c r="P142" i="19"/>
  <c r="P73" i="19"/>
  <c r="P85" i="19"/>
  <c r="I143" i="19"/>
  <c r="P29" i="19"/>
  <c r="P107" i="19"/>
  <c r="P69" i="19"/>
  <c r="P27" i="19"/>
  <c r="N143" i="19"/>
  <c r="P92" i="19"/>
  <c r="H143" i="19"/>
  <c r="E75" i="19"/>
  <c r="P63" i="19"/>
  <c r="P87" i="19"/>
  <c r="P96" i="19" l="1"/>
  <c r="E128" i="19"/>
  <c r="P128" i="19" s="1"/>
  <c r="P24" i="19"/>
  <c r="P79" i="19"/>
  <c r="P125" i="19"/>
  <c r="P95" i="19"/>
  <c r="E108" i="19"/>
  <c r="F108" i="19" s="1"/>
  <c r="F143" i="19" s="1"/>
  <c r="E23" i="19"/>
  <c r="P23" i="19" s="1"/>
  <c r="J108" i="19"/>
  <c r="P78" i="19"/>
  <c r="P133" i="19"/>
  <c r="P140" i="19"/>
  <c r="P139" i="19"/>
  <c r="P61" i="19"/>
  <c r="P62" i="19"/>
  <c r="E74" i="19"/>
  <c r="P74" i="19" s="1"/>
  <c r="P75" i="19"/>
  <c r="E40" i="19"/>
  <c r="P40" i="19" s="1"/>
  <c r="J143" i="19" l="1"/>
  <c r="P108" i="19"/>
  <c r="E143" i="19"/>
  <c r="P143" i="19" l="1"/>
  <c r="K108" i="19" l="1"/>
  <c r="K143" i="19" s="1"/>
</calcChain>
</file>

<file path=xl/sharedStrings.xml><?xml version="1.0" encoding="utf-8"?>
<sst xmlns="http://schemas.openxmlformats.org/spreadsheetml/2006/main" count="1699" uniqueCount="686">
  <si>
    <t>(код бюджету)</t>
  </si>
  <si>
    <t>Усього</t>
  </si>
  <si>
    <t>Загальний фонд</t>
  </si>
  <si>
    <t>Спеціальний фонд</t>
  </si>
  <si>
    <t>усього</t>
  </si>
  <si>
    <t>у тому числі бюджет розвитку</t>
  </si>
  <si>
    <t>X</t>
  </si>
  <si>
    <t>до  рішення Южненської міської ради</t>
  </si>
  <si>
    <t xml:space="preserve">"Про  бюджет Южненської міської </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</si>
  <si>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</si>
  <si>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</si>
  <si>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</si>
  <si>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</si>
  <si>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</si>
  <si>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видатки споживання</t>
  </si>
  <si>
    <t>0200000</t>
  </si>
  <si>
    <t/>
  </si>
  <si>
    <t>0210000</t>
  </si>
  <si>
    <t>0111</t>
  </si>
  <si>
    <t>0212010</t>
  </si>
  <si>
    <t>2010</t>
  </si>
  <si>
    <t>0731</t>
  </si>
  <si>
    <t>Багатопрофільна стаціонарна медична допомога населенню</t>
  </si>
  <si>
    <t>0212111</t>
  </si>
  <si>
    <t>2111</t>
  </si>
  <si>
    <t>0726</t>
  </si>
  <si>
    <t>Первинна медична допомога населенню, що надається центрами первинної медичної (медико-санітарної) допомоги</t>
  </si>
  <si>
    <t>6030</t>
  </si>
  <si>
    <t>0620</t>
  </si>
  <si>
    <t>Організація благоустрою населених пунктів</t>
  </si>
  <si>
    <t>0217530</t>
  </si>
  <si>
    <t>7530</t>
  </si>
  <si>
    <t>0460</t>
  </si>
  <si>
    <t>Інші заходи у сфері зв`язку, телекомунікації та інформатики</t>
  </si>
  <si>
    <t>0218220</t>
  </si>
  <si>
    <t>8220</t>
  </si>
  <si>
    <t>0380</t>
  </si>
  <si>
    <t>Заходи та роботи з мобілізаційної підготовки місцевого значення</t>
  </si>
  <si>
    <t>0218410</t>
  </si>
  <si>
    <t>8410</t>
  </si>
  <si>
    <t>0830</t>
  </si>
  <si>
    <t>Фінансова підтримка засобів масової інформації</t>
  </si>
  <si>
    <t>0600000</t>
  </si>
  <si>
    <t>Управління освіти Южненської міської ради Одеського районого Одеської області</t>
  </si>
  <si>
    <t>0610000</t>
  </si>
  <si>
    <t>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</si>
  <si>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</si>
  <si>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</si>
  <si>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</si>
  <si>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</si>
  <si>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</si>
  <si>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</si>
  <si>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</si>
  <si>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</si>
  <si>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</si>
  <si>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</si>
  <si>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</si>
  <si>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</si>
  <si>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0990</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</si>
  <si>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</si>
  <si>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</si>
  <si>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</si>
  <si>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</si>
  <si>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</si>
  <si>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</si>
  <si>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</si>
  <si>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</si>
  <si>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</si>
  <si>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1040</t>
  </si>
  <si>
    <t>0800000</t>
  </si>
  <si>
    <t>Управління соціальної політики Южненської міської ради Одеського району Одеської області</t>
  </si>
  <si>
    <t>0810000</t>
  </si>
  <si>
    <t>0813031</t>
  </si>
  <si>
    <t>3031</t>
  </si>
  <si>
    <t>1030</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</si>
  <si>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</si>
  <si>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</si>
  <si>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</si>
  <si>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</si>
  <si>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1090</t>
  </si>
  <si>
    <t>0813242</t>
  </si>
  <si>
    <t>3242</t>
  </si>
  <si>
    <t>Інші заходи у сфері соціального захисту і соціального забезпечення</t>
  </si>
  <si>
    <t>0900000</t>
  </si>
  <si>
    <t>Служба у справах дітей Южненської міської ради Одеського району Одеської області</t>
  </si>
  <si>
    <t>0910000</t>
  </si>
  <si>
    <t>0913112</t>
  </si>
  <si>
    <t>3112</t>
  </si>
  <si>
    <t>Заходи державної політики з питань дітей та їх соціального захисту</t>
  </si>
  <si>
    <t>1000000</t>
  </si>
  <si>
    <t>Управління культури, спорту та молодіжної політики Южненської міської ради Одеського району Одеської області</t>
  </si>
  <si>
    <t>1010000</t>
  </si>
  <si>
    <t>1011080</t>
  </si>
  <si>
    <t>1080</t>
  </si>
  <si>
    <t>Надання спеціалізованої освіти мистецькими школами</t>
  </si>
  <si>
    <t>1013133</t>
  </si>
  <si>
    <t>3133</t>
  </si>
  <si>
    <t>Інші заходи та заклади молодіжної політики</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</si>
  <si>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</si>
  <si>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</si>
  <si>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</si>
  <si>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</si>
  <si>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</si>
  <si>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</si>
  <si>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</si>
  <si>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</si>
  <si>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</si>
  <si>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</si>
  <si>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</si>
  <si>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0829</t>
  </si>
  <si>
    <t>1014082</t>
  </si>
  <si>
    <t>4082</t>
  </si>
  <si>
    <t>Інші заходи в галузі культури і мистецтва</t>
  </si>
  <si>
    <t>1015011</t>
  </si>
  <si>
    <t>5011</t>
  </si>
  <si>
    <t>0810</t>
  </si>
  <si>
    <t>Проведення навчально-тренувальних зборів і змагань з олімпійських видів спорту</t>
  </si>
  <si>
    <t>1015031</t>
  </si>
  <si>
    <t>5031</t>
  </si>
  <si>
    <t>Утримання та навчально-тренувальна робота комунальних дитячо-юнацьких спортивних шкіл</t>
  </si>
  <si>
    <t>1015061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</si>
  <si>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</si>
  <si>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</si>
  <si>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1015062</t>
  </si>
  <si>
    <t>5062</t>
  </si>
  <si>
    <t>Підтримка спорту вищих досягнень та організацій, які здійснюють фізкультурно-спортивну діяльність в регіоні</t>
  </si>
  <si>
    <t>1200000</t>
  </si>
  <si>
    <t>Управління житлово-комунального господарства Южненської міської ради Одеського району Одеської області</t>
  </si>
  <si>
    <t>1210000</t>
  </si>
  <si>
    <t>1210160</t>
  </si>
  <si>
    <t>1213210</t>
  </si>
  <si>
    <t>3210</t>
  </si>
  <si>
    <t>1050</t>
  </si>
  <si>
    <t>Організація та проведення громадських робіт</t>
  </si>
  <si>
    <t>1216013</t>
  </si>
  <si>
    <t>6013</t>
  </si>
  <si>
    <t>Забезпечення діяльності водопровідно-каналізаційного господарства</t>
  </si>
  <si>
    <t>1216030</t>
  </si>
  <si>
    <t>1217461</t>
  </si>
  <si>
    <t>7461</t>
  </si>
  <si>
    <t>0456</t>
  </si>
  <si>
    <t>Утримання та розвиток автомобільних доріг та дорожньої інфраструктури за рахунок коштів місцевого бюджету</t>
  </si>
  <si>
    <t>1218340</t>
  </si>
  <si>
    <t>8340</t>
  </si>
  <si>
    <t>0540</t>
  </si>
  <si>
    <t>Природоохоронні заходи за рахунок цільових фондів</t>
  </si>
  <si>
    <t>1500000</t>
  </si>
  <si>
    <t>Управління капітального будівництва Южненської міської ради Одеського району Одеської області</t>
  </si>
  <si>
    <t>1510000</t>
  </si>
  <si>
    <t>УСЬОГО</t>
  </si>
  <si>
    <t>Найменування місцевої/ регіональної програми</t>
  </si>
  <si>
    <t>Дата та номер документа, яким затверджено місцеву регіональну програму</t>
  </si>
  <si>
    <t>Програма сприяння оборонній і мобілізаційній готовності Южненської міської територіальної громади на 2022-2024 роки</t>
  </si>
  <si>
    <t>Програма розвитку освіти Южненської міської територіальної громади  на 2022-2024 роки</t>
  </si>
  <si>
    <t>Програма розвитку освіти Южненської міської територіальної громади на 2022-2024 роки</t>
  </si>
  <si>
    <t>Цільова соціальна програма Молодь Южненської міської територіальної громади на 2022-2024 роки</t>
  </si>
  <si>
    <t>Програма розвитку культури в Южненській міській територіальній  громаді на 2022-2024 роки</t>
  </si>
  <si>
    <t>Програма реформування і розвитку житлово-комунального господарства Южненської міської територіальної громади на 2020-2024 роки</t>
  </si>
  <si>
    <t>0218230</t>
  </si>
  <si>
    <t>Інші заходи громадського порядку та безпеки</t>
  </si>
  <si>
    <t>Утримання та фінансова підтримка спортивних споруд</t>
  </si>
  <si>
    <t>Програма місцевих стимулів для працівників Комунального некомерційного підприємства"Южненська міська лікарня" Южненської міської ради на 2023-2025 роки</t>
  </si>
  <si>
    <t>Програма підтримки та розвитку вторинної медичної допомоги Южненської міської територіальної громади на  період 2023-2025 роки</t>
  </si>
  <si>
    <t>Програма забезпечення діяльності Южненського комунального підприємства "Муніципальна варта" на 2022-2024 роки</t>
  </si>
  <si>
    <t>Додаток 1</t>
  </si>
  <si>
    <t>1559100000</t>
  </si>
  <si>
    <t>Додаток 2</t>
  </si>
  <si>
    <t>РОЗПОДІЛ</t>
  </si>
  <si>
    <t>РАЗОМ</t>
  </si>
  <si>
    <t>з них</t>
  </si>
  <si>
    <t>видатки розвитку</t>
  </si>
  <si>
    <t>комунальні послуги та енергоносії</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</si>
  <si>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</si>
  <si>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</si>
  <si>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</si>
  <si>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0217680</t>
  </si>
  <si>
    <t>7680</t>
  </si>
  <si>
    <t>0490</t>
  </si>
  <si>
    <t>Членські внески до асоціацій органів місцевого самоврядування</t>
  </si>
  <si>
    <t>8230</t>
  </si>
  <si>
    <t>0610160</t>
  </si>
  <si>
    <t>Керівництво і управління у відповідній сфері у містах (місті Києві), селищах, селах, територіальних громадах</t>
  </si>
  <si>
    <t>0611031</t>
  </si>
  <si>
    <t>1031</t>
  </si>
  <si>
    <t>0611141</t>
  </si>
  <si>
    <t>1141</t>
  </si>
  <si>
    <t>Забезпечення діяльності інших закладів у сфері освіти</t>
  </si>
  <si>
    <t>0810160</t>
  </si>
  <si>
    <t>0813105</t>
  </si>
  <si>
    <t>3105</t>
  </si>
  <si>
    <t>Надання реабілітаційних послуг особам з інвалідністю та дітям з інвалідністю</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</si>
  <si>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</si>
  <si>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</si>
  <si>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</si>
  <si>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0813241</t>
  </si>
  <si>
    <t>3241</t>
  </si>
  <si>
    <t>Забезпечення діяльності інших закладів у сфері соціального захисту і соціального забезпечення</t>
  </si>
  <si>
    <t>0910160</t>
  </si>
  <si>
    <t>1010160</t>
  </si>
  <si>
    <t>1014081</t>
  </si>
  <si>
    <t>4081</t>
  </si>
  <si>
    <t>Забезпечення діяльності інших закладів в галузі культури і мистецтва</t>
  </si>
  <si>
    <t>1015041</t>
  </si>
  <si>
    <t>5041</t>
  </si>
  <si>
    <t>1510160</t>
  </si>
  <si>
    <t>1600000</t>
  </si>
  <si>
    <t>Управління архітектури та містобудування Южненської міської ради Одеського району Одеської області</t>
  </si>
  <si>
    <t>1610000</t>
  </si>
  <si>
    <t>1610160</t>
  </si>
  <si>
    <t>2700000</t>
  </si>
  <si>
    <t>Управління економіки Южненської міської ради Одеського району Одеської області</t>
  </si>
  <si>
    <t>2710000</t>
  </si>
  <si>
    <t>2710160</t>
  </si>
  <si>
    <t>3100000</t>
  </si>
  <si>
    <t>Фонд комунального майна Южненської міської ради Одеського району Одеської області</t>
  </si>
  <si>
    <t>3110000</t>
  </si>
  <si>
    <t>3110160</t>
  </si>
  <si>
    <t>3700000</t>
  </si>
  <si>
    <t>Фінансове управління Южненської міської ради Одеського району Одеської області</t>
  </si>
  <si>
    <t>3710000</t>
  </si>
  <si>
    <t>3710160</t>
  </si>
  <si>
    <t>3718710</t>
  </si>
  <si>
    <t>8710</t>
  </si>
  <si>
    <t>0133</t>
  </si>
  <si>
    <t>Резервний фонд місцевого бюджету</t>
  </si>
  <si>
    <t>0180</t>
  </si>
  <si>
    <t>оплата праці з нарахуваннями 2110/2120</t>
  </si>
  <si>
    <t>територіальної громади  на 2024 рік"</t>
  </si>
  <si>
    <t>Розподіл витрат місцевого бюджету на реалізацію місцевих програм у 2024 році</t>
  </si>
  <si>
    <t xml:space="preserve"> 
Інша діяльність у сфері державного управління</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</si>
  <si>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</si>
  <si>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Програма розвитку та підтримки первинної медико-санітарної допомоги Южненської міської територіальної громади  на 2024-2026 роки</t>
  </si>
  <si>
    <t xml:space="preserve">Міська цільова програма "Громадське здоров'я" Южненської міської територіальної громади на 2024-2026 роки" </t>
  </si>
  <si>
    <t>Міська програма підтримки аудіовізуальних засобів масової інформації (КОМУНАЛЬНЕ ПІДПРИЄМСТВО ЮЖНЕНСЬКА МІСЬКА СТУДІЯ ТЕЛЕБАЧЕННЯ "МИГ"), засновником якого є Южненська міська рада, на 2024-2026 роки</t>
  </si>
  <si>
    <t>Програма  плану дій щодо реалізації  Конвенції ООН  про права дитини на 2024-2026 роки Южненської міської територіальної громади</t>
  </si>
  <si>
    <t>0212152</t>
  </si>
  <si>
    <t>0763</t>
  </si>
  <si>
    <t>Програма розвитку фізичної культури і спорту в Южненській міській територіальній  громаді на 2024-2026 роки</t>
  </si>
  <si>
    <t>0320</t>
  </si>
  <si>
    <t>Заходи із запобігання та ліквідації надзвичайних ситуацій та наслідків стихійного лиха</t>
  </si>
  <si>
    <t xml:space="preserve">Програма розвитку цивільного захисту, техногенної та пожежної безпеки на території Южненської  міської територіальної громади на 2022-2026 роки </t>
  </si>
  <si>
    <t>Програма надання пільг на оплату послуг зв"язку,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2021-2024 роки</t>
  </si>
  <si>
    <t>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t>
  </si>
  <si>
    <t>Забезпечення діяльності з виробництва, транспортування, постачання теплової енергії</t>
  </si>
  <si>
    <t>Програма "Соціальний автобус"  на території Южненської міської  територіальної громади на 2024-2026 роки</t>
  </si>
  <si>
    <t>Інші заходи у сфері автотранспорту</t>
  </si>
  <si>
    <t>0451</t>
  </si>
  <si>
    <t>Програма соціального захисту та підтримки окремих категорій населення Южненської міської територіальної громади на 2024-2026 роки</t>
  </si>
  <si>
    <t xml:space="preserve">Рішення ЮМР від 26.10.2023 року №1520-VІIІ </t>
  </si>
  <si>
    <t>1514060</t>
  </si>
  <si>
    <t>Забезпечення діяльності палаців і будинків культури, клубів, центрів дозвілля та інших клубних закладів</t>
  </si>
  <si>
    <t>Програма енергоефективностів житлово-комунального господарства та бюджетній сфері Южненської міської територіальної громади на період з 2021 по 2024 роки</t>
  </si>
  <si>
    <t>видатків місцевого бюджету на 2024 рік</t>
  </si>
  <si>
    <t>Інші програми та заходи у сфері охорони здоров'я</t>
  </si>
  <si>
    <t>0217650</t>
  </si>
  <si>
    <t>Проведення експертної грошової оцінки земельної ділянки чи права на неї</t>
  </si>
  <si>
    <t>0217660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</si>
  <si>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</si>
  <si>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</si>
  <si>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1516012</t>
  </si>
  <si>
    <t>6012</t>
  </si>
  <si>
    <t>Програма національно-патріотичного виховання дітей та молоді  Южненської міської територіальної  громади на 2024-2026  роки</t>
  </si>
  <si>
    <t>Программа підтримки органу самоорганізації населення в місті Южному на 2023-2025 роки</t>
  </si>
  <si>
    <t>0611152</t>
  </si>
  <si>
    <t>1152</t>
  </si>
  <si>
    <t>Забезпечення діяльності інклюзивно-ресурсних центрів за рахунок освітньої субвенції</t>
  </si>
  <si>
    <t>0813050</t>
  </si>
  <si>
    <t>3050</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</si>
  <si>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</si>
  <si>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</si>
  <si>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</si>
  <si>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</si>
  <si>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</si>
  <si>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</si>
  <si>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</si>
  <si>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 1604 -VIІІ</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</si>
  <si>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</si>
  <si>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 xml:space="preserve">Рішення ЮМР від 23.08.2023 року № 1428-VIІI </t>
  </si>
  <si>
    <t>0640</t>
  </si>
  <si>
    <t>"Додаток 3</t>
  </si>
  <si>
    <t>до рішення Южненської міської ради</t>
  </si>
  <si>
    <t>територіальної громади на 2024 рік"</t>
  </si>
  <si>
    <t>(грн)</t>
  </si>
  <si>
    <t>(пункт 4)"</t>
  </si>
  <si>
    <t>1517322</t>
  </si>
  <si>
    <t>7322</t>
  </si>
  <si>
    <t>0443</t>
  </si>
  <si>
    <t>Будівництво  медичних установ та закладів</t>
  </si>
  <si>
    <t>Програма розвитку інфраструктури Южненської міської територіальної громади на 2020-2024 роки</t>
  </si>
  <si>
    <t>Код</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</si>
  <si>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</si>
  <si>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41033900</t>
  </si>
  <si>
    <t>Освітня субвенція з державного бюджету місцевим бюджетам </t>
  </si>
  <si>
    <t>41051000</t>
  </si>
  <si>
    <t>Субвенція з місцевого бюджету на здійснення переданих видатків у сфері освіти за рахунок коштів освітньої субвенції</t>
  </si>
  <si>
    <t>Інші субвенції з місцевого бюджету (пільгове медичне обслуговування громадян, які постраждали внаслідок Чорнобильської катастрофи)</t>
  </si>
  <si>
    <t>Інші субвенції з місцевого бюджету (видатки на поховання учасників бойових дій та осіб з інвалідністю внаслідок війни)</t>
  </si>
  <si>
    <t>Інші субвенції з місцевого бюджету (компенсаційні виплати особам з інвалідністю на бензин,ремонт,технічне обслуговування автомобілів, мотоколясок і на транспортне обслуговування)</t>
  </si>
  <si>
    <t>№  1604-VIІІ</t>
  </si>
  <si>
    <t>Фінансування місцевого бюджету на 2024 рік</t>
  </si>
  <si>
    <t>Найменування згідно з Класифікацією фінансування бюджету</t>
  </si>
  <si>
    <t>Фінансування за типом кредитора</t>
  </si>
  <si>
    <t>200000</t>
  </si>
  <si>
    <t>Внутрішнє фінансування</t>
  </si>
  <si>
    <t>208000</t>
  </si>
  <si>
    <t>Фінансування за рахунок зміни залишків коштів бюджетів</t>
  </si>
  <si>
    <t>208100</t>
  </si>
  <si>
    <t>На початок періоду</t>
  </si>
  <si>
    <t>208200</t>
  </si>
  <si>
    <t>На кінець періоду</t>
  </si>
  <si>
    <t>208400</t>
  </si>
  <si>
    <t>Кошти, що передаються із загального фонду бюджету до бюджету розвитку (спеціального фонду)</t>
  </si>
  <si>
    <t>Загальне фінансування</t>
  </si>
  <si>
    <t>Фінансування за типом боргового зобов'язання</t>
  </si>
  <si>
    <t>600000</t>
  </si>
  <si>
    <t>Фінансування за активними операціями</t>
  </si>
  <si>
    <t>602000</t>
  </si>
  <si>
    <t>Зміни обсягів бюджетних коштів</t>
  </si>
  <si>
    <t>602100</t>
  </si>
  <si>
    <t>602200</t>
  </si>
  <si>
    <t>602400</t>
  </si>
  <si>
    <t>Міжбюджетні трансферти на 2024 рік</t>
  </si>
  <si>
    <t xml:space="preserve">      1. Показники міжбюджетних трансфертів з інших бюджетів</t>
  </si>
  <si>
    <t>Код Класифікації доходу бюджету/ Код бюджету</t>
  </si>
  <si>
    <t>Найменування трансферту/ Найменування бюджету – надавача міжбюджетного трансферту</t>
  </si>
  <si>
    <t>І. Трансферти до загального фонду бюджету</t>
  </si>
  <si>
    <t>99000000000</t>
  </si>
  <si>
    <t>Державний бюджет</t>
  </si>
  <si>
    <t>Обласний бюджет Одеської області</t>
  </si>
  <si>
    <t>15100000000</t>
  </si>
  <si>
    <t>ІІ. Трансферти до спеціального фонду бюджету</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</si>
  <si>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</si>
  <si>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</si>
  <si>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</si>
  <si>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</si>
  <si>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</si>
  <si>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</si>
  <si>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</si>
  <si>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</si>
  <si>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 xml:space="preserve">Інші субвенції з місцевого бюджету </t>
  </si>
  <si>
    <t xml:space="preserve">Районий бюджет Одеського району </t>
  </si>
  <si>
    <t>ІІ. Трансферти із спеціального фонду бюджету</t>
  </si>
  <si>
    <t>Субвенції з місцевого бюджету за рахунок залишку коштів освітньої субвенції, що утворився на початок бюджетного періоду</t>
  </si>
  <si>
    <t>0219800</t>
  </si>
  <si>
    <t>Субвенція з місцевого бюджету державному бюджету на виконання програм соціально-економічного розвитку регіонів</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</si>
  <si>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</si>
  <si>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</si>
  <si>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0611291</t>
  </si>
  <si>
    <t>0611292</t>
  </si>
  <si>
    <t>1291</t>
  </si>
  <si>
    <t>1292</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</si>
  <si>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</si>
  <si>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</si>
  <si>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Інші заходи, пов'язані з економічною діяльністю</t>
  </si>
  <si>
    <t>0210180</t>
  </si>
  <si>
    <t>Будівництво інших об'єктів комунальної власності</t>
  </si>
  <si>
    <t>Забезпечення збору та вивезення сміття і відходів</t>
  </si>
  <si>
    <t>Комплексна цільова програма "Електронна громада" на 2024-2026 роки</t>
  </si>
  <si>
    <t>Програма підготовки територіальної оборони та місцевого населення до участі в русі національного спротиву, посилення заходів громадської безпеки в Южненській міській територіальній громаді Одеського району Одеської області на 2022-2024 роки</t>
  </si>
  <si>
    <t>Рішення ЮМР від 07.12.2022року № 1177-VIIІ з внесеними змінами від  14.12.2023 року № 1602-VIII, шляхом викладення у новій редакції</t>
  </si>
  <si>
    <t xml:space="preserve">Рішення Южненської міської ради від 26.10.2023 року № 1503-VIIІ  з внесеними змінами  від 14.12.2023  року № 1558-VIII, шляхом викладення у новій редакції  </t>
  </si>
  <si>
    <t>1616014</t>
  </si>
  <si>
    <t>Управління архітектури Южненської міської ради Одеського району Одеської області</t>
  </si>
  <si>
    <t>від 14 грудня  2023 року</t>
  </si>
  <si>
    <t>(пункт 1)"</t>
  </si>
  <si>
    <t>Ігор ЧУГУННИКОВ</t>
  </si>
  <si>
    <t>(пункти 1.1)</t>
  </si>
  <si>
    <t>"Додаток 2</t>
  </si>
  <si>
    <t>(пункт 2)"</t>
  </si>
  <si>
    <t>№ 1604- VIІІ</t>
  </si>
  <si>
    <t>Додаток 5</t>
  </si>
  <si>
    <t>від 14 грудня 2023 року</t>
  </si>
  <si>
    <t>"Додаток 7</t>
  </si>
  <si>
    <t xml:space="preserve">Інша діяльність у сфері державного управління </t>
  </si>
  <si>
    <t>Про затвердження програми "Поліцейський офіцер громади" Южненської міської територіальної громади на 2022-2024 роки</t>
  </si>
  <si>
    <t xml:space="preserve">Рішення ЮМР від 09.12.2021 року № 834-VIІІ з внесеними змінами  від  29.03.2024 року № 1682 -VIII, шляхом викладення  у новій редакції  </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</si>
  <si>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</si>
  <si>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</si>
  <si>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Інші дотації з місцевого бюджету</t>
  </si>
  <si>
    <t>0611210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</si>
  <si>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</si>
  <si>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0613140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</si>
  <si>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</si>
  <si>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Виконання окремих заходів з реалізації соціального проекту "Активні парки - локації здорової України"</t>
  </si>
  <si>
    <r>
      <t>Будівництво</t>
    </r>
    <r>
      <rPr>
        <sz val="12"/>
        <color rgb="FF333333"/>
        <rFont val="Times New Roman"/>
        <family val="1"/>
        <charset val="204"/>
      </rPr>
      <t>  установ та закладів культури</t>
    </r>
  </si>
  <si>
    <t>41057700</t>
  </si>
  <si>
    <t>Програма зміцнення законності, безпеки та порядку на території Южненської міської територіальної громади Одеського району Одеської області на 2022-2024 роки</t>
  </si>
  <si>
    <t>Програма оздоровлення та відпочинку дітей міста Южного на період 2022-2024 роки</t>
  </si>
  <si>
    <t>Будівництво установ та закладів культури</t>
  </si>
  <si>
    <t>Програма проведення обовязкових профілактичних медичних оглядів працівників комунального спеціалізованого закладу "ЦЕНТР КОМПЛЕКСНОЇ РЕАБІЛІТАЦІЇ ДЛЯ ОСІБ З ІНВАЛІДНІСТЮ" на 2024-2026 роки</t>
  </si>
  <si>
    <t xml:space="preserve">Рішення ЮМР від 14.12.2024 року № 1561-VIIІ </t>
  </si>
  <si>
    <t>Рішення ЮМР від 07.03.2023 року № 1299-VIIІ з внесеними змінами від 06.06.2024 року № 1732-VIII, шляхом викладення у новій редакції</t>
  </si>
  <si>
    <t>Рішення ЮМР від 22.07.2021 року №480-VIІІ з внесеними змінами від 04.05.2023 року № 1325-VIII,  шляхом викладення  у новій редакції</t>
  </si>
  <si>
    <t>Рішення ЮМР від 26.10.2023 року № 1511-VIIІ з внесеними змінами від 29.03.2024 року № 1716-VIII, шляхом викладення у новій редакції</t>
  </si>
  <si>
    <t>Рішення ЮМР від 22.07.2021 року № 476-VІІІ з внесеними змінами від 06.06.2024 року  № 1728-VIIІ, шляхом викладення у новій редакції</t>
  </si>
  <si>
    <t>Рішення ЮМР від 18.06.2020 року № 1760-VII з внесеними змінами від 13.07.2023 року  № 1405-VIIІ, шляхом викладення у новій редакції</t>
  </si>
  <si>
    <t xml:space="preserve">Рішення ЮМР від 22.07.2021 року № 473-VІІІ з внесеними змінами  від  26.10.2023 року № 1502 -VІІІ, шляхом викладення в новій редакції </t>
  </si>
  <si>
    <t>Рішення ЮМР від 13.07.2023 року № 1402-VIIІ</t>
  </si>
  <si>
    <t xml:space="preserve">Рішення ЮМР від 22.07.2021 року № 473-VІІІ з внесеними змінами  від  26.10.2023 року № 1502-VІІІ, шляхом викладення в новій редакції </t>
  </si>
  <si>
    <t>Екологічна програма заходів з охорони навколишнього природного середовища Южненської міської територіальної громади на 2024-2026 роки</t>
  </si>
  <si>
    <t>0611200</t>
  </si>
  <si>
    <t>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</si>
  <si>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 (оплата за проведення корекційно-розвиткових занять і придбання спеціальних засобів корекції для вихованців інклюзивних груп закладів дошкільної освіти)</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</si>
  <si>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потребами(оплата за проведення корекційно-розвиткових занять і придбання спеціальних засобів корекції для учнів інклюзивних класів закладів загальної середньої освіти)</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</si>
  <si>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(оплата за проведення корекційно-розвиткових занять і придбання спеціальних засобів корекції для учнів інклюзивних класів закладів загальної середньої освіти)</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</si>
  <si>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(оплата за проведення корекційно-розвиткових занять і придбання спеціальних засобів корекції для вихованців інклюзивних груп закладів дошкільної освіти)</t>
  </si>
  <si>
    <t>"Додаток  8</t>
  </si>
  <si>
    <t xml:space="preserve">"Про бюджет  Южненської міської  </t>
  </si>
  <si>
    <t>від  14  грудня  2023 року</t>
  </si>
  <si>
    <t>(пункт 5)"</t>
  </si>
  <si>
    <t xml:space="preserve">Розподіл коштів бюджету розвитку на  2024 рік </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</si>
  <si>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</si>
  <si>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</si>
  <si>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 xml:space="preserve">Найменування  об'єкта  будівництва/вид будівельних робіт, у тому числі проектні роботи </t>
  </si>
  <si>
    <t>Загальна тривалість будівництва       ( рік початку і закінчення)</t>
  </si>
  <si>
    <t xml:space="preserve">Загальна вартість робіт, гривень </t>
  </si>
  <si>
    <t>Обсяг видатків бюджету розвитку, які спрямовані на будівництво об'єкта на початок бюджетного періоду, гривень</t>
  </si>
  <si>
    <t>Рівень виконання робіт на початок бюджетного періоду,%</t>
  </si>
  <si>
    <t>Обсяг видатків бюджету розвитку, які спрямовуються на будівництво об'єкта у бюджетному періоді, гривень</t>
  </si>
  <si>
    <t>Рівень  готовності об'єкта на кінець бюджетного періоду, %</t>
  </si>
  <si>
    <t>1</t>
  </si>
  <si>
    <t>2</t>
  </si>
  <si>
    <t>3</t>
  </si>
  <si>
    <t>4</t>
  </si>
  <si>
    <t>5</t>
  </si>
  <si>
    <t>6</t>
  </si>
  <si>
    <t>7</t>
  </si>
  <si>
    <t>8</t>
  </si>
  <si>
    <t>9</t>
  </si>
  <si>
    <t>Придбання обладнання і предметів довгострокового користування</t>
  </si>
  <si>
    <t>Інші заходи у сфері зв'язку, телекомунікації та інформатики</t>
  </si>
  <si>
    <t xml:space="preserve">Видатки на проведення експертної грошової оцінки земельних ділянок, що підлягають продажу </t>
  </si>
  <si>
    <t>9800</t>
  </si>
  <si>
    <t>Капітальні трансферти органам державного управління інших рівнів</t>
  </si>
  <si>
    <t xml:space="preserve">Управління житлово-комунального господарства Южненської міської ради Одеського району Одеської області </t>
  </si>
  <si>
    <t>Керівництво і управління у відповідній сфері у містах (місті Києві), селищах, селах,  територіальних громадах</t>
  </si>
  <si>
    <t xml:space="preserve">Управління капітального будівництва Южненської міської ради Одеського району Одеської області </t>
  </si>
  <si>
    <t>1511021</t>
  </si>
  <si>
    <t>2023-2024 роки</t>
  </si>
  <si>
    <t>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 у т.ч.:</t>
  </si>
  <si>
    <t>2023-2024  роки</t>
  </si>
  <si>
    <t>проектні роботи</t>
  </si>
  <si>
    <t>2024 рік</t>
  </si>
  <si>
    <t>2020-2024 роки</t>
  </si>
  <si>
    <t>Проєктні роботи: "Капітальний ремонт їдальні та харчоблоку Ліцею №3 "Авторська школа М.П.Гузика" Южненської міської ради Одеського району Одеської області за адресою: Одеська область, Одеський район, м. Южне, вул. Хіміків, 10-А"</t>
  </si>
  <si>
    <t>1512010</t>
  </si>
  <si>
    <t>Капітальний ремонт будівлі та елементів благоустрою щодо доступності осіб з інвалідністю та інших маломобільних груп населення КНП «Южненська  міська  лікарня»  Южненської  міської ради за адресою: Одеська обл., м. Южне, вул. Хіміків, 1</t>
  </si>
  <si>
    <t>2021-2024 роки</t>
  </si>
  <si>
    <t>Капітальний ремонт з утепленням покрівлі в частині нежитлової будівлі комунальної власності за адресою: Одеська область, Одеський район, м. Южне, пл.Перемоги, 1, у т.ч.:</t>
  </si>
  <si>
    <t>2020,2023-2024 роки</t>
  </si>
  <si>
    <t xml:space="preserve">проектні роботи </t>
  </si>
  <si>
    <t>коригування проектної документації</t>
  </si>
  <si>
    <t xml:space="preserve">Капітальний ремонт внутрішньої системи теплопостачання у підвальному приміщенні будівлі комунальної власності по вул. Будівельників, буд. 7, м. Южного Одеського району Одеської області,  в т.ч. </t>
  </si>
  <si>
    <t>Капітальний ремонт ділянки теплових мереж від ТК-15 до вводів у будівлі Ліцею №1 та ЗДО №3 м.Южного Одеського району Одеської області, у т.ч.:</t>
  </si>
  <si>
    <t>проєктні роботи</t>
  </si>
  <si>
    <t>Капітальний ремонт твердого покриття (пішохідна доріжка) вздовж житлових будинків по просп. Миру, 15, 17, 25 м.Южного Одеської області, в т.ч.:</t>
  </si>
  <si>
    <t>проектно-вишукувальні роботи</t>
  </si>
  <si>
    <t>коригування проектно-вишукувальної документації</t>
  </si>
  <si>
    <t>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 у т.ч.:</t>
  </si>
  <si>
    <t>2023-2024 рік</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</si>
  <si>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у т.ч.:</t>
  </si>
  <si>
    <t xml:space="preserve"> проектні роботи</t>
  </si>
  <si>
    <t>Коригування проектної документації: "Реконструкція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</si>
  <si>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Додаткові роботи</t>
  </si>
  <si>
    <t>1517324</t>
  </si>
  <si>
    <t>7324</t>
  </si>
  <si>
    <t>Будівництво  установ та закладів культури</t>
  </si>
  <si>
    <t>2021, 2023-2024 роки</t>
  </si>
  <si>
    <t xml:space="preserve">1517330 </t>
  </si>
  <si>
    <t>7330</t>
  </si>
  <si>
    <t>Будівництво інших об'єктів комунальної власності</t>
  </si>
  <si>
    <t>Проєктні роботи "Нове будівництво укриття, що планується використовувати для учасників освітнього процесу в комунальному закладі "Новобілярська гімназія" Южненської міської ради Одеського району Одеської області,  за адресою: 67550, Одеська область, Одеський район, смт. Нові Білярі, вул. Шкільна, 9"</t>
  </si>
  <si>
    <t>1517461</t>
  </si>
  <si>
    <t>2019-2024 роки</t>
  </si>
  <si>
    <t>х</t>
  </si>
  <si>
    <t>Субвенція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безпосереденьо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19 - 20 частини першої статті 6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</si>
  <si>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0813222</t>
  </si>
  <si>
    <t>3222</t>
  </si>
  <si>
    <t>1060</t>
  </si>
  <si>
    <t>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t>
  </si>
  <si>
    <t>Капітальні трансферти населенню</t>
  </si>
  <si>
    <t>0218110</t>
  </si>
  <si>
    <t>Інші субвенції з місцевого бюджету</t>
  </si>
  <si>
    <t>Охорона та раціональне використання природних ресурсів</t>
  </si>
  <si>
    <t>0511</t>
  </si>
  <si>
    <t>2719770</t>
  </si>
  <si>
    <t>Інші субвенції  з місцевого бюджету</t>
  </si>
  <si>
    <t>Капітальні трансферти підприємствам (установам, організаціям)</t>
  </si>
  <si>
    <t>Капітальний ремонт їдальні та харчоблоку комунального закладу  «Южненський навчально-виховний комплекс (загальноосвітня спеціалізована школа І-ІІІ ступенів №2-центр позашкільної освіти-професійно-технічне училище) Южненської міської ради Одеської області» за адресою просп. Миру, 18 м. Южного Одеської області, в т.ч.:</t>
  </si>
  <si>
    <t xml:space="preserve">коригування проектної документації </t>
  </si>
  <si>
    <t>Капітальний ремонт системи вентиляції в приміщеннях найпростішого укриття № ХХІІІ; XХVII; XXIV; XXVIII; XXXII; XXXI; XXIX-XXX; XXXIX; XXXIII; XXXIV; XXXIX-1; XXXV; XXXV-1; XXXVI; XXXVII; XXXVIII; XXXVII-1; XXXVIII-1; I-1;I-2, що планується використовувати для укриття учасників освітнього процесу Ліцею № 3 "Авторська школа М.П.Гузика" Южненської міської ради Одеського району Одеської області за адресою: Одеська область, Одеський район, Южненська територіальна громада, м. Южне, вул. Хіміків, 10-А, в т.ч.:</t>
  </si>
  <si>
    <t>'Забезпечення діяльності з виробництва, транспортування, постачання теплової енергії</t>
  </si>
  <si>
    <t>Коригування проєктної документації: "Капітальний ремонт ділянки магістрального водопроводу від колодязя В 13 до колодязя В 26 по вул. Хіміків м. Южного Одеського району Одеської області"</t>
  </si>
  <si>
    <t>Коригування проєктної документації: "Капітальний ремонт твердого покриття (пішохідна доріжка) вздовж житлових будинків по просп. Миру, 15, 17, 25 м.Южного Одеської області"</t>
  </si>
  <si>
    <t>Капітальний ремонт твердого покриття (пішохідна доріжка) вздовж житлових будинків по просп. Миру, 15, 17, 25 м.Южного Одеської області. Додаткові роботи</t>
  </si>
  <si>
    <t>1518110</t>
  </si>
  <si>
    <t>8110</t>
  </si>
  <si>
    <t>Програма підвищення ефективності діяльності підрозділів Одеського прикордонного  загону на 2022-2024 роки</t>
  </si>
  <si>
    <t>Програма з локалізації та ліквідації амброзії полинолистної на території Южненської міської територіальної громади на 2020-2024 роки.</t>
  </si>
  <si>
    <t>Рішення Южненської міської ради від 14.12.2023 року № 1578-VIIІ</t>
  </si>
  <si>
    <t>1516013</t>
  </si>
  <si>
    <t xml:space="preserve"> 
Забезпечення діяльності водопровідно-каналізаційного господарства</t>
  </si>
  <si>
    <t xml:space="preserve"> 
Інші субвенції з місцевого бюджету</t>
  </si>
  <si>
    <t>Програма фінансової підтримки Одеської районої ради Одеської області на 2024 рік</t>
  </si>
  <si>
    <t>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 в т.ч.:</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</si>
  <si>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в т.ч.:</t>
  </si>
  <si>
    <t xml:space="preserve">Рішення ЮМР від 28.10.2022 року            № 1091-VIIІ  з внесеними змінами  від     28.08.2024 року №  1830 -VIII, шляхом викладення  у новій редакції  </t>
  </si>
  <si>
    <t xml:space="preserve">Рішення ЮМР від 23.08.2023 року № 1433- VIIІ з внесеними змінами  від     29.08.2024 року №  1826 -VIII, шляхом викладення  у новій редакції  </t>
  </si>
  <si>
    <t xml:space="preserve">Рішення Южненської міської ради від 20.08.2020 року № 1828-VII з внесеними змінами  від  29.08.2024 року №   1853-VIII, шляхом викладення  у новій редакції  </t>
  </si>
  <si>
    <t xml:space="preserve">Рішення Южненської міської ради від      29.08.2024 року № 1808 -VIIІ </t>
  </si>
  <si>
    <t>Проектні роботи: "Капітальний ремонт покрівлі будівлі АБК і РММ на котельні за адресою: вул. Старомиколаївське шосе, 8 м. Южного Одеського району Одеської області"</t>
  </si>
  <si>
    <t>Проєктно-вишукувальні роботи: "Нове будівництво меморіального скверу для вшанування загиблих військовослужбовців Збройних Сил України інших українських військових та правоохоронних формувань, а також добровольців які загинули в боях за Україну, за адресою: пл. Перемоги, місто Южне, Одеський район, Одеська область"</t>
  </si>
  <si>
    <t>Реконструкція системи газопостачання в Сичавському будинку культури Одеського району Одеської області, за адресою: с. Сичавка, вул.Цветаєва 2А, в т.ч.:</t>
  </si>
  <si>
    <t>Капітальний ремонт проїжджої частини вул. Приморської від вул. Будівельників до просп. Григорівського десанту м. Южного Одеської області, в т.ч.:</t>
  </si>
  <si>
    <t>Коригування проєктної документації: "Капітальний ремонт проїжджої частини вул. Приморської від вул. Будівельників до просп. Григорівського десанту м. Южного Одеської області"</t>
  </si>
  <si>
    <t xml:space="preserve">Нове будівництво місцевої автоматизованої системи централізованого оповіщення (МАСЦО) в Южненській міській територіальній громаді Одеського району Одеської області,  в т.ч.: </t>
  </si>
  <si>
    <t>Програма розвитку цивільного захисту, техногенної та пожежної безпеки Южненської міської територіальної громади на 2022-2026 роки</t>
  </si>
  <si>
    <t>0611181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</si>
  <si>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</si>
  <si>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</si>
  <si>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</si>
  <si>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</si>
  <si>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</si>
  <si>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Рішення ЮМР від 30.09.2021 року № 604-VIІІ з внесеними змінами  від  29.08.2024 року № 1846 -VIII, шляхом викладення  у новій редакції</t>
  </si>
  <si>
    <t xml:space="preserve">Рішення ЮМР від 14.12.2023 року № 1567-VIIІ з внесеними змінами  від     29.08.2024 року № 1849-VIII, шляхом викладення  у новій редакції  </t>
  </si>
  <si>
    <t>Управління освіти Южненської міської ради Одеського району Одеської області</t>
  </si>
  <si>
    <t>Проєктні роботи: "Капітальний ремонт системи вентиляції в приміщеннях найпростішого укриття № LXXIV, LXXIII, LXXXV, LXXXIV, LXXX, LXXXVI, LXXXIII, LXXVI, LXXIX, що використовується для укриття учасників освітнього процесу опорного закладу "Ліцей №2" за адресою: Одеська область, Одеській район, м.Южне, проспект Миру, 18"</t>
  </si>
  <si>
    <t>у т.ч.</t>
  </si>
  <si>
    <t>Субвенція</t>
  </si>
  <si>
    <t xml:space="preserve">Проєктні роботи: "Капітальний ремонт ділянки магістрального водопроводу від колодязя В 1 по проспекту Григорівського десанту до колодязя В 5  по вул. Т.Г. Шевченка м.Южного Одеського району Одеської області" </t>
  </si>
  <si>
    <t>Капітальний ремонт проїжджої частини вул. Приморської від вул. Будівельників до просп. Григорівського десанту м. Южного Одеської області (І черга. Пішохідні доріжки)</t>
  </si>
  <si>
    <t>0611403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</si>
  <si>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</si>
  <si>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1403</t>
  </si>
  <si>
    <t>Субвенція з державного бюджету місцевим бюджетам на забезпечення харчуванням учнів початкових класів закладів загальної середьої освіти</t>
  </si>
  <si>
    <t>1216014</t>
  </si>
  <si>
    <t>6014</t>
  </si>
  <si>
    <t>Рішення ЮМР від 23.08.2023 року № 1431- VIIІ з внесеними змінами від  14.10.2024 року № 1896-VIIІ, шляхом викладення у новій редакції</t>
  </si>
  <si>
    <t>Рішення ЮМР від 28.10.2022 року № 1121-VIIІ з внесеними змінами від        14.10.2024 року № 1898-VIII, шляхом викладення у новій редакції</t>
  </si>
  <si>
    <t xml:space="preserve">Рішення ЮМР від 04.03.2022 року № 948-VIІІ з внесеними змінами  від  14.10.2024 року №  1900-VIII, шляхом викладення  у новій редакції  </t>
  </si>
  <si>
    <t xml:space="preserve">Рішення ЮМР від 29.03.2024 року № 1680-VIІІ  </t>
  </si>
  <si>
    <t xml:space="preserve">Рішення ЮМР від 23.12.2021 року  №  900-VIIІ  з внесеними змінами  від  29.08.2024 року № 1836-VIII, шляхом викладення  у новій редакції  </t>
  </si>
  <si>
    <t xml:space="preserve">Рішення ЮМР від 13.07.2023 року № 1404-VIIІ з внесеними змінами  від  14.10.2024 року № 1893 -VIII, шляхом викладення  у новій редакції  </t>
  </si>
  <si>
    <t>Заходи та роботи з територіальної оборони</t>
  </si>
  <si>
    <t>Інші субвенції з місцевого бюджету (матеріальне заохочення осіб, які беруть участь у будівництві фортифікаційних споруд на території де ведуться активні бойові дії)</t>
  </si>
  <si>
    <t>Програма притидії злочинності та посилення публічної безпеки на території Южненської міської територіальної громади Одеського району Одеської області на 2024-2026 роки</t>
  </si>
  <si>
    <t>Програма створення та використання матеріальних резервів для запобігання і ліквідації наслідків надзвичайних ситуацій на території Южненської міської територіальної громади на 2023-2025 роки</t>
  </si>
  <si>
    <t>0218240</t>
  </si>
  <si>
    <t>1218240</t>
  </si>
  <si>
    <t xml:space="preserve">Коригування проектної документації: "Капітальний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</si>
  <si>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Додаткові роботи</t>
  </si>
  <si>
    <t>Коригування проектної документації: "Реконструкція системи газопостачання в Сичавському будинку культури Одеського району Одеської області, за адресою: с. Сичавка, вул.Цветаєва 2А"</t>
  </si>
  <si>
    <t>Реконструкція системи газопостачання в Сичавському будинку культури Одеського району Одеської області, за адресою: с. Сичавка, вул.Цветаєва 2А. Додаткові роботи</t>
  </si>
  <si>
    <t xml:space="preserve">Нове будівництво місцевої автоматизованої системи централізованого оповіщення (МАСЦО) в Южненській міській територіальній громаді Одеського району Одеської області (І черга. м.Южне), в т.ч.: </t>
  </si>
  <si>
    <t>Нове будівництво місцевої автоматизованої системи централізованого оповіщення (МАСЦО) в Южненській міській територіальній громаді Одеського району Одеської області (ІІ черга. с.Сичавка, с.Кошари, с.Булдинка, с.Нові Білярі, с.Григорівка)</t>
  </si>
  <si>
    <t xml:space="preserve">Рішення ЮМР від 04.03.2022 року № 948-VIІІ з внесеними змінами  від  14.11.2024 року № 1933-VIII, шляхом викладення  у новій редакції  </t>
  </si>
  <si>
    <t>Проєктні роботи: «Капітальний ремонт частини підвального приміщення Комунального опорного закладу загальної середньої освіти "Ліцей № 2" Южненської міської ради Одеського району Одеської області з влаштуванням найпростішого укриття, що планується використовувати для укриття учасників освітнього процесу за адресою:  Одеська область, Одеський район, м. Південне, просп. Миру, 18»</t>
  </si>
  <si>
    <t>2024-2025 роки</t>
  </si>
  <si>
    <t>до рішення Південнівської міської ради</t>
  </si>
  <si>
    <t>Секретар Південнівської міської ради</t>
  </si>
  <si>
    <t>Розроблення комплексних планів просторового розвитку територій територіальних громад</t>
  </si>
  <si>
    <t>Програма створення та розвитку містобудівного кадастру Южненської міської територіальної громади Одеського району Одеської області на 2021-2024 роки</t>
  </si>
  <si>
    <t>1617351</t>
  </si>
  <si>
    <t>7351</t>
  </si>
  <si>
    <t>Розроблення Комплексного плану просторового розвитку території Южненської міської територіальної громади</t>
  </si>
  <si>
    <t xml:space="preserve">Секретар Південнівської міської ради                                                                                                                                                       Ігор ЧУГУННИКОВ                                                         </t>
  </si>
  <si>
    <t xml:space="preserve">Секретар Південнівської міської ради                                                                                                                                Ігор ЧУГУННИКОВ                                                         </t>
  </si>
  <si>
    <t xml:space="preserve">Секретар Південнівської міської ради                                                                                                       Ігор ЧУГУННИКОВ                                                         </t>
  </si>
  <si>
    <t xml:space="preserve">Рішення ЮМР від 13.07.2023 року № 1401-VIІI з внесеними змінами  від  13.12.2024 року № 1972-VIII, шляхом викладення  у новій редакції  </t>
  </si>
  <si>
    <t xml:space="preserve">Рішення ЮМР від 28.10.2022 року № 1092-VIIІ з внесеними змінами  від    13.12.2024 року №  1974-VIII, шляхом викладення  у новій редакції  </t>
  </si>
  <si>
    <t xml:space="preserve">Рішення ЮМР від 25.07.2019 року №1438-VII  з внесеними змінами  від  13.12.2024 року № 1976-VIII, шляхом викладення  у новій редакції  </t>
  </si>
  <si>
    <t xml:space="preserve">Рішення Южненської міської ради від 19.09.2019 року № 1529-VII, з внесеними змінами  від  13.12.2024 року № 1977-VIII, шляхом викладення  у новій редакції  </t>
  </si>
  <si>
    <t>Рішення Южненської міської ради  від 29.04.2021 року № 360-VIIІ з внесеними змінами  від   13.12.2024  року №  1978-VIII, шляхом викладення у новій редакції</t>
  </si>
  <si>
    <t xml:space="preserve">Рішення ЮМР від 22.09.2022 року № 1078-VIІІ з внесеними змінами  від 14.10.2024 року №  1899-VIII, шляхом викладення  у новій редакції  </t>
  </si>
  <si>
    <t>(пункти 1.2, 1.3)</t>
  </si>
  <si>
    <t>(пункти 1.4)</t>
  </si>
  <si>
    <t>(пункт 1.1)</t>
  </si>
  <si>
    <t xml:space="preserve">Рішення ЮМР від 22.07.2021 року № 474-VІІІ з внесеними змінами  від  09.03.2023 року № 1306-VІІІ,  шляхом викладення в новій редакції </t>
  </si>
  <si>
    <t>"Додаток 1</t>
  </si>
  <si>
    <t xml:space="preserve">"Про  бюджет Южненської міської  </t>
  </si>
  <si>
    <t>№  1604-VIII</t>
  </si>
  <si>
    <t>Доходи місцевого бюджету на 2024 рік</t>
  </si>
  <si>
    <t>Найменування згідно з Класифікацією доходів бюджету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</si>
  <si>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</si>
  <si>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</si>
  <si>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</si>
  <si>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</si>
  <si>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</si>
  <si>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</si>
  <si>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11020000</t>
  </si>
  <si>
    <t>Податок на прибуток підприємств  </t>
  </si>
  <si>
    <t>14000000</t>
  </si>
  <si>
    <t>Внутрішні податки на товари та послуги  </t>
  </si>
  <si>
    <t>14020000</t>
  </si>
  <si>
    <t>Акцизний податок з вироблених в Україні підакцизних товарів (продукції) </t>
  </si>
  <si>
    <t>14030000</t>
  </si>
  <si>
    <t>Акцизний податок з ввезених на митну територію України підакцизних товарів (продукції) </t>
  </si>
  <si>
    <t>14040000</t>
  </si>
  <si>
    <t>Акцизний податок з реалізації суб`єктами господарювання роздрібної торгівлі підакцизних товарів </t>
  </si>
  <si>
    <t>18000000</t>
  </si>
  <si>
    <t>Місцеві податки та збори, що сплачуються (перераховуються) згідно з Податковим кодексом України</t>
  </si>
  <si>
    <t>18010000</t>
  </si>
  <si>
    <t>Податок на майно </t>
  </si>
  <si>
    <t>Податок на нерухоме майно, відмінне від земельної ділянки</t>
  </si>
  <si>
    <t>Податок на нерухоме майно, відмінне від земельної ділянки, сплачений юридичними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</si>
  <si>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</si>
  <si>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нежитлової нерухомості </t>
  </si>
  <si>
    <t>Податок на нерухоме майно, відмінне від земельної ділянки, сплачений юридичними особами, які є власниками об`єктів нежитлової нерухомості </t>
  </si>
  <si>
    <t>Плата за землю</t>
  </si>
  <si>
    <t>Земельний податок з юридичних осіб </t>
  </si>
  <si>
    <t>Орендна плата з юридичних осіб </t>
  </si>
  <si>
    <t>Земельний податок з фізичних осіб </t>
  </si>
  <si>
    <t>Орендна плата з фізичних осіб </t>
  </si>
  <si>
    <t>18030000</t>
  </si>
  <si>
    <t>Туристичний збір </t>
  </si>
  <si>
    <t>18050000</t>
  </si>
  <si>
    <t>Єдиний податок  </t>
  </si>
  <si>
    <t>19000000</t>
  </si>
  <si>
    <t>Інші податки та збори </t>
  </si>
  <si>
    <t>19010000</t>
  </si>
  <si>
    <t>Екологічний податок </t>
  </si>
  <si>
    <t>20000000</t>
  </si>
  <si>
    <t>Неподаткові надходження  </t>
  </si>
  <si>
    <t>21000000</t>
  </si>
  <si>
    <t>Доходи від власності та підприємницької діяльності  </t>
  </si>
  <si>
    <t>21010300</t>
  </si>
  <si>
    <t>Частина чистого прибутку (доходу) комунальних унітарних підприємств та їх об`єднань, що вилучається до відповідного місцевого бюджету</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</si>
  <si>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</si>
  <si>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</si>
  <si>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</si>
  <si>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</si>
  <si>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</si>
  <si>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</si>
  <si>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22010300</t>
  </si>
  <si>
    <t>Адміністративний збір за проведення державної реєстрації юридичних осіб, фізичних осіб - підприємців та громадських формувань</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</si>
  <si>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</si>
  <si>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</si>
  <si>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</si>
  <si>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 </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</si>
  <si>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</si>
  <si>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</si>
  <si>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</si>
  <si>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  </t>
  </si>
  <si>
    <t>24000000</t>
  </si>
  <si>
    <t>Інші неподаткові надходження  </t>
  </si>
  <si>
    <t>24060300</t>
  </si>
  <si>
    <t>Інші надходження  </t>
  </si>
  <si>
    <t>24062200</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</si>
  <si>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t>
  </si>
  <si>
    <t>24170000</t>
  </si>
  <si>
    <t>Надходження коштів пайової участі у розвитку інфраструктури населеного пункту</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</si>
  <si>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</si>
  <si>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</si>
  <si>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</si>
  <si>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</si>
  <si>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30000000</t>
  </si>
  <si>
    <t>Доходи від операцій з капіталом  </t>
  </si>
  <si>
    <t>33010100</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</si>
  <si>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</si>
  <si>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</si>
  <si>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40000000</t>
  </si>
  <si>
    <t>Офіційні трансферти  </t>
  </si>
  <si>
    <t>41000000</t>
  </si>
  <si>
    <t>Від органів державного управління  </t>
  </si>
  <si>
    <t>Дотації з державного бюджету місцевим бюджетам</t>
  </si>
  <si>
    <t>41030000</t>
  </si>
  <si>
    <t>Субвенції з державного бюджету місцевим бюджетам</t>
  </si>
  <si>
    <t>Дотації з місцевих бюджетів іншим місцевим бюджетам</t>
  </si>
  <si>
    <t>Субвенції з місцевих бюджетів іншим місцевим бюджетам</t>
  </si>
  <si>
    <t>Разом доходів</t>
  </si>
  <si>
    <t>Інші субвенції з місцевого бюджету  (встановлення когенераційної установки)</t>
  </si>
  <si>
    <t>Інші субвенції з місцевого бюджету (встановлення когенераційної установки)</t>
  </si>
  <si>
    <t>Додаток 3</t>
  </si>
  <si>
    <t>Додаток 6</t>
  </si>
  <si>
    <t xml:space="preserve">Рішення ЮМР від 01.12.2022 року № 1170-VIІІ з внесеними змінами  від 24.12.2024 року № 2039-VIII, шляхом викладення  у новій редакції  </t>
  </si>
  <si>
    <t xml:space="preserve">Рішення ЮМР від 22.07.2021 року № 470-VІІІ з внесеними змінами  від 13.12.2024 року № 1971-VIII, шляхом викладення  у новій редакції  </t>
  </si>
  <si>
    <t xml:space="preserve">Реконструкція водопровідного колектору від ВНС до вул.Хіміків м.Южного Одеської області </t>
  </si>
  <si>
    <t>Виконавчий комітет Південнівської міської ради Одеського району Одеської області</t>
  </si>
  <si>
    <t xml:space="preserve">Виконавчий комітет Південнівської міської ради Одеського району Одеської області </t>
  </si>
  <si>
    <t xml:space="preserve">Рішення ЮМР від 22.07.2021 року № 470-VІІІ з внесеними змінами  від 06.03.2025 року № 2080-VIII, шляхом викладення  у новій редакції  </t>
  </si>
  <si>
    <t>від 06.03.2025 року</t>
  </si>
  <si>
    <t>№ 2141-VIII</t>
  </si>
  <si>
    <t>Додаток 4</t>
  </si>
  <si>
    <t>"Додаток 5</t>
  </si>
  <si>
    <t>№ 1604-VIІІ</t>
  </si>
  <si>
    <t>(пункт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</si>
</sst>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quot;-&quot;"/>
    <numFmt numFmtId="165" formatCode="_-* #,##0.00\ _г_р_н_._-;\-* #,##0.00\ _г_р_н_._-;_-* &quot;-&quot;??\ _г_р_н_._-;_-@_-"/>
    <numFmt numFmtId="166" formatCode="#,##0.00;[Red]#,##0.00"/>
    <numFmt numFmtId="167" formatCode="_-* #,##0\ _г_р_н_._-;\-* #,##0\ _г_р_н_._-;_-* &quot;-&quot;??\ _г_р_н_._-;_-@_-"/>
    <numFmt numFmtId="168" formatCode="0.0%"/>
  </numFmts>
  <fonts count="47" x14ac:knownFonts="1">
    <font>
      <sz val="10"/>
      <color theme="1"/>
      <name val="Calibri"/>
      <family val="2"/>
      <charset val="204"/>
      <scheme val="minor"/>
    </font>
    <font>
      <sz val="10"/>
      <color theme="1"/>
      <name val="Times New Roman"/>
      <family val="1"/>
      <charset val="204"/>
    </font>
    <font>
      <b/>
      <sz val="16"/>
      <color theme="1"/>
      <name val="Times New Roman"/>
      <family val="1"/>
      <charset val="204"/>
    </font>
    <font>
      <sz val="16"/>
      <color theme="1"/>
      <name val="Times New Roman"/>
      <family val="1"/>
      <charset val="204"/>
    </font>
    <font>
      <b/>
      <u/>
      <sz val="12"/>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i/>
      <sz val="12"/>
      <color theme="1"/>
      <name val="Times New Roman"/>
      <family val="1"/>
      <charset val="204"/>
    </font>
    <font>
      <sz val="10"/>
      <name val="Times New Roman"/>
      <family val="1"/>
      <charset val="204"/>
    </font>
    <font>
      <sz val="10"/>
      <name val="Arial Cyr"/>
      <charset val="204"/>
    </font>
    <font>
      <sz val="10"/>
      <color theme="1"/>
      <name val="Calibri"/>
      <family val="2"/>
      <charset val="204"/>
      <scheme val="minor"/>
    </font>
    <font>
      <sz val="11"/>
      <color theme="1"/>
      <name val="Times New Roman"/>
      <family val="1"/>
      <charset val="204"/>
    </font>
    <font>
      <b/>
      <sz val="12"/>
      <name val="Times New Roman"/>
      <family val="1"/>
      <charset val="204"/>
    </font>
    <font>
      <sz val="12"/>
      <color rgb="FF000000"/>
      <name val="Times New Roman"/>
      <family val="1"/>
      <charset val="204"/>
    </font>
    <font>
      <b/>
      <sz val="14"/>
      <name val="Times New Roman"/>
      <family val="1"/>
      <charset val="204"/>
    </font>
    <font>
      <b/>
      <i/>
      <sz val="14"/>
      <name val="Times New Roman"/>
      <family val="1"/>
      <charset val="204"/>
    </font>
    <font>
      <sz val="12"/>
      <color rgb="FFFF0000"/>
      <name val="Times New Roman"/>
      <family val="1"/>
      <charset val="204"/>
    </font>
    <font>
      <b/>
      <i/>
      <sz val="12"/>
      <name val="Times New Roman"/>
      <family val="1"/>
      <charset val="204"/>
    </font>
    <font>
      <u/>
      <sz val="12"/>
      <name val="Times New Roman"/>
      <family val="1"/>
      <charset val="204"/>
    </font>
    <font>
      <b/>
      <sz val="10"/>
      <color theme="1"/>
      <name val="Calibri"/>
      <family val="2"/>
      <charset val="204"/>
      <scheme val="minor"/>
    </font>
    <font>
      <b/>
      <sz val="14"/>
      <color theme="1"/>
      <name val="Times New Roman"/>
      <family val="1"/>
      <charset val="204"/>
    </font>
    <font>
      <sz val="14"/>
      <color theme="1"/>
      <name val="Times New Roman"/>
      <family val="1"/>
      <charset val="204"/>
    </font>
    <font>
      <b/>
      <i/>
      <sz val="12"/>
      <color theme="1"/>
      <name val="Times New Roman"/>
      <family val="1"/>
      <charset val="204"/>
    </font>
    <font>
      <i/>
      <sz val="12"/>
      <name val="Times New Roman"/>
      <family val="1"/>
      <charset val="204"/>
    </font>
    <font>
      <sz val="12"/>
      <name val="Arial Cyr"/>
      <charset val="204"/>
    </font>
    <font>
      <sz val="14"/>
      <color theme="1"/>
      <name val="Calibri"/>
      <family val="2"/>
      <charset val="204"/>
      <scheme val="minor"/>
    </font>
    <font>
      <sz val="12"/>
      <color rgb="FF333333"/>
      <name val="Times New Roman"/>
      <family val="1"/>
      <charset val="204"/>
    </font>
    <font>
      <sz val="11"/>
      <name val="Times New Roman"/>
      <family val="1"/>
      <charset val="204"/>
    </font>
    <font>
      <b/>
      <sz val="16"/>
      <name val="Times New Roman"/>
      <family val="1"/>
      <charset val="204"/>
    </font>
    <font>
      <u/>
      <sz val="12"/>
      <color indexed="8"/>
      <name val="Times New Roman"/>
      <family val="1"/>
      <charset val="204"/>
    </font>
    <font>
      <b/>
      <sz val="14"/>
      <color rgb="FF333333"/>
      <name val="Times New Roman"/>
      <family val="1"/>
      <charset val="204"/>
    </font>
    <font>
      <sz val="12"/>
      <color indexed="8"/>
      <name val="Times New Roman"/>
      <family val="1"/>
      <charset val="204"/>
    </font>
    <font>
      <i/>
      <sz val="16"/>
      <name val="Times New Roman"/>
      <family val="1"/>
      <charset val="204"/>
    </font>
    <font>
      <i/>
      <sz val="14"/>
      <name val="Times New Roman"/>
      <family val="1"/>
      <charset val="204"/>
    </font>
    <font>
      <sz val="16"/>
      <name val="Times New Roman"/>
      <family val="1"/>
      <charset val="204"/>
    </font>
    <font>
      <sz val="14"/>
      <name val="Times New Roman"/>
      <family val="1"/>
      <charset val="204"/>
    </font>
    <font>
      <i/>
      <sz val="16"/>
      <color theme="1"/>
      <name val="Times New Roman"/>
      <family val="1"/>
      <charset val="204"/>
    </font>
    <font>
      <i/>
      <sz val="14"/>
      <color theme="1"/>
      <name val="Times New Roman"/>
      <family val="1"/>
      <charset val="204"/>
    </font>
    <font>
      <sz val="16"/>
      <color theme="1"/>
      <name val="Calibri"/>
      <family val="2"/>
      <charset val="204"/>
      <scheme val="minor"/>
    </font>
    <font>
      <sz val="14"/>
      <color rgb="FF333333"/>
      <name val="Times New Roman"/>
      <family val="1"/>
      <charset val="204"/>
    </font>
    <font>
      <b/>
      <sz val="16"/>
      <color indexed="8"/>
      <name val="Times New Roman"/>
      <family val="1"/>
      <charset val="204"/>
    </font>
    <font>
      <sz val="16"/>
      <color rgb="FF000000"/>
      <name val="Times New Roman"/>
      <family val="1"/>
      <charset val="204"/>
    </font>
    <font>
      <sz val="10"/>
      <color rgb="FF333333"/>
      <name val="Times New Roman"/>
      <family val="1"/>
      <charset val="204"/>
    </font>
    <font>
      <b/>
      <u/>
      <sz val="12"/>
      <name val="Times New Roman"/>
      <family val="1"/>
      <charset val="204"/>
    </font>
    <font>
      <sz val="8"/>
      <name val="Times New Roman"/>
      <family val="1"/>
      <charset val="204"/>
    </font>
    <font>
      <i/>
      <sz val="10"/>
      <color theme="1"/>
      <name val="Calibri"/>
      <family val="2"/>
      <charset val="204"/>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s>
  <cellStyleXfs count="5">
    <xf numFmtId="0" fontId="0" fillId="0" borderId="0"/>
    <xf numFmtId="165" fontId="10" fillId="0" borderId="0" applyFont="0" applyFill="0" applyBorder="0" applyAlignment="0" applyProtection="0"/>
    <xf numFmtId="0" fontId="11" fillId="0" borderId="0"/>
    <xf numFmtId="0" fontId="10" fillId="0" borderId="0"/>
    <xf numFmtId="9" fontId="11" fillId="0" borderId="0" applyFont="0" applyFill="0" applyBorder="0" applyAlignment="0" applyProtection="0"/>
  </cellStyleXfs>
  <cellXfs count="967">
    <xf numFmtId="0" fontId="0" fillId="0" borderId="0" xfId="0"/>
    <xf numFmtId="0" fontId="5" fillId="0" borderId="0" xfId="0" applyFont="1"/>
    <xf numFmtId="0" fontId="5" fillId="0" borderId="0" xfId="0" applyFont="1" applyAlignment="1">
      <alignment horizontal="right"/>
    </xf>
    <xf numFmtId="0" fontId="7" fillId="0" borderId="0" xfId="0" applyFont="1" applyAlignment="1">
      <alignment horizontal="left" vertical="center"/>
    </xf>
    <xf numFmtId="49" fontId="7" fillId="0" borderId="0" xfId="0" applyNumberFormat="1" applyFont="1" applyAlignment="1">
      <alignment vertical="center"/>
    </xf>
    <xf numFmtId="0" fontId="7" fillId="0" borderId="0" xfId="0" applyFont="1" applyAlignment="1">
      <alignment vertical="center"/>
    </xf>
    <xf numFmtId="0" fontId="7" fillId="0" borderId="2" xfId="0" applyFont="1" applyBorder="1"/>
    <xf numFmtId="49" fontId="7" fillId="0" borderId="2" xfId="0" applyNumberFormat="1" applyFont="1" applyBorder="1" applyAlignment="1">
      <alignment vertical="center"/>
    </xf>
    <xf numFmtId="164" fontId="5" fillId="2" borderId="1" xfId="0" applyNumberFormat="1" applyFont="1" applyFill="1" applyBorder="1" applyAlignment="1">
      <alignment horizontal="right" vertical="center"/>
    </xf>
    <xf numFmtId="0" fontId="5" fillId="2" borderId="27" xfId="0" applyFont="1" applyFill="1" applyBorder="1" applyAlignment="1">
      <alignment horizontal="center" vertical="center" wrapText="1"/>
    </xf>
    <xf numFmtId="164" fontId="6" fillId="2" borderId="15" xfId="0" applyNumberFormat="1" applyFont="1" applyFill="1" applyBorder="1" applyAlignment="1">
      <alignment horizontal="right" vertical="center"/>
    </xf>
    <xf numFmtId="0" fontId="5" fillId="0" borderId="1" xfId="0" quotePrefix="1" applyFont="1" applyBorder="1" applyAlignment="1">
      <alignment vertical="center" wrapText="1"/>
    </xf>
    <xf numFmtId="164" fontId="5" fillId="2" borderId="12" xfId="0" applyNumberFormat="1" applyFont="1" applyFill="1" applyBorder="1" applyAlignment="1">
      <alignment horizontal="right" vertical="center"/>
    </xf>
    <xf numFmtId="164" fontId="8" fillId="2" borderId="18" xfId="0" applyNumberFormat="1" applyFont="1" applyFill="1" applyBorder="1" applyAlignment="1">
      <alignment horizontal="right" vertical="center"/>
    </xf>
    <xf numFmtId="164" fontId="8" fillId="2" borderId="7" xfId="0" applyNumberFormat="1" applyFont="1" applyFill="1" applyBorder="1" applyAlignment="1">
      <alignment horizontal="right" vertical="center"/>
    </xf>
    <xf numFmtId="0" fontId="6" fillId="2" borderId="0" xfId="0" applyFont="1" applyFill="1" applyAlignment="1">
      <alignment horizontal="center" vertical="center" wrapText="1"/>
    </xf>
    <xf numFmtId="0" fontId="6" fillId="2" borderId="0" xfId="0" applyFont="1" applyFill="1" applyAlignment="1">
      <alignment vertical="center" wrapText="1"/>
    </xf>
    <xf numFmtId="0" fontId="14" fillId="0" borderId="0" xfId="0" applyFont="1" applyAlignment="1">
      <alignment vertical="center"/>
    </xf>
    <xf numFmtId="0" fontId="3" fillId="0" borderId="0" xfId="0" applyFont="1"/>
    <xf numFmtId="0" fontId="7" fillId="0" borderId="0" xfId="0" applyFont="1" applyAlignment="1">
      <alignment horizontal="right" vertical="center"/>
    </xf>
    <xf numFmtId="0" fontId="5" fillId="0" borderId="0" xfId="0" applyFont="1" applyAlignment="1">
      <alignment vertical="center"/>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16" fillId="0" borderId="0" xfId="0" applyFont="1" applyAlignment="1">
      <alignment horizontal="left" vertical="center"/>
    </xf>
    <xf numFmtId="3" fontId="16" fillId="0" borderId="0" xfId="0" applyNumberFormat="1" applyFont="1" applyAlignment="1">
      <alignment horizontal="left" vertical="center"/>
    </xf>
    <xf numFmtId="2" fontId="15" fillId="0" borderId="0" xfId="0" applyNumberFormat="1" applyFont="1" applyAlignment="1">
      <alignment horizontal="left" vertical="center"/>
    </xf>
    <xf numFmtId="0" fontId="15" fillId="0" borderId="0" xfId="0" applyFont="1" applyAlignment="1">
      <alignment vertical="center"/>
    </xf>
    <xf numFmtId="0" fontId="5" fillId="2" borderId="1" xfId="0" quotePrefix="1" applyFont="1" applyFill="1" applyBorder="1" applyAlignment="1">
      <alignment vertical="center" wrapText="1"/>
    </xf>
    <xf numFmtId="49" fontId="7" fillId="0" borderId="0" xfId="0" applyNumberFormat="1" applyFont="1" applyAlignment="1">
      <alignment horizontal="right" vertical="center"/>
    </xf>
    <xf numFmtId="0" fontId="1" fillId="0" borderId="0" xfId="0" applyFont="1"/>
    <xf numFmtId="0" fontId="8" fillId="0" borderId="0" xfId="0" applyFont="1"/>
    <xf numFmtId="0" fontId="6" fillId="0" borderId="0" xfId="0" applyFont="1"/>
    <xf numFmtId="164" fontId="5" fillId="2" borderId="21" xfId="0" applyNumberFormat="1" applyFont="1" applyFill="1" applyBorder="1" applyAlignment="1">
      <alignment horizontal="right" vertical="center"/>
    </xf>
    <xf numFmtId="0" fontId="7" fillId="2" borderId="1" xfId="0" quotePrefix="1" applyFont="1" applyFill="1" applyBorder="1" applyAlignment="1">
      <alignment vertical="center" wrapText="1"/>
    </xf>
    <xf numFmtId="49" fontId="5" fillId="0" borderId="1" xfId="0" applyNumberFormat="1" applyFont="1" applyBorder="1" applyAlignment="1">
      <alignment horizontal="center" vertical="center" wrapText="1"/>
    </xf>
    <xf numFmtId="49" fontId="5" fillId="0" borderId="1" xfId="0" quotePrefix="1" applyNumberFormat="1" applyFont="1" applyBorder="1" applyAlignment="1">
      <alignment vertical="center" wrapText="1"/>
    </xf>
    <xf numFmtId="0" fontId="5" fillId="2" borderId="26" xfId="0" applyFont="1" applyFill="1" applyBorder="1" applyAlignment="1">
      <alignment horizontal="center" vertical="center" wrapText="1"/>
    </xf>
    <xf numFmtId="0" fontId="7" fillId="2" borderId="12" xfId="0" quotePrefix="1" applyFont="1" applyFill="1" applyBorder="1" applyAlignment="1">
      <alignment vertical="center" wrapText="1"/>
    </xf>
    <xf numFmtId="0" fontId="5" fillId="2" borderId="12" xfId="0" quotePrefix="1" applyFont="1" applyFill="1" applyBorder="1" applyAlignment="1">
      <alignmen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5" xfId="0" quotePrefix="1" applyFont="1" applyFill="1" applyBorder="1" applyAlignment="1">
      <alignment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21" xfId="0" quotePrefix="1" applyFont="1" applyFill="1" applyBorder="1" applyAlignment="1">
      <alignment vertical="center" wrapText="1"/>
    </xf>
    <xf numFmtId="164" fontId="5" fillId="2" borderId="1" xfId="0" applyNumberFormat="1" applyFont="1" applyFill="1" applyBorder="1" applyAlignment="1">
      <alignment vertical="center"/>
    </xf>
    <xf numFmtId="164" fontId="5" fillId="2" borderId="12" xfId="0" applyNumberFormat="1" applyFont="1" applyFill="1" applyBorder="1" applyAlignment="1">
      <alignment vertical="center"/>
    </xf>
    <xf numFmtId="164" fontId="8" fillId="2" borderId="18" xfId="0" applyNumberFormat="1" applyFont="1" applyFill="1" applyBorder="1" applyAlignment="1">
      <alignment vertical="center"/>
    </xf>
    <xf numFmtId="164" fontId="5" fillId="2" borderId="18" xfId="0" applyNumberFormat="1" applyFont="1" applyFill="1" applyBorder="1" applyAlignment="1">
      <alignment vertical="center"/>
    </xf>
    <xf numFmtId="164" fontId="5" fillId="2" borderId="21" xfId="0" applyNumberFormat="1" applyFont="1" applyFill="1" applyBorder="1" applyAlignment="1">
      <alignment vertical="center"/>
    </xf>
    <xf numFmtId="0" fontId="5" fillId="2" borderId="0" xfId="0" applyFont="1" applyFill="1" applyAlignment="1">
      <alignment horizontal="center" vertical="center"/>
    </xf>
    <xf numFmtId="0" fontId="5" fillId="2" borderId="0" xfId="0" applyFont="1" applyFill="1"/>
    <xf numFmtId="0" fontId="5" fillId="2" borderId="0" xfId="0" applyFont="1" applyFill="1" applyAlignment="1">
      <alignment horizontal="right"/>
    </xf>
    <xf numFmtId="0" fontId="4" fillId="2" borderId="0" xfId="0" quotePrefix="1" applyFont="1" applyFill="1" applyAlignment="1">
      <alignment horizontal="center" vertical="center"/>
    </xf>
    <xf numFmtId="0" fontId="5" fillId="2" borderId="12" xfId="0" applyFont="1" applyFill="1" applyBorder="1" applyAlignment="1">
      <alignment horizontal="right" vertical="center" wrapText="1"/>
    </xf>
    <xf numFmtId="0" fontId="5" fillId="2" borderId="13" xfId="0" applyFont="1" applyFill="1" applyBorder="1" applyAlignment="1">
      <alignment horizontal="center" vertical="center" wrapText="1"/>
    </xf>
    <xf numFmtId="164" fontId="6" fillId="2" borderId="15" xfId="0" applyNumberFormat="1" applyFont="1" applyFill="1" applyBorder="1" applyAlignment="1">
      <alignment horizontal="center" vertical="center" wrapText="1"/>
    </xf>
    <xf numFmtId="164" fontId="6" fillId="2" borderId="15" xfId="0" applyNumberFormat="1" applyFont="1" applyFill="1" applyBorder="1" applyAlignment="1">
      <alignment horizontal="right" vertical="center" wrapText="1"/>
    </xf>
    <xf numFmtId="164" fontId="6" fillId="2" borderId="16" xfId="0" applyNumberFormat="1"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8" xfId="0" quotePrefix="1" applyFont="1" applyFill="1" applyBorder="1" applyAlignment="1">
      <alignment vertical="center" wrapText="1"/>
    </xf>
    <xf numFmtId="164" fontId="8" fillId="2" borderId="18" xfId="0" applyNumberFormat="1" applyFont="1" applyFill="1" applyBorder="1" applyAlignment="1">
      <alignment horizontal="center" vertical="center" wrapText="1"/>
    </xf>
    <xf numFmtId="164" fontId="8" fillId="2" borderId="18" xfId="0" applyNumberFormat="1" applyFont="1" applyFill="1" applyBorder="1" applyAlignment="1">
      <alignment horizontal="right" vertical="center" wrapText="1"/>
    </xf>
    <xf numFmtId="164" fontId="8" fillId="2" borderId="19"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164" fontId="6" fillId="2" borderId="15" xfId="0" applyNumberFormat="1" applyFont="1" applyFill="1" applyBorder="1" applyAlignment="1">
      <alignment vertical="center"/>
    </xf>
    <xf numFmtId="164" fontId="6" fillId="2" borderId="16" xfId="0" applyNumberFormat="1" applyFont="1" applyFill="1" applyBorder="1" applyAlignment="1">
      <alignment vertical="center"/>
    </xf>
    <xf numFmtId="164" fontId="8" fillId="2" borderId="19" xfId="0" applyNumberFormat="1" applyFont="1" applyFill="1" applyBorder="1" applyAlignment="1">
      <alignment vertical="center"/>
    </xf>
    <xf numFmtId="164" fontId="5" fillId="2" borderId="10" xfId="0" applyNumberFormat="1" applyFont="1" applyFill="1" applyBorder="1" applyAlignment="1">
      <alignment vertical="center"/>
    </xf>
    <xf numFmtId="164" fontId="5" fillId="2" borderId="13" xfId="0" applyNumberFormat="1" applyFont="1" applyFill="1" applyBorder="1" applyAlignment="1">
      <alignment vertical="center"/>
    </xf>
    <xf numFmtId="164" fontId="5" fillId="2" borderId="22" xfId="0" applyNumberFormat="1" applyFont="1" applyFill="1" applyBorder="1" applyAlignment="1">
      <alignment vertical="center"/>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49" fontId="5" fillId="2" borderId="25" xfId="0" applyNumberFormat="1" applyFont="1" applyFill="1" applyBorder="1" applyAlignment="1">
      <alignment horizontal="center" vertical="center" wrapText="1"/>
    </xf>
    <xf numFmtId="0" fontId="5" fillId="2" borderId="25" xfId="0" quotePrefix="1" applyFont="1" applyFill="1" applyBorder="1" applyAlignment="1">
      <alignment vertical="center" wrapText="1"/>
    </xf>
    <xf numFmtId="3" fontId="5" fillId="2" borderId="1" xfId="0" applyNumberFormat="1" applyFont="1" applyFill="1" applyBorder="1" applyAlignment="1">
      <alignment vertical="center"/>
    </xf>
    <xf numFmtId="0" fontId="6" fillId="2" borderId="15" xfId="0" applyFont="1" applyFill="1" applyBorder="1" applyAlignment="1">
      <alignment vertical="center" wrapText="1"/>
    </xf>
    <xf numFmtId="164" fontId="6" fillId="2" borderId="0" xfId="0" applyNumberFormat="1" applyFont="1" applyFill="1" applyAlignment="1">
      <alignment vertical="center"/>
    </xf>
    <xf numFmtId="0" fontId="15" fillId="2" borderId="0" xfId="0" applyFont="1" applyFill="1" applyAlignment="1">
      <alignment horizontal="left" vertical="center"/>
    </xf>
    <xf numFmtId="0" fontId="16" fillId="2" borderId="0" xfId="0" applyFont="1" applyFill="1" applyAlignment="1">
      <alignment horizontal="left" vertical="center"/>
    </xf>
    <xf numFmtId="3" fontId="16" fillId="2" borderId="0" xfId="0" applyNumberFormat="1" applyFont="1" applyFill="1" applyAlignment="1">
      <alignment horizontal="left" vertical="center"/>
    </xf>
    <xf numFmtId="2" fontId="15" fillId="2" borderId="0" xfId="0" applyNumberFormat="1" applyFont="1" applyFill="1" applyAlignment="1">
      <alignment horizontal="left" vertical="center"/>
    </xf>
    <xf numFmtId="166" fontId="17" fillId="2" borderId="0" xfId="0" applyNumberFormat="1" applyFont="1" applyFill="1"/>
    <xf numFmtId="164" fontId="5" fillId="2" borderId="0" xfId="0" applyNumberFormat="1" applyFont="1" applyFill="1"/>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164" fontId="5" fillId="2" borderId="19" xfId="0" applyNumberFormat="1" applyFont="1" applyFill="1" applyBorder="1" applyAlignment="1">
      <alignment horizontal="center" vertical="center" wrapText="1"/>
    </xf>
    <xf numFmtId="164" fontId="5" fillId="2" borderId="0" xfId="0" applyNumberFormat="1" applyFont="1" applyFill="1" applyAlignment="1">
      <alignment horizontal="right"/>
    </xf>
    <xf numFmtId="49" fontId="5" fillId="0" borderId="9" xfId="0" applyNumberFormat="1" applyFont="1" applyBorder="1" applyAlignment="1">
      <alignment horizontal="center" vertical="center" wrapText="1"/>
    </xf>
    <xf numFmtId="49" fontId="5" fillId="0" borderId="1" xfId="0" quotePrefix="1" applyNumberFormat="1" applyFont="1" applyBorder="1" applyAlignment="1">
      <alignment vertical="top" wrapText="1"/>
    </xf>
    <xf numFmtId="0" fontId="7" fillId="0" borderId="0" xfId="0" applyFont="1" applyFill="1" applyAlignment="1">
      <alignment horizontal="left" vertical="center"/>
    </xf>
    <xf numFmtId="0" fontId="7" fillId="0" borderId="2" xfId="0" applyFont="1" applyFill="1" applyBorder="1" applyAlignment="1">
      <alignment horizontal="left"/>
    </xf>
    <xf numFmtId="0" fontId="7" fillId="0" borderId="2" xfId="0" applyFont="1" applyFill="1" applyBorder="1" applyAlignment="1"/>
    <xf numFmtId="49" fontId="7" fillId="0" borderId="4" xfId="0" applyNumberFormat="1" applyFont="1" applyBorder="1" applyAlignment="1">
      <alignment vertical="center"/>
    </xf>
    <xf numFmtId="0" fontId="13" fillId="0" borderId="0" xfId="0" applyFont="1"/>
    <xf numFmtId="0" fontId="5" fillId="2" borderId="35" xfId="0" applyFont="1" applyFill="1" applyBorder="1" applyAlignment="1">
      <alignment horizontal="center" vertical="center" wrapText="1"/>
    </xf>
    <xf numFmtId="0" fontId="5" fillId="2" borderId="23" xfId="0" applyFont="1" applyFill="1" applyBorder="1" applyAlignment="1">
      <alignment horizontal="center" vertical="center" wrapText="1"/>
    </xf>
    <xf numFmtId="49" fontId="5" fillId="2" borderId="12" xfId="0" applyNumberFormat="1" applyFont="1" applyFill="1" applyBorder="1" applyAlignment="1">
      <alignment horizontal="center" vertical="center" wrapText="1"/>
    </xf>
    <xf numFmtId="0" fontId="19" fillId="2" borderId="0" xfId="0" applyFont="1" applyFill="1" applyBorder="1" applyAlignment="1"/>
    <xf numFmtId="0" fontId="2" fillId="0" borderId="0" xfId="0" applyFont="1" applyAlignment="1">
      <alignment horizontal="center"/>
    </xf>
    <xf numFmtId="0" fontId="3" fillId="0" borderId="0" xfId="0" applyFont="1" applyAlignment="1">
      <alignment horizontal="center"/>
    </xf>
    <xf numFmtId="0" fontId="15" fillId="0" borderId="0" xfId="0" applyFont="1" applyAlignment="1">
      <alignment horizontal="left" vertical="center"/>
    </xf>
    <xf numFmtId="164" fontId="6" fillId="2" borderId="1" xfId="0" applyNumberFormat="1" applyFont="1" applyFill="1" applyBorder="1" applyAlignment="1">
      <alignment horizontal="right" vertical="center"/>
    </xf>
    <xf numFmtId="0" fontId="4" fillId="0" borderId="0" xfId="0" quotePrefix="1" applyFont="1" applyAlignment="1">
      <alignment horizontal="left" vertical="top"/>
    </xf>
    <xf numFmtId="0" fontId="5" fillId="0" borderId="0" xfId="0" applyFont="1" applyAlignment="1">
      <alignment horizontal="left" vertical="top"/>
    </xf>
    <xf numFmtId="0" fontId="5" fillId="2" borderId="19" xfId="0" applyFont="1" applyFill="1" applyBorder="1" applyAlignment="1">
      <alignment horizontal="center" vertical="center" wrapText="1"/>
    </xf>
    <xf numFmtId="164" fontId="6" fillId="2" borderId="9" xfId="0" applyNumberFormat="1" applyFont="1" applyFill="1" applyBorder="1" applyAlignment="1">
      <alignment vertical="center"/>
    </xf>
    <xf numFmtId="164" fontId="6" fillId="2" borderId="1" xfId="0" applyNumberFormat="1" applyFont="1" applyFill="1" applyBorder="1" applyAlignment="1">
      <alignment vertical="center" wrapText="1"/>
    </xf>
    <xf numFmtId="164" fontId="6" fillId="2" borderId="10" xfId="0" applyNumberFormat="1" applyFont="1" applyFill="1" applyBorder="1" applyAlignment="1">
      <alignment horizontal="right" vertical="center"/>
    </xf>
    <xf numFmtId="164" fontId="5" fillId="2" borderId="9" xfId="0" applyNumberFormat="1" applyFont="1" applyFill="1" applyBorder="1" applyAlignment="1">
      <alignment vertical="center"/>
    </xf>
    <xf numFmtId="164" fontId="5" fillId="2" borderId="1" xfId="0" applyNumberFormat="1" applyFont="1" applyFill="1" applyBorder="1" applyAlignment="1">
      <alignment vertical="center" wrapText="1"/>
    </xf>
    <xf numFmtId="164" fontId="5" fillId="2" borderId="10" xfId="0" applyNumberFormat="1" applyFont="1" applyFill="1" applyBorder="1" applyAlignment="1">
      <alignment horizontal="right" vertical="center"/>
    </xf>
    <xf numFmtId="164" fontId="8" fillId="2" borderId="10" xfId="0" applyNumberFormat="1" applyFont="1" applyFill="1" applyBorder="1" applyAlignment="1">
      <alignment horizontal="right" vertical="center"/>
    </xf>
    <xf numFmtId="164" fontId="6" fillId="2" borderId="9" xfId="0" applyNumberFormat="1" applyFont="1" applyFill="1" applyBorder="1" applyAlignment="1">
      <alignment horizontal="center"/>
    </xf>
    <xf numFmtId="164" fontId="6" fillId="2" borderId="1" xfId="0" applyNumberFormat="1" applyFont="1" applyFill="1" applyBorder="1"/>
    <xf numFmtId="164" fontId="6" fillId="2" borderId="1" xfId="0" applyNumberFormat="1" applyFont="1" applyFill="1" applyBorder="1" applyAlignment="1">
      <alignment horizontal="right"/>
    </xf>
    <xf numFmtId="164" fontId="23" fillId="2" borderId="10" xfId="0" applyNumberFormat="1" applyFont="1" applyFill="1" applyBorder="1" applyAlignment="1">
      <alignment horizontal="right"/>
    </xf>
    <xf numFmtId="164" fontId="23" fillId="2" borderId="10" xfId="0" applyNumberFormat="1" applyFont="1" applyFill="1" applyBorder="1" applyAlignment="1">
      <alignment horizontal="right" vertical="center"/>
    </xf>
    <xf numFmtId="0" fontId="0" fillId="0" borderId="0" xfId="0" applyAlignment="1">
      <alignment horizontal="left"/>
    </xf>
    <xf numFmtId="164" fontId="5" fillId="2" borderId="11" xfId="0" applyNumberFormat="1" applyFont="1" applyFill="1" applyBorder="1" applyAlignment="1">
      <alignment vertical="center"/>
    </xf>
    <xf numFmtId="164" fontId="5" fillId="2" borderId="12" xfId="0" applyNumberFormat="1" applyFont="1" applyFill="1" applyBorder="1" applyAlignment="1">
      <alignment vertical="center" wrapText="1"/>
    </xf>
    <xf numFmtId="164" fontId="5" fillId="2" borderId="13" xfId="0" applyNumberFormat="1" applyFont="1" applyFill="1" applyBorder="1" applyAlignment="1">
      <alignment horizontal="right" vertical="center"/>
    </xf>
    <xf numFmtId="164" fontId="6" fillId="2" borderId="14" xfId="0" applyNumberFormat="1" applyFont="1" applyFill="1" applyBorder="1" applyAlignment="1">
      <alignment horizontal="center"/>
    </xf>
    <xf numFmtId="164" fontId="6" fillId="2" borderId="15" xfId="0" applyNumberFormat="1" applyFont="1" applyFill="1" applyBorder="1"/>
    <xf numFmtId="164" fontId="6" fillId="2" borderId="15" xfId="0" applyNumberFormat="1" applyFont="1" applyFill="1" applyBorder="1" applyAlignment="1">
      <alignment horizontal="right"/>
    </xf>
    <xf numFmtId="164" fontId="23" fillId="2" borderId="16" xfId="0" applyNumberFormat="1" applyFont="1" applyFill="1" applyBorder="1" applyAlignment="1">
      <alignment horizontal="right"/>
    </xf>
    <xf numFmtId="0" fontId="7" fillId="0" borderId="0" xfId="0" applyFont="1" applyAlignment="1">
      <alignment vertical="top"/>
    </xf>
    <xf numFmtId="0" fontId="24" fillId="0" borderId="0" xfId="0" applyFont="1" applyAlignment="1">
      <alignment horizontal="left" vertical="center"/>
    </xf>
    <xf numFmtId="0" fontId="7" fillId="0" borderId="0" xfId="0" applyFont="1" applyAlignment="1">
      <alignment horizontal="left" vertical="center" wrapText="1"/>
    </xf>
    <xf numFmtId="3" fontId="24" fillId="0" borderId="0" xfId="0" applyNumberFormat="1" applyFont="1" applyAlignment="1">
      <alignment horizontal="left" vertical="center"/>
    </xf>
    <xf numFmtId="2" fontId="7" fillId="0" borderId="0" xfId="0" applyNumberFormat="1" applyFont="1" applyAlignment="1">
      <alignment horizontal="left" vertical="center"/>
    </xf>
    <xf numFmtId="0" fontId="1" fillId="0" borderId="37" xfId="0" applyFont="1" applyBorder="1" applyAlignment="1">
      <alignment horizontal="center" vertical="top" wrapText="1"/>
    </xf>
    <xf numFmtId="0" fontId="1" fillId="0" borderId="39" xfId="0" applyFont="1" applyBorder="1" applyAlignment="1">
      <alignment horizontal="center" vertical="top" wrapText="1"/>
    </xf>
    <xf numFmtId="0" fontId="5" fillId="0" borderId="35" xfId="0" applyFont="1" applyBorder="1" applyAlignment="1">
      <alignment horizontal="center" vertical="top" wrapText="1"/>
    </xf>
    <xf numFmtId="0" fontId="5" fillId="0" borderId="41" xfId="0" applyFont="1" applyBorder="1" applyAlignment="1">
      <alignment horizontal="center" vertical="top" wrapText="1"/>
    </xf>
    <xf numFmtId="0" fontId="21" fillId="0" borderId="35" xfId="0" applyFont="1" applyBorder="1" applyAlignment="1">
      <alignment horizontal="center" vertical="center"/>
    </xf>
    <xf numFmtId="3" fontId="6" fillId="0" borderId="41" xfId="0" applyNumberFormat="1" applyFont="1" applyBorder="1" applyAlignment="1">
      <alignment horizontal="center" vertical="center"/>
    </xf>
    <xf numFmtId="3" fontId="5" fillId="0" borderId="41" xfId="0" applyNumberFormat="1" applyFont="1" applyBorder="1" applyAlignment="1">
      <alignment horizontal="center"/>
    </xf>
    <xf numFmtId="0" fontId="6" fillId="0" borderId="34" xfId="0" applyFont="1" applyBorder="1" applyAlignment="1">
      <alignment horizontal="center" vertical="center"/>
    </xf>
    <xf numFmtId="0" fontId="6" fillId="0" borderId="3" xfId="0" applyFont="1" applyBorder="1" applyAlignment="1">
      <alignment horizontal="centerContinuous" vertical="center" wrapText="1"/>
    </xf>
    <xf numFmtId="0" fontId="6" fillId="0" borderId="5" xfId="0" applyFont="1" applyBorder="1" applyAlignment="1">
      <alignment horizontal="centerContinuous" vertical="center"/>
    </xf>
    <xf numFmtId="3" fontId="6" fillId="0" borderId="36" xfId="0" applyNumberFormat="1" applyFont="1" applyBorder="1" applyAlignment="1">
      <alignment horizontal="center" vertical="center"/>
    </xf>
    <xf numFmtId="0" fontId="5" fillId="0" borderId="34" xfId="0" applyFont="1" applyBorder="1" applyAlignment="1">
      <alignment horizontal="center" vertical="center"/>
    </xf>
    <xf numFmtId="3" fontId="5" fillId="0" borderId="36" xfId="0" applyNumberFormat="1" applyFont="1" applyBorder="1" applyAlignment="1">
      <alignment horizontal="center" vertical="center"/>
    </xf>
    <xf numFmtId="0" fontId="13" fillId="0" borderId="9" xfId="0" applyFont="1" applyBorder="1" applyAlignment="1">
      <alignment horizontal="center" vertical="center"/>
    </xf>
    <xf numFmtId="3" fontId="13" fillId="0" borderId="10" xfId="0" applyNumberFormat="1" applyFont="1" applyBorder="1" applyAlignment="1">
      <alignment horizontal="center" vertical="center" wrapText="1"/>
    </xf>
    <xf numFmtId="0" fontId="25" fillId="0" borderId="0" xfId="0" applyFont="1"/>
    <xf numFmtId="49" fontId="7" fillId="0" borderId="9"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3" fontId="13" fillId="0" borderId="28" xfId="0" applyNumberFormat="1" applyFont="1" applyBorder="1" applyAlignment="1">
      <alignment horizontal="center" vertical="center" wrapText="1"/>
    </xf>
    <xf numFmtId="0" fontId="6" fillId="0" borderId="3" xfId="0" applyFont="1" applyBorder="1" applyAlignment="1">
      <alignment horizontal="left" vertical="center"/>
    </xf>
    <xf numFmtId="3" fontId="6" fillId="0" borderId="36" xfId="0" applyNumberFormat="1" applyFont="1" applyBorder="1" applyAlignment="1">
      <alignment horizontal="center"/>
    </xf>
    <xf numFmtId="0" fontId="5" fillId="0" borderId="42" xfId="0" applyFont="1" applyBorder="1" applyAlignment="1">
      <alignment horizontal="left"/>
    </xf>
    <xf numFmtId="0" fontId="5" fillId="0" borderId="43" xfId="0" applyFont="1" applyBorder="1" applyAlignment="1">
      <alignment horizontal="right"/>
    </xf>
    <xf numFmtId="0" fontId="1" fillId="0" borderId="9" xfId="0" applyFont="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5" fillId="0" borderId="13" xfId="0" applyFont="1" applyBorder="1" applyAlignment="1">
      <alignment horizontal="center" vertical="top" wrapText="1"/>
    </xf>
    <xf numFmtId="3" fontId="6" fillId="0" borderId="10" xfId="0" applyNumberFormat="1" applyFont="1" applyBorder="1" applyAlignment="1">
      <alignment horizontal="center"/>
    </xf>
    <xf numFmtId="0" fontId="6" fillId="0" borderId="1" xfId="0" applyFont="1" applyBorder="1" applyAlignment="1">
      <alignment horizontal="left"/>
    </xf>
    <xf numFmtId="0" fontId="20" fillId="0" borderId="0" xfId="0" applyFont="1"/>
    <xf numFmtId="0" fontId="5" fillId="0" borderId="1" xfId="0" applyFont="1" applyBorder="1" applyAlignment="1">
      <alignment horizontal="center"/>
    </xf>
    <xf numFmtId="0" fontId="5" fillId="0" borderId="1" xfId="0" applyFont="1" applyBorder="1" applyAlignment="1">
      <alignment horizontal="left"/>
    </xf>
    <xf numFmtId="3" fontId="5" fillId="0" borderId="10" xfId="0" applyNumberFormat="1" applyFont="1" applyBorder="1" applyAlignment="1">
      <alignment horizontal="center"/>
    </xf>
    <xf numFmtId="164" fontId="5" fillId="0" borderId="13" xfId="0" applyNumberFormat="1"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164" fontId="6" fillId="0" borderId="10" xfId="0" applyNumberFormat="1" applyFont="1" applyBorder="1" applyAlignment="1">
      <alignment horizont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4" xfId="0" applyFont="1" applyBorder="1" applyAlignment="1">
      <alignment horizontal="left" vertical="center"/>
    </xf>
    <xf numFmtId="164" fontId="6" fillId="0" borderId="22" xfId="0" applyNumberFormat="1" applyFont="1" applyBorder="1" applyAlignment="1">
      <alignment horizontal="center"/>
    </xf>
    <xf numFmtId="0" fontId="13" fillId="0" borderId="0" xfId="0" applyFont="1" applyAlignment="1">
      <alignment horizontal="left"/>
    </xf>
    <xf numFmtId="0" fontId="18" fillId="0" borderId="0" xfId="0" applyFont="1" applyAlignment="1">
      <alignment horizontal="left"/>
    </xf>
    <xf numFmtId="3" fontId="18" fillId="0" borderId="0" xfId="0" applyNumberFormat="1" applyFont="1" applyAlignment="1">
      <alignment horizontal="left"/>
    </xf>
    <xf numFmtId="2" fontId="13" fillId="0" borderId="0" xfId="0" applyNumberFormat="1" applyFont="1" applyAlignment="1">
      <alignment horizontal="left"/>
    </xf>
    <xf numFmtId="0" fontId="21" fillId="0" borderId="0" xfId="0" applyFont="1"/>
    <xf numFmtId="0" fontId="22" fillId="0" borderId="0" xfId="0" applyFont="1"/>
    <xf numFmtId="0" fontId="26" fillId="0" borderId="0" xfId="0" applyFont="1"/>
    <xf numFmtId="0" fontId="6" fillId="0" borderId="35" xfId="0" applyFont="1" applyBorder="1" applyAlignment="1">
      <alignment horizontal="center"/>
    </xf>
    <xf numFmtId="3" fontId="6" fillId="0" borderId="41" xfId="0" applyNumberFormat="1" applyFont="1" applyBorder="1" applyAlignment="1">
      <alignment horizontal="center"/>
    </xf>
    <xf numFmtId="49" fontId="6" fillId="0" borderId="11" xfId="0" applyNumberFormat="1" applyFont="1" applyFill="1" applyBorder="1" applyAlignment="1">
      <alignment horizontal="center" vertical="center"/>
    </xf>
    <xf numFmtId="0" fontId="6" fillId="0" borderId="12" xfId="0" applyFont="1" applyFill="1" applyBorder="1" applyAlignment="1">
      <alignment horizontal="centerContinuous" vertical="center"/>
    </xf>
    <xf numFmtId="0" fontId="6" fillId="0" borderId="12" xfId="0" applyFont="1" applyFill="1" applyBorder="1" applyAlignment="1">
      <alignment horizontal="center" vertical="center" wrapText="1"/>
    </xf>
    <xf numFmtId="0" fontId="5" fillId="0" borderId="11" xfId="0" applyFont="1" applyFill="1" applyBorder="1" applyAlignment="1">
      <alignment horizontal="centerContinuous" vertical="center"/>
    </xf>
    <xf numFmtId="0" fontId="5" fillId="0" borderId="12" xfId="0" applyFont="1" applyFill="1" applyBorder="1" applyAlignment="1">
      <alignment horizontal="centerContinuous" vertical="center"/>
    </xf>
    <xf numFmtId="0" fontId="5" fillId="0" borderId="12" xfId="0" applyFont="1" applyFill="1" applyBorder="1" applyAlignment="1">
      <alignment horizontal="left" vertical="center" wrapText="1"/>
    </xf>
    <xf numFmtId="0" fontId="5" fillId="2" borderId="27" xfId="0" quotePrefix="1" applyFont="1" applyFill="1" applyBorder="1" applyAlignment="1">
      <alignment vertical="center" wrapText="1"/>
    </xf>
    <xf numFmtId="164" fontId="5" fillId="2" borderId="27" xfId="0" applyNumberFormat="1" applyFont="1" applyFill="1" applyBorder="1" applyAlignment="1">
      <alignment vertical="center"/>
    </xf>
    <xf numFmtId="164" fontId="5" fillId="2" borderId="27" xfId="0" applyNumberFormat="1" applyFont="1" applyFill="1" applyBorder="1" applyAlignment="1">
      <alignment horizontal="right" vertical="center"/>
    </xf>
    <xf numFmtId="164" fontId="8" fillId="2" borderId="27" xfId="0" applyNumberFormat="1" applyFont="1" applyFill="1" applyBorder="1" applyAlignment="1">
      <alignment horizontal="right" vertical="center" wrapText="1"/>
    </xf>
    <xf numFmtId="49" fontId="5" fillId="2" borderId="26"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49" fontId="5" fillId="2" borderId="23" xfId="0" applyNumberFormat="1" applyFont="1" applyFill="1" applyBorder="1" applyAlignment="1">
      <alignment horizontal="center" vertical="center" wrapText="1"/>
    </xf>
    <xf numFmtId="0" fontId="0" fillId="0" borderId="0" xfId="0" applyAlignment="1"/>
    <xf numFmtId="0" fontId="7" fillId="0" borderId="0" xfId="0" applyFont="1" applyFill="1" applyBorder="1" applyAlignment="1">
      <alignment horizontal="left"/>
    </xf>
    <xf numFmtId="0" fontId="5" fillId="0" borderId="40" xfId="0" applyFont="1" applyFill="1" applyBorder="1" applyAlignment="1">
      <alignment horizontal="left" vertical="center" wrapText="1"/>
    </xf>
    <xf numFmtId="164" fontId="15" fillId="0" borderId="0" xfId="0" applyNumberFormat="1" applyFont="1" applyAlignment="1">
      <alignment vertical="center"/>
    </xf>
    <xf numFmtId="164" fontId="8" fillId="2" borderId="1" xfId="0" applyNumberFormat="1" applyFont="1" applyFill="1" applyBorder="1" applyAlignment="1">
      <alignment horizontal="right" vertical="center" wrapText="1"/>
    </xf>
    <xf numFmtId="164" fontId="5" fillId="2" borderId="10"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7" xfId="0" quotePrefix="1" applyFont="1" applyFill="1" applyBorder="1" applyAlignment="1">
      <alignment vertical="center" wrapText="1"/>
    </xf>
    <xf numFmtId="164" fontId="8" fillId="2" borderId="7" xfId="0" applyNumberFormat="1" applyFont="1" applyFill="1" applyBorder="1" applyAlignment="1">
      <alignment vertical="center"/>
    </xf>
    <xf numFmtId="164" fontId="8" fillId="2" borderId="8" xfId="0" applyNumberFormat="1" applyFont="1" applyFill="1" applyBorder="1" applyAlignment="1">
      <alignment vertical="center"/>
    </xf>
    <xf numFmtId="49" fontId="7" fillId="0" borderId="0" xfId="0" applyNumberFormat="1" applyFont="1" applyBorder="1" applyAlignment="1">
      <alignment vertical="center"/>
    </xf>
    <xf numFmtId="49" fontId="13" fillId="0" borderId="35" xfId="0" applyNumberFormat="1" applyFont="1" applyBorder="1" applyAlignment="1">
      <alignment horizontal="center" vertical="center" wrapText="1"/>
    </xf>
    <xf numFmtId="3" fontId="13" fillId="0" borderId="41" xfId="0" applyNumberFormat="1" applyFont="1" applyBorder="1" applyAlignment="1">
      <alignment horizontal="center" vertical="center" wrapText="1"/>
    </xf>
    <xf numFmtId="0" fontId="7" fillId="0" borderId="34" xfId="0" applyFont="1" applyBorder="1" applyAlignment="1">
      <alignment horizontal="center" vertical="center"/>
    </xf>
    <xf numFmtId="0" fontId="5" fillId="2" borderId="18" xfId="0" quotePrefix="1" applyFont="1" applyFill="1" applyBorder="1" applyAlignment="1">
      <alignment vertical="center" wrapText="1"/>
    </xf>
    <xf numFmtId="49" fontId="7" fillId="0" borderId="17" xfId="0" applyNumberFormat="1" applyFont="1" applyFill="1" applyBorder="1" applyAlignment="1">
      <alignment horizontal="center" vertical="center"/>
    </xf>
    <xf numFmtId="49" fontId="7" fillId="0" borderId="29" xfId="0" applyNumberFormat="1" applyFont="1" applyFill="1" applyBorder="1" applyAlignment="1">
      <alignment horizontal="center" vertical="center"/>
    </xf>
    <xf numFmtId="0" fontId="7" fillId="0" borderId="18" xfId="0" applyFont="1" applyFill="1" applyBorder="1" applyAlignment="1">
      <alignment vertical="center" wrapText="1"/>
    </xf>
    <xf numFmtId="49" fontId="7" fillId="0" borderId="9"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7" fillId="0" borderId="1" xfId="0" applyFont="1" applyFill="1" applyBorder="1" applyAlignment="1">
      <alignment vertical="center" wrapText="1"/>
    </xf>
    <xf numFmtId="0" fontId="5" fillId="0" borderId="34" xfId="0" applyFont="1" applyFill="1" applyBorder="1" applyAlignment="1">
      <alignment horizontal="center" vertical="center"/>
    </xf>
    <xf numFmtId="0" fontId="6" fillId="0" borderId="34" xfId="0" applyFont="1" applyFill="1" applyBorder="1" applyAlignment="1">
      <alignment horizontal="center" vertical="center"/>
    </xf>
    <xf numFmtId="0" fontId="28" fillId="0" borderId="0" xfId="0" applyFont="1"/>
    <xf numFmtId="0" fontId="28" fillId="0" borderId="0" xfId="0" applyFont="1" applyAlignment="1">
      <alignment horizontal="center" vertical="center"/>
    </xf>
    <xf numFmtId="49" fontId="28" fillId="0" borderId="0" xfId="0" applyNumberFormat="1" applyFont="1" applyAlignment="1">
      <alignment horizontal="center" vertical="center"/>
    </xf>
    <xf numFmtId="0" fontId="9" fillId="0" borderId="0" xfId="0" applyFont="1"/>
    <xf numFmtId="0" fontId="28" fillId="0" borderId="0" xfId="0" applyFont="1" applyAlignment="1">
      <alignment vertical="center"/>
    </xf>
    <xf numFmtId="0" fontId="28" fillId="0" borderId="0" xfId="0" applyFont="1" applyAlignment="1">
      <alignment horizontal="right" vertical="center"/>
    </xf>
    <xf numFmtId="9" fontId="28" fillId="0" borderId="0" xfId="0" applyNumberFormat="1" applyFont="1" applyAlignment="1">
      <alignment horizontal="right" vertical="center"/>
    </xf>
    <xf numFmtId="0" fontId="7" fillId="0" borderId="0" xfId="0" applyFont="1" applyAlignment="1">
      <alignment vertical="center" wrapText="1"/>
    </xf>
    <xf numFmtId="0" fontId="7" fillId="0" borderId="0" xfId="0" applyFont="1"/>
    <xf numFmtId="9" fontId="7" fillId="0" borderId="0" xfId="0" applyNumberFormat="1" applyFont="1"/>
    <xf numFmtId="9" fontId="28" fillId="0" borderId="2" xfId="0" applyNumberFormat="1" applyFont="1" applyBorder="1" applyAlignment="1">
      <alignment horizontal="right" vertical="center"/>
    </xf>
    <xf numFmtId="0" fontId="7" fillId="0" borderId="4" xfId="0" applyFont="1" applyBorder="1"/>
    <xf numFmtId="9" fontId="28" fillId="0" borderId="4" xfId="0" applyNumberFormat="1" applyFont="1" applyBorder="1" applyAlignment="1">
      <alignment horizontal="right" vertical="center"/>
    </xf>
    <xf numFmtId="0" fontId="7" fillId="2" borderId="0" xfId="0" applyFont="1" applyFill="1" applyAlignment="1">
      <alignment vertical="center"/>
    </xf>
    <xf numFmtId="9" fontId="7" fillId="0" borderId="0" xfId="0" applyNumberFormat="1" applyFont="1" applyAlignment="1">
      <alignment vertical="center"/>
    </xf>
    <xf numFmtId="0" fontId="15" fillId="0" borderId="0" xfId="0" applyFont="1" applyAlignment="1">
      <alignment horizontal="center" vertical="center" wrapText="1"/>
    </xf>
    <xf numFmtId="49" fontId="15" fillId="0" borderId="0" xfId="0" applyNumberFormat="1" applyFont="1" applyAlignment="1">
      <alignment horizontal="center" vertical="center" wrapText="1"/>
    </xf>
    <xf numFmtId="9" fontId="7" fillId="0" borderId="0" xfId="0" applyNumberFormat="1" applyFont="1" applyAlignment="1">
      <alignment horizontal="right" vertical="center" wrapText="1"/>
    </xf>
    <xf numFmtId="49" fontId="7" fillId="0" borderId="47"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49" fontId="7" fillId="0" borderId="31" xfId="0" applyNumberFormat="1" applyFont="1" applyBorder="1" applyAlignment="1">
      <alignment horizontal="center" vertical="center" wrapText="1"/>
    </xf>
    <xf numFmtId="1" fontId="7" fillId="0" borderId="31" xfId="0" applyNumberFormat="1" applyFont="1" applyBorder="1" applyAlignment="1">
      <alignment horizontal="center" vertical="center" wrapText="1"/>
    </xf>
    <xf numFmtId="1" fontId="7" fillId="0" borderId="16" xfId="0" applyNumberFormat="1" applyFont="1" applyBorder="1" applyAlignment="1">
      <alignment horizontal="center" vertical="center" wrapText="1"/>
    </xf>
    <xf numFmtId="49" fontId="29" fillId="0" borderId="47" xfId="0" applyNumberFormat="1" applyFont="1" applyBorder="1" applyAlignment="1">
      <alignment horizontal="center" vertical="center"/>
    </xf>
    <xf numFmtId="49" fontId="29" fillId="0" borderId="15" xfId="0" applyNumberFormat="1" applyFont="1" applyBorder="1" applyAlignment="1">
      <alignment horizontal="center" vertical="center"/>
    </xf>
    <xf numFmtId="49" fontId="29" fillId="0" borderId="31" xfId="0" applyNumberFormat="1" applyFont="1" applyBorder="1" applyAlignment="1">
      <alignment horizontal="center" vertical="center"/>
    </xf>
    <xf numFmtId="0" fontId="15" fillId="0" borderId="15" xfId="0" applyFont="1" applyBorder="1" applyAlignment="1">
      <alignment vertical="center" wrapText="1"/>
    </xf>
    <xf numFmtId="0" fontId="29" fillId="3" borderId="15" xfId="0" applyFont="1" applyFill="1" applyBorder="1" applyAlignment="1">
      <alignment horizontal="center" vertical="center" wrapText="1"/>
    </xf>
    <xf numFmtId="49" fontId="29" fillId="3" borderId="15" xfId="0" applyNumberFormat="1" applyFont="1" applyFill="1" applyBorder="1" applyAlignment="1">
      <alignment horizontal="center" vertical="center" wrapText="1"/>
    </xf>
    <xf numFmtId="3" fontId="29" fillId="3" borderId="15" xfId="0" applyNumberFormat="1" applyFont="1" applyFill="1" applyBorder="1" applyAlignment="1">
      <alignment horizontal="right" vertical="center" wrapText="1"/>
    </xf>
    <xf numFmtId="3" fontId="29" fillId="3" borderId="31" xfId="0" applyNumberFormat="1" applyFont="1" applyFill="1" applyBorder="1" applyAlignment="1">
      <alignment horizontal="right" vertical="center" wrapText="1"/>
    </xf>
    <xf numFmtId="167" fontId="29" fillId="2" borderId="31" xfId="0" applyNumberFormat="1" applyFont="1" applyFill="1" applyBorder="1" applyAlignment="1">
      <alignment horizontal="right" vertical="center" wrapText="1"/>
    </xf>
    <xf numFmtId="9" fontId="29" fillId="3" borderId="16" xfId="0" applyNumberFormat="1" applyFont="1" applyFill="1" applyBorder="1" applyAlignment="1">
      <alignment horizontal="right" vertical="center" wrapText="1"/>
    </xf>
    <xf numFmtId="49" fontId="33" fillId="0" borderId="26" xfId="0" applyNumberFormat="1" applyFont="1" applyBorder="1" applyAlignment="1">
      <alignment horizontal="center" vertical="center"/>
    </xf>
    <xf numFmtId="49" fontId="33" fillId="0" borderId="27" xfId="0" applyNumberFormat="1" applyFont="1" applyBorder="1" applyAlignment="1">
      <alignment horizontal="center" vertical="center"/>
    </xf>
    <xf numFmtId="0" fontId="34" fillId="0" borderId="27" xfId="0" applyFont="1" applyBorder="1" applyAlignment="1">
      <alignment vertical="center" wrapText="1"/>
    </xf>
    <xf numFmtId="0" fontId="29" fillId="3" borderId="27" xfId="0" applyFont="1" applyFill="1" applyBorder="1" applyAlignment="1">
      <alignment horizontal="center" vertical="center" wrapText="1"/>
    </xf>
    <xf numFmtId="49" fontId="29" fillId="3" borderId="27" xfId="0" applyNumberFormat="1" applyFont="1" applyFill="1" applyBorder="1" applyAlignment="1">
      <alignment horizontal="center" vertical="center" wrapText="1"/>
    </xf>
    <xf numFmtId="3" fontId="33" fillId="3" borderId="27" xfId="0" applyNumberFormat="1" applyFont="1" applyFill="1" applyBorder="1" applyAlignment="1">
      <alignment horizontal="right" vertical="center" wrapText="1"/>
    </xf>
    <xf numFmtId="3" fontId="33" fillId="3" borderId="32" xfId="0" applyNumberFormat="1" applyFont="1" applyFill="1" applyBorder="1" applyAlignment="1">
      <alignment horizontal="right" vertical="center" wrapText="1"/>
    </xf>
    <xf numFmtId="167" fontId="33" fillId="0" borderId="32" xfId="1" applyNumberFormat="1" applyFont="1" applyFill="1" applyBorder="1" applyAlignment="1">
      <alignment horizontal="right" vertical="center" wrapText="1"/>
    </xf>
    <xf numFmtId="9" fontId="33" fillId="3" borderId="28" xfId="0" applyNumberFormat="1" applyFont="1" applyFill="1" applyBorder="1" applyAlignment="1">
      <alignment horizontal="right" vertical="center" wrapText="1"/>
    </xf>
    <xf numFmtId="49" fontId="35" fillId="0" borderId="9" xfId="0" applyNumberFormat="1" applyFont="1" applyBorder="1" applyAlignment="1">
      <alignment horizontal="center" vertical="center"/>
    </xf>
    <xf numFmtId="49" fontId="35" fillId="0" borderId="1" xfId="0" applyNumberFormat="1" applyFont="1" applyBorder="1" applyAlignment="1">
      <alignment horizontal="center" vertical="center"/>
    </xf>
    <xf numFmtId="0" fontId="35" fillId="3" borderId="1" xfId="0" applyFont="1" applyFill="1" applyBorder="1" applyAlignment="1">
      <alignment horizontal="left" vertical="center" wrapText="1"/>
    </xf>
    <xf numFmtId="49" fontId="35" fillId="0" borderId="1" xfId="0" applyNumberFormat="1" applyFont="1" applyBorder="1" applyAlignment="1">
      <alignment horizontal="center" vertical="center" wrapText="1"/>
    </xf>
    <xf numFmtId="3" fontId="35" fillId="0" borderId="1" xfId="0" applyNumberFormat="1" applyFont="1" applyBorder="1" applyAlignment="1">
      <alignment horizontal="right" vertical="center" wrapText="1"/>
    </xf>
    <xf numFmtId="167" fontId="35" fillId="0" borderId="1" xfId="1" applyNumberFormat="1" applyFont="1" applyFill="1" applyBorder="1" applyAlignment="1">
      <alignment horizontal="right" vertical="center" wrapText="1"/>
    </xf>
    <xf numFmtId="9" fontId="35" fillId="0" borderId="10" xfId="0" applyNumberFormat="1" applyFont="1" applyBorder="1" applyAlignment="1">
      <alignment horizontal="right"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5" fillId="3" borderId="27" xfId="0" applyFont="1" applyFill="1" applyBorder="1" applyAlignment="1">
      <alignment horizontal="left" vertical="center" wrapText="1"/>
    </xf>
    <xf numFmtId="49" fontId="35" fillId="0" borderId="27" xfId="0" applyNumberFormat="1" applyFont="1" applyBorder="1" applyAlignment="1">
      <alignment horizontal="center" vertical="center" wrapText="1"/>
    </xf>
    <xf numFmtId="3" fontId="35" fillId="0" borderId="27" xfId="0" applyNumberFormat="1" applyFont="1" applyBorder="1" applyAlignment="1">
      <alignment horizontal="right" vertical="center" wrapText="1"/>
    </xf>
    <xf numFmtId="167" fontId="35" fillId="0" borderId="27" xfId="1" applyNumberFormat="1" applyFont="1" applyFill="1" applyBorder="1" applyAlignment="1">
      <alignment horizontal="right" vertical="center" wrapText="1"/>
    </xf>
    <xf numFmtId="9" fontId="35" fillId="0" borderId="28" xfId="0" applyNumberFormat="1" applyFont="1" applyBorder="1" applyAlignment="1">
      <alignment horizontal="right"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35" fillId="3" borderId="15" xfId="0" applyFont="1" applyFill="1" applyBorder="1" applyAlignment="1">
      <alignment horizontal="left" vertical="center" wrapText="1"/>
    </xf>
    <xf numFmtId="49" fontId="35" fillId="0" borderId="15" xfId="0" applyNumberFormat="1" applyFont="1" applyBorder="1" applyAlignment="1">
      <alignment horizontal="center" vertical="center" wrapText="1"/>
    </xf>
    <xf numFmtId="3" fontId="35" fillId="0" borderId="15" xfId="0" applyNumberFormat="1" applyFont="1" applyBorder="1" applyAlignment="1">
      <alignment horizontal="right" vertical="center" wrapText="1"/>
    </xf>
    <xf numFmtId="167" fontId="29" fillId="0" borderId="15" xfId="1" applyNumberFormat="1" applyFont="1" applyFill="1" applyBorder="1" applyAlignment="1">
      <alignment horizontal="right" vertical="center" wrapText="1"/>
    </xf>
    <xf numFmtId="9" fontId="35" fillId="0" borderId="16" xfId="0" applyNumberFormat="1" applyFont="1" applyBorder="1" applyAlignment="1">
      <alignment horizontal="right" vertical="center" wrapText="1"/>
    </xf>
    <xf numFmtId="0" fontId="37" fillId="2" borderId="17" xfId="0" applyFont="1" applyFill="1" applyBorder="1" applyAlignment="1">
      <alignment horizontal="center" vertical="center" wrapText="1"/>
    </xf>
    <xf numFmtId="0" fontId="37" fillId="2" borderId="18" xfId="0" applyFont="1" applyFill="1" applyBorder="1" applyAlignment="1">
      <alignment horizontal="center" vertical="center" wrapText="1"/>
    </xf>
    <xf numFmtId="0" fontId="38" fillId="2" borderId="18" xfId="0" quotePrefix="1" applyFont="1" applyFill="1" applyBorder="1" applyAlignment="1">
      <alignment vertical="center" wrapText="1"/>
    </xf>
    <xf numFmtId="0" fontId="35" fillId="3" borderId="18" xfId="0" applyFont="1" applyFill="1" applyBorder="1" applyAlignment="1">
      <alignment horizontal="left" vertical="center" wrapText="1"/>
    </xf>
    <xf numFmtId="49" fontId="35" fillId="0" borderId="18" xfId="0" applyNumberFormat="1" applyFont="1" applyBorder="1" applyAlignment="1">
      <alignment horizontal="center" vertical="center" wrapText="1"/>
    </xf>
    <xf numFmtId="3" fontId="35" fillId="0" borderId="18" xfId="0" applyNumberFormat="1" applyFont="1" applyBorder="1" applyAlignment="1">
      <alignment horizontal="right" vertical="center" wrapText="1"/>
    </xf>
    <xf numFmtId="167" fontId="33" fillId="0" borderId="18" xfId="1" applyNumberFormat="1" applyFont="1" applyFill="1" applyBorder="1" applyAlignment="1">
      <alignment horizontal="right" vertical="center" wrapText="1"/>
    </xf>
    <xf numFmtId="9" fontId="35" fillId="0" borderId="19" xfId="0" applyNumberFormat="1" applyFont="1" applyBorder="1" applyAlignment="1">
      <alignment horizontal="right"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5" fillId="3" borderId="12" xfId="0" applyFont="1" applyFill="1" applyBorder="1" applyAlignment="1">
      <alignment horizontal="left" vertical="center" wrapText="1"/>
    </xf>
    <xf numFmtId="0" fontId="33" fillId="3" borderId="18" xfId="0" applyFont="1" applyFill="1" applyBorder="1" applyAlignment="1">
      <alignment horizontal="left" vertical="center" wrapText="1"/>
    </xf>
    <xf numFmtId="49" fontId="33" fillId="0" borderId="18" xfId="0" applyNumberFormat="1" applyFont="1" applyBorder="1" applyAlignment="1">
      <alignment horizontal="center" vertical="center" wrapText="1"/>
    </xf>
    <xf numFmtId="3" fontId="33" fillId="0" borderId="18" xfId="0" applyNumberFormat="1" applyFont="1" applyBorder="1" applyAlignment="1">
      <alignment horizontal="right" vertical="center" wrapText="1"/>
    </xf>
    <xf numFmtId="9" fontId="33" fillId="0" borderId="19" xfId="0" applyNumberFormat="1" applyFont="1" applyBorder="1" applyAlignment="1">
      <alignment horizontal="right" vertical="center" wrapText="1"/>
    </xf>
    <xf numFmtId="49" fontId="33" fillId="0" borderId="1" xfId="0" applyNumberFormat="1" applyFont="1" applyBorder="1" applyAlignment="1">
      <alignment horizontal="center" vertical="center" wrapText="1"/>
    </xf>
    <xf numFmtId="3" fontId="33" fillId="0" borderId="1" xfId="0" applyNumberFormat="1" applyFont="1" applyBorder="1" applyAlignment="1">
      <alignment horizontal="right" vertical="center" wrapText="1"/>
    </xf>
    <xf numFmtId="9" fontId="33" fillId="0" borderId="10" xfId="0" applyNumberFormat="1" applyFont="1" applyBorder="1" applyAlignment="1">
      <alignment horizontal="right" vertical="center" wrapText="1"/>
    </xf>
    <xf numFmtId="167" fontId="35" fillId="0" borderId="12" xfId="1" applyNumberFormat="1" applyFont="1" applyFill="1" applyBorder="1" applyAlignment="1">
      <alignment horizontal="right" vertical="center" wrapText="1"/>
    </xf>
    <xf numFmtId="49" fontId="29" fillId="0" borderId="14" xfId="0" applyNumberFormat="1" applyFont="1" applyBorder="1" applyAlignment="1">
      <alignment horizontal="center" vertical="center"/>
    </xf>
    <xf numFmtId="49" fontId="15" fillId="0" borderId="15" xfId="0" applyNumberFormat="1" applyFont="1" applyBorder="1" applyAlignment="1">
      <alignment vertical="center" wrapText="1"/>
    </xf>
    <xf numFmtId="0" fontId="29" fillId="3" borderId="15" xfId="0" applyFont="1" applyFill="1" applyBorder="1" applyAlignment="1">
      <alignment horizontal="left" vertical="center"/>
    </xf>
    <xf numFmtId="0" fontId="29" fillId="3" borderId="15" xfId="0" applyFont="1" applyFill="1" applyBorder="1" applyAlignment="1">
      <alignment horizontal="right" vertical="center" wrapText="1"/>
    </xf>
    <xf numFmtId="167" fontId="29" fillId="3" borderId="15" xfId="1" applyNumberFormat="1" applyFont="1" applyFill="1" applyBorder="1" applyAlignment="1">
      <alignment horizontal="right" vertical="center" wrapText="1"/>
    </xf>
    <xf numFmtId="49" fontId="33" fillId="0" borderId="17" xfId="0" applyNumberFormat="1" applyFont="1" applyBorder="1" applyAlignment="1">
      <alignment horizontal="center" vertical="center"/>
    </xf>
    <xf numFmtId="49" fontId="33" fillId="0" borderId="18" xfId="0" applyNumberFormat="1" applyFont="1" applyBorder="1" applyAlignment="1">
      <alignment horizontal="center" vertical="center"/>
    </xf>
    <xf numFmtId="49" fontId="34" fillId="0" borderId="18" xfId="0" applyNumberFormat="1" applyFont="1" applyBorder="1" applyAlignment="1">
      <alignment vertical="center" wrapText="1"/>
    </xf>
    <xf numFmtId="0" fontId="29" fillId="3" borderId="18" xfId="0" applyFont="1" applyFill="1" applyBorder="1" applyAlignment="1">
      <alignment horizontal="left" vertical="center" wrapText="1"/>
    </xf>
    <xf numFmtId="49" fontId="29" fillId="3" borderId="18" xfId="0" applyNumberFormat="1" applyFont="1" applyFill="1" applyBorder="1" applyAlignment="1">
      <alignment horizontal="center" vertical="center" wrapText="1"/>
    </xf>
    <xf numFmtId="0" fontId="29" fillId="3" borderId="18" xfId="0" applyFont="1" applyFill="1" applyBorder="1" applyAlignment="1">
      <alignment horizontal="right" vertical="center" wrapText="1"/>
    </xf>
    <xf numFmtId="167" fontId="33" fillId="3" borderId="18" xfId="1" applyNumberFormat="1" applyFont="1" applyFill="1" applyBorder="1" applyAlignment="1">
      <alignment horizontal="right" vertical="center" wrapText="1"/>
    </xf>
    <xf numFmtId="9" fontId="29" fillId="3" borderId="19" xfId="0" applyNumberFormat="1" applyFont="1" applyFill="1" applyBorder="1" applyAlignment="1">
      <alignment horizontal="right" vertical="center" wrapText="1"/>
    </xf>
    <xf numFmtId="3" fontId="34" fillId="0" borderId="18" xfId="0" applyNumberFormat="1" applyFont="1" applyBorder="1" applyAlignment="1">
      <alignment vertical="center" wrapText="1"/>
    </xf>
    <xf numFmtId="0" fontId="29" fillId="0" borderId="18" xfId="0" applyFont="1" applyBorder="1" applyAlignment="1">
      <alignment horizontal="left" vertical="center" wrapText="1"/>
    </xf>
    <xf numFmtId="49" fontId="29" fillId="0" borderId="18" xfId="0" applyNumberFormat="1" applyFont="1" applyBorder="1" applyAlignment="1">
      <alignment horizontal="center" vertical="center" wrapText="1"/>
    </xf>
    <xf numFmtId="3" fontId="33" fillId="0" borderId="18" xfId="0" applyNumberFormat="1" applyFont="1" applyBorder="1" applyAlignment="1">
      <alignment horizontal="right" vertical="center"/>
    </xf>
    <xf numFmtId="9" fontId="33" fillId="0" borderId="19" xfId="0" applyNumberFormat="1" applyFont="1" applyBorder="1" applyAlignment="1">
      <alignment horizontal="right" vertical="center"/>
    </xf>
    <xf numFmtId="3" fontId="35" fillId="2" borderId="1" xfId="0" applyNumberFormat="1" applyFont="1" applyFill="1" applyBorder="1" applyAlignment="1">
      <alignment horizontal="left" vertical="center" wrapText="1"/>
    </xf>
    <xf numFmtId="3" fontId="35" fillId="2" borderId="1" xfId="0" applyNumberFormat="1" applyFont="1" applyFill="1" applyBorder="1" applyAlignment="1">
      <alignment horizontal="right" vertical="center"/>
    </xf>
    <xf numFmtId="3" fontId="35" fillId="2" borderId="1" xfId="0" applyNumberFormat="1" applyFont="1" applyFill="1" applyBorder="1" applyAlignment="1">
      <alignment horizontal="right" vertical="center" wrapText="1"/>
    </xf>
    <xf numFmtId="9" fontId="35" fillId="2" borderId="1" xfId="4" applyFont="1" applyFill="1" applyBorder="1" applyAlignment="1">
      <alignment horizontal="right" vertical="center" wrapText="1"/>
    </xf>
    <xf numFmtId="9" fontId="35" fillId="2" borderId="10" xfId="0" applyNumberFormat="1" applyFont="1" applyFill="1" applyBorder="1" applyAlignment="1">
      <alignment horizontal="right" vertical="center" wrapText="1"/>
    </xf>
    <xf numFmtId="3" fontId="35" fillId="2" borderId="3" xfId="0" applyNumberFormat="1" applyFont="1" applyFill="1" applyBorder="1" applyAlignment="1">
      <alignment horizontal="left" vertical="center" wrapText="1"/>
    </xf>
    <xf numFmtId="3" fontId="35" fillId="2" borderId="40" xfId="0" applyNumberFormat="1" applyFont="1" applyFill="1" applyBorder="1" applyAlignment="1">
      <alignment horizontal="right" vertical="center" wrapText="1"/>
    </xf>
    <xf numFmtId="3" fontId="35" fillId="2" borderId="12" xfId="0" applyNumberFormat="1" applyFont="1" applyFill="1" applyBorder="1" applyAlignment="1">
      <alignment horizontal="right" vertical="center" wrapText="1"/>
    </xf>
    <xf numFmtId="3" fontId="33" fillId="2" borderId="1" xfId="0" applyNumberFormat="1" applyFont="1" applyFill="1" applyBorder="1" applyAlignment="1">
      <alignment horizontal="left" vertical="center" wrapText="1"/>
    </xf>
    <xf numFmtId="3" fontId="33" fillId="2" borderId="3" xfId="0" applyNumberFormat="1" applyFont="1" applyFill="1" applyBorder="1" applyAlignment="1">
      <alignment horizontal="right" vertical="center" wrapText="1"/>
    </xf>
    <xf numFmtId="3" fontId="33" fillId="2" borderId="3" xfId="0" applyNumberFormat="1" applyFont="1" applyFill="1" applyBorder="1" applyAlignment="1">
      <alignment horizontal="center" vertical="center" wrapText="1"/>
    </xf>
    <xf numFmtId="9" fontId="33" fillId="2" borderId="1" xfId="0" applyNumberFormat="1" applyFont="1" applyFill="1" applyBorder="1" applyAlignment="1">
      <alignment horizontal="center" vertical="center"/>
    </xf>
    <xf numFmtId="3" fontId="33" fillId="2" borderId="1" xfId="0" applyNumberFormat="1" applyFont="1" applyFill="1" applyBorder="1" applyAlignment="1">
      <alignment horizontal="center" vertical="center" wrapText="1"/>
    </xf>
    <xf numFmtId="9" fontId="33" fillId="2" borderId="10" xfId="0" applyNumberFormat="1" applyFont="1" applyFill="1" applyBorder="1" applyAlignment="1">
      <alignment horizontal="right" vertical="center" wrapText="1"/>
    </xf>
    <xf numFmtId="0" fontId="3" fillId="0" borderId="1" xfId="0" applyFont="1" applyBorder="1" applyAlignment="1">
      <alignment horizontal="left" vertical="center" wrapText="1"/>
    </xf>
    <xf numFmtId="3" fontId="35" fillId="2" borderId="1" xfId="0" applyNumberFormat="1" applyFont="1" applyFill="1" applyBorder="1" applyAlignment="1">
      <alignment vertical="center"/>
    </xf>
    <xf numFmtId="3" fontId="35" fillId="0" borderId="1" xfId="0" applyNumberFormat="1" applyFont="1" applyBorder="1" applyAlignment="1">
      <alignment horizontal="right" vertical="center"/>
    </xf>
    <xf numFmtId="9" fontId="35" fillId="0" borderId="1" xfId="0" applyNumberFormat="1" applyFont="1" applyBorder="1" applyAlignment="1">
      <alignment horizontal="right" vertical="center"/>
    </xf>
    <xf numFmtId="3" fontId="3" fillId="0" borderId="1" xfId="0" applyNumberFormat="1" applyFont="1" applyBorder="1" applyAlignment="1">
      <alignment vertical="center"/>
    </xf>
    <xf numFmtId="9" fontId="35" fillId="0" borderId="10" xfId="0" applyNumberFormat="1" applyFont="1" applyBorder="1" applyAlignment="1">
      <alignment horizontal="right" vertical="center"/>
    </xf>
    <xf numFmtId="0" fontId="37" fillId="0" borderId="1" xfId="0" applyFont="1" applyBorder="1" applyAlignment="1">
      <alignment horizontal="left" vertical="center" wrapText="1"/>
    </xf>
    <xf numFmtId="3" fontId="33" fillId="0" borderId="1" xfId="0" applyNumberFormat="1" applyFont="1" applyBorder="1" applyAlignment="1">
      <alignment vertical="center"/>
    </xf>
    <xf numFmtId="3" fontId="33" fillId="2" borderId="1" xfId="0" applyNumberFormat="1" applyFont="1" applyFill="1" applyBorder="1" applyAlignment="1">
      <alignment horizontal="right" vertical="center"/>
    </xf>
    <xf numFmtId="9" fontId="33" fillId="0" borderId="1" xfId="0" applyNumberFormat="1" applyFont="1" applyBorder="1" applyAlignment="1">
      <alignment horizontal="center" vertical="center"/>
    </xf>
    <xf numFmtId="9" fontId="33" fillId="0" borderId="10" xfId="0" applyNumberFormat="1" applyFont="1" applyBorder="1" applyAlignment="1">
      <alignment horizontal="right" vertical="center"/>
    </xf>
    <xf numFmtId="0" fontId="18" fillId="0" borderId="0" xfId="0" applyFont="1"/>
    <xf numFmtId="0" fontId="35" fillId="2" borderId="1" xfId="0" applyFont="1" applyFill="1" applyBorder="1" applyAlignment="1">
      <alignment vertical="center" wrapText="1"/>
    </xf>
    <xf numFmtId="9" fontId="35" fillId="2" borderId="1" xfId="0" applyNumberFormat="1" applyFont="1" applyFill="1" applyBorder="1" applyAlignment="1">
      <alignment horizontal="right" vertical="center" wrapText="1"/>
    </xf>
    <xf numFmtId="164" fontId="3" fillId="2" borderId="1" xfId="0" applyNumberFormat="1" applyFont="1" applyFill="1" applyBorder="1" applyAlignment="1">
      <alignment horizontal="right" vertical="center"/>
    </xf>
    <xf numFmtId="9" fontId="35" fillId="2" borderId="10" xfId="0" applyNumberFormat="1" applyFont="1" applyFill="1" applyBorder="1" applyAlignment="1">
      <alignment horizontal="right" vertical="center"/>
    </xf>
    <xf numFmtId="0" fontId="33" fillId="2" borderId="1" xfId="0" applyFont="1" applyFill="1" applyBorder="1" applyAlignment="1">
      <alignment vertical="center" wrapText="1"/>
    </xf>
    <xf numFmtId="3" fontId="33" fillId="2" borderId="1" xfId="0" applyNumberFormat="1" applyFont="1" applyFill="1" applyBorder="1" applyAlignment="1">
      <alignment horizontal="right" vertical="center" wrapText="1"/>
    </xf>
    <xf numFmtId="9" fontId="33" fillId="2" borderId="1" xfId="0" applyNumberFormat="1" applyFont="1" applyFill="1" applyBorder="1" applyAlignment="1">
      <alignment horizontal="center" vertical="center" wrapText="1"/>
    </xf>
    <xf numFmtId="9" fontId="33" fillId="2" borderId="10" xfId="0" applyNumberFormat="1" applyFont="1" applyFill="1" applyBorder="1" applyAlignment="1">
      <alignment horizontal="right" vertical="center"/>
    </xf>
    <xf numFmtId="0" fontId="35" fillId="0" borderId="1" xfId="0" applyFont="1" applyBorder="1" applyAlignment="1">
      <alignment vertical="center" wrapText="1"/>
    </xf>
    <xf numFmtId="3" fontId="35" fillId="0" borderId="1" xfId="0" applyNumberFormat="1" applyFont="1" applyBorder="1" applyAlignment="1">
      <alignment vertical="center"/>
    </xf>
    <xf numFmtId="3" fontId="35" fillId="0" borderId="1" xfId="0" applyNumberFormat="1" applyFont="1" applyBorder="1" applyAlignment="1">
      <alignment vertical="center" wrapText="1"/>
    </xf>
    <xf numFmtId="9" fontId="35" fillId="0" borderId="1" xfId="0" applyNumberFormat="1" applyFont="1" applyBorder="1" applyAlignment="1">
      <alignment vertical="center" wrapText="1"/>
    </xf>
    <xf numFmtId="3" fontId="33" fillId="0" borderId="1" xfId="0" applyNumberFormat="1" applyFont="1" applyBorder="1" applyAlignment="1">
      <alignment vertical="center" wrapText="1"/>
    </xf>
    <xf numFmtId="9" fontId="33" fillId="0" borderId="1" xfId="0" applyNumberFormat="1" applyFont="1" applyBorder="1" applyAlignment="1">
      <alignment vertical="center" wrapText="1"/>
    </xf>
    <xf numFmtId="3" fontId="33" fillId="0" borderId="1" xfId="0" applyNumberFormat="1" applyFont="1" applyBorder="1" applyAlignment="1">
      <alignment horizontal="right" vertical="center"/>
    </xf>
    <xf numFmtId="3" fontId="35" fillId="2" borderId="1" xfId="0" applyNumberFormat="1" applyFont="1" applyFill="1" applyBorder="1" applyAlignment="1">
      <alignment vertical="center" wrapText="1"/>
    </xf>
    <xf numFmtId="168" fontId="35" fillId="0" borderId="1" xfId="0" applyNumberFormat="1" applyFont="1" applyBorder="1" applyAlignment="1">
      <alignment vertical="center" wrapText="1"/>
    </xf>
    <xf numFmtId="3" fontId="33" fillId="2" borderId="1" xfId="0" applyNumberFormat="1" applyFont="1" applyFill="1" applyBorder="1" applyAlignment="1">
      <alignment vertical="center" wrapText="1"/>
    </xf>
    <xf numFmtId="9" fontId="33" fillId="0" borderId="1" xfId="0" applyNumberFormat="1" applyFont="1" applyBorder="1" applyAlignment="1">
      <alignment horizontal="center" vertical="center" wrapText="1"/>
    </xf>
    <xf numFmtId="3" fontId="35" fillId="2" borderId="5" xfId="0" applyNumberFormat="1" applyFont="1" applyFill="1" applyBorder="1" applyAlignment="1">
      <alignment horizontal="left" vertical="center" wrapText="1"/>
    </xf>
    <xf numFmtId="9" fontId="35" fillId="0" borderId="1" xfId="0" applyNumberFormat="1" applyFont="1" applyBorder="1" applyAlignment="1">
      <alignment horizontal="center" vertical="center" wrapText="1"/>
    </xf>
    <xf numFmtId="0" fontId="33" fillId="0" borderId="1" xfId="0" applyFont="1" applyBorder="1" applyAlignment="1">
      <alignment horizontal="left" vertical="center" wrapText="1"/>
    </xf>
    <xf numFmtId="0" fontId="3" fillId="2" borderId="1" xfId="0" applyFont="1" applyFill="1" applyBorder="1" applyAlignment="1">
      <alignment vertical="center" wrapText="1"/>
    </xf>
    <xf numFmtId="9" fontId="35" fillId="2" borderId="1" xfId="0" applyNumberFormat="1" applyFont="1" applyFill="1" applyBorder="1" applyAlignment="1">
      <alignment horizontal="right" vertical="center"/>
    </xf>
    <xf numFmtId="9" fontId="33" fillId="2" borderId="1" xfId="0" applyNumberFormat="1" applyFont="1" applyFill="1" applyBorder="1" applyAlignment="1">
      <alignment horizontal="right" vertical="center"/>
    </xf>
    <xf numFmtId="0" fontId="35" fillId="2" borderId="1" xfId="0" applyFont="1" applyFill="1" applyBorder="1" applyAlignment="1">
      <alignment horizontal="left" vertical="center" wrapText="1"/>
    </xf>
    <xf numFmtId="3" fontId="33" fillId="2" borderId="12" xfId="0" applyNumberFormat="1" applyFont="1" applyFill="1" applyBorder="1" applyAlignment="1">
      <alignment horizontal="right" vertical="center" wrapText="1"/>
    </xf>
    <xf numFmtId="3" fontId="33" fillId="2" borderId="12" xfId="0" applyNumberFormat="1" applyFont="1" applyFill="1" applyBorder="1" applyAlignment="1">
      <alignment horizontal="right" vertical="center"/>
    </xf>
    <xf numFmtId="9" fontId="33" fillId="2" borderId="12" xfId="0" applyNumberFormat="1" applyFont="1" applyFill="1" applyBorder="1" applyAlignment="1">
      <alignment horizontal="right" vertical="center" wrapText="1"/>
    </xf>
    <xf numFmtId="0" fontId="33" fillId="2" borderId="1" xfId="0" applyFont="1" applyFill="1" applyBorder="1" applyAlignment="1">
      <alignment horizontal="left" vertical="center" wrapText="1"/>
    </xf>
    <xf numFmtId="9" fontId="33" fillId="2" borderId="1" xfId="0" applyNumberFormat="1" applyFont="1" applyFill="1" applyBorder="1" applyAlignment="1">
      <alignment horizontal="right" vertical="center" wrapText="1"/>
    </xf>
    <xf numFmtId="0" fontId="35" fillId="0" borderId="18" xfId="0" applyFont="1" applyBorder="1" applyAlignment="1">
      <alignment vertical="center" wrapText="1"/>
    </xf>
    <xf numFmtId="3" fontId="33" fillId="2" borderId="18" xfId="0" applyNumberFormat="1" applyFont="1" applyFill="1" applyBorder="1" applyAlignment="1">
      <alignment vertical="center"/>
    </xf>
    <xf numFmtId="3" fontId="33" fillId="0" borderId="18" xfId="0" applyNumberFormat="1" applyFont="1" applyBorder="1" applyAlignment="1">
      <alignment vertical="center" wrapText="1"/>
    </xf>
    <xf numFmtId="168" fontId="33" fillId="0" borderId="18" xfId="0" applyNumberFormat="1" applyFont="1" applyBorder="1" applyAlignment="1">
      <alignment vertical="center" wrapText="1"/>
    </xf>
    <xf numFmtId="168" fontId="33" fillId="0" borderId="19" xfId="0" applyNumberFormat="1" applyFont="1" applyBorder="1" applyAlignment="1">
      <alignment horizontal="right" vertical="center"/>
    </xf>
    <xf numFmtId="3" fontId="33" fillId="0" borderId="12" xfId="0" applyNumberFormat="1" applyFont="1" applyBorder="1" applyAlignment="1">
      <alignment vertical="center" wrapText="1"/>
    </xf>
    <xf numFmtId="167" fontId="28" fillId="0" borderId="0" xfId="0" applyNumberFormat="1" applyFont="1"/>
    <xf numFmtId="0" fontId="29" fillId="0" borderId="0" xfId="0" applyFont="1" applyAlignment="1">
      <alignment horizontal="center" vertical="center"/>
    </xf>
    <xf numFmtId="49" fontId="29" fillId="3" borderId="0" xfId="0" applyNumberFormat="1" applyFont="1" applyFill="1" applyAlignment="1">
      <alignment horizontal="center" vertical="center" wrapText="1"/>
    </xf>
    <xf numFmtId="0" fontId="29" fillId="3" borderId="0" xfId="0" applyFont="1" applyFill="1" applyAlignment="1">
      <alignment horizontal="center" vertical="center" wrapText="1"/>
    </xf>
    <xf numFmtId="0" fontId="41" fillId="3" borderId="0" xfId="0" applyFont="1" applyFill="1" applyAlignment="1">
      <alignment horizontal="center" vertical="center" wrapText="1"/>
    </xf>
    <xf numFmtId="49" fontId="41" fillId="3" borderId="0" xfId="0" applyNumberFormat="1" applyFont="1" applyFill="1" applyAlignment="1">
      <alignment horizontal="center" vertical="center" wrapText="1"/>
    </xf>
    <xf numFmtId="3" fontId="29" fillId="3" borderId="0" xfId="0" applyNumberFormat="1" applyFont="1" applyFill="1" applyAlignment="1">
      <alignment horizontal="center" vertical="center" wrapText="1"/>
    </xf>
    <xf numFmtId="167" fontId="29" fillId="3" borderId="0" xfId="1" applyNumberFormat="1" applyFont="1" applyFill="1" applyBorder="1" applyAlignment="1">
      <alignment horizontal="right" vertical="center" wrapText="1"/>
    </xf>
    <xf numFmtId="9" fontId="29" fillId="3" borderId="0" xfId="0" applyNumberFormat="1" applyFont="1" applyFill="1" applyAlignment="1">
      <alignment horizontal="center" vertical="center" wrapText="1"/>
    </xf>
    <xf numFmtId="0" fontId="42" fillId="0" borderId="0" xfId="0" applyFont="1" applyAlignment="1">
      <alignment vertical="center"/>
    </xf>
    <xf numFmtId="0" fontId="35" fillId="0" borderId="0" xfId="0" applyFont="1" applyAlignment="1">
      <alignment horizontal="right" vertical="center"/>
    </xf>
    <xf numFmtId="167" fontId="3" fillId="0" borderId="0" xfId="0" applyNumberFormat="1" applyFont="1"/>
    <xf numFmtId="0" fontId="3" fillId="0" borderId="0" xfId="0" applyFont="1" applyAlignment="1">
      <alignment vertical="center"/>
    </xf>
    <xf numFmtId="0" fontId="39" fillId="0" borderId="0" xfId="0" applyFont="1"/>
    <xf numFmtId="0" fontId="35" fillId="0" borderId="0" xfId="0" applyFont="1"/>
    <xf numFmtId="0" fontId="35" fillId="0" borderId="0" xfId="0" applyFont="1" applyAlignment="1">
      <alignment horizontal="center" vertical="center"/>
    </xf>
    <xf numFmtId="49" fontId="35" fillId="0" borderId="0" xfId="0" applyNumberFormat="1" applyFont="1" applyAlignment="1">
      <alignment horizontal="center" vertical="center"/>
    </xf>
    <xf numFmtId="0" fontId="35" fillId="0" borderId="0" xfId="0" applyFont="1" applyAlignment="1">
      <alignment vertical="center"/>
    </xf>
    <xf numFmtId="9" fontId="35" fillId="0" borderId="0" xfId="0" applyNumberFormat="1" applyFont="1" applyAlignment="1">
      <alignment horizontal="right" vertical="center"/>
    </xf>
    <xf numFmtId="0" fontId="7" fillId="0" borderId="9" xfId="0"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 xfId="0" quotePrefix="1" applyNumberFormat="1" applyFont="1" applyFill="1" applyBorder="1" applyAlignment="1">
      <alignment vertical="top" wrapText="1"/>
    </xf>
    <xf numFmtId="0" fontId="5" fillId="0" borderId="0" xfId="0" applyFont="1" applyAlignment="1">
      <alignment horizontal="left"/>
    </xf>
    <xf numFmtId="0" fontId="6" fillId="0" borderId="34" xfId="0" applyFont="1" applyBorder="1" applyAlignment="1">
      <alignment horizontal="center"/>
    </xf>
    <xf numFmtId="0" fontId="6" fillId="0" borderId="9" xfId="0" applyFont="1" applyBorder="1" applyAlignment="1">
      <alignment horizontal="center"/>
    </xf>
    <xf numFmtId="0" fontId="6" fillId="0" borderId="1" xfId="0" applyFont="1" applyBorder="1" applyAlignment="1">
      <alignment horizontal="center"/>
    </xf>
    <xf numFmtId="0" fontId="13" fillId="0" borderId="0" xfId="0" applyFont="1" applyAlignment="1">
      <alignment horizontal="left" wrapText="1"/>
    </xf>
    <xf numFmtId="0" fontId="13" fillId="0" borderId="3" xfId="0" applyFont="1" applyBorder="1" applyAlignment="1">
      <alignment horizontal="center" wrapText="1"/>
    </xf>
    <xf numFmtId="49" fontId="13" fillId="0" borderId="9" xfId="0" applyNumberFormat="1" applyFont="1" applyBorder="1" applyAlignment="1">
      <alignment horizontal="center" vertical="center" wrapText="1"/>
    </xf>
    <xf numFmtId="0" fontId="13" fillId="0" borderId="3" xfId="0" quotePrefix="1" applyFont="1" applyBorder="1" applyAlignment="1">
      <alignment horizontal="center" wrapText="1"/>
    </xf>
    <xf numFmtId="164" fontId="6" fillId="0" borderId="13" xfId="0" applyNumberFormat="1" applyFont="1" applyBorder="1" applyAlignment="1">
      <alignment horizontal="center" vertical="center"/>
    </xf>
    <xf numFmtId="0" fontId="5" fillId="0" borderId="1" xfId="0" applyFont="1" applyFill="1" applyBorder="1" applyAlignment="1">
      <alignment horizontal="center"/>
    </xf>
    <xf numFmtId="0" fontId="5" fillId="0" borderId="1" xfId="0" applyFont="1" applyFill="1" applyBorder="1" applyAlignment="1">
      <alignment horizontal="left"/>
    </xf>
    <xf numFmtId="49" fontId="35" fillId="2" borderId="1" xfId="0" applyNumberFormat="1" applyFont="1" applyFill="1" applyBorder="1" applyAlignment="1">
      <alignment horizontal="center" vertical="center"/>
    </xf>
    <xf numFmtId="0" fontId="29" fillId="3" borderId="1" xfId="0" applyFont="1" applyFill="1" applyBorder="1" applyAlignment="1">
      <alignment horizontal="right" vertical="center" wrapText="1"/>
    </xf>
    <xf numFmtId="49" fontId="35" fillId="0" borderId="26" xfId="0" applyNumberFormat="1" applyFont="1" applyBorder="1" applyAlignment="1">
      <alignment horizontal="center" vertical="center"/>
    </xf>
    <xf numFmtId="49" fontId="35" fillId="0" borderId="27" xfId="0" applyNumberFormat="1" applyFont="1" applyBorder="1" applyAlignment="1">
      <alignment horizontal="center" vertical="center"/>
    </xf>
    <xf numFmtId="0" fontId="3" fillId="2" borderId="27" xfId="0" applyFont="1" applyFill="1" applyBorder="1" applyAlignment="1">
      <alignment vertical="center" wrapText="1"/>
    </xf>
    <xf numFmtId="0" fontId="29" fillId="3" borderId="27" xfId="0" applyFont="1" applyFill="1" applyBorder="1" applyAlignment="1">
      <alignment horizontal="right" vertical="center" wrapText="1"/>
    </xf>
    <xf numFmtId="9" fontId="29" fillId="3" borderId="28" xfId="0" applyNumberFormat="1" applyFont="1" applyFill="1" applyBorder="1" applyAlignment="1">
      <alignment horizontal="right" vertical="center" wrapText="1"/>
    </xf>
    <xf numFmtId="0" fontId="22" fillId="2" borderId="1" xfId="0" quotePrefix="1" applyFont="1" applyFill="1" applyBorder="1" applyAlignment="1">
      <alignment horizontal="center" vertical="center" wrapText="1"/>
    </xf>
    <xf numFmtId="3" fontId="35" fillId="0" borderId="18" xfId="0" applyNumberFormat="1" applyFont="1" applyBorder="1" applyAlignment="1">
      <alignment horizontal="right" vertical="center"/>
    </xf>
    <xf numFmtId="3" fontId="33" fillId="2" borderId="3" xfId="0" applyNumberFormat="1" applyFont="1" applyFill="1" applyBorder="1" applyAlignment="1">
      <alignment vertical="center" wrapText="1"/>
    </xf>
    <xf numFmtId="3" fontId="33" fillId="2" borderId="12" xfId="0" applyNumberFormat="1" applyFont="1" applyFill="1" applyBorder="1" applyAlignment="1">
      <alignment horizontal="center" vertical="center" wrapText="1"/>
    </xf>
    <xf numFmtId="3" fontId="33" fillId="2" borderId="40" xfId="0" applyNumberFormat="1" applyFont="1" applyFill="1" applyBorder="1" applyAlignment="1">
      <alignment horizontal="right" vertical="center" wrapText="1"/>
    </xf>
    <xf numFmtId="9" fontId="33" fillId="2" borderId="1" xfId="4" applyFont="1" applyFill="1" applyBorder="1" applyAlignment="1">
      <alignment horizontal="right" vertical="center" wrapText="1"/>
    </xf>
    <xf numFmtId="3" fontId="33" fillId="2" borderId="3" xfId="0" applyNumberFormat="1" applyFont="1" applyFill="1" applyBorder="1" applyAlignment="1">
      <alignment horizontal="left" vertical="center" wrapText="1"/>
    </xf>
    <xf numFmtId="3" fontId="33" fillId="2" borderId="12" xfId="0" quotePrefix="1" applyNumberFormat="1" applyFont="1" applyFill="1" applyBorder="1" applyAlignment="1">
      <alignment horizontal="center" vertical="center" wrapText="1"/>
    </xf>
    <xf numFmtId="3" fontId="33" fillId="2" borderId="40" xfId="0" applyNumberFormat="1" applyFont="1" applyFill="1" applyBorder="1" applyAlignment="1">
      <alignment horizontal="right" vertical="center"/>
    </xf>
    <xf numFmtId="0" fontId="40" fillId="0" borderId="1" xfId="0" applyFont="1" applyBorder="1" applyAlignment="1">
      <alignment horizontal="center" vertical="center" wrapText="1"/>
    </xf>
    <xf numFmtId="0" fontId="33" fillId="0" borderId="1" xfId="0" applyFont="1" applyBorder="1" applyAlignment="1">
      <alignment vertical="center" wrapText="1"/>
    </xf>
    <xf numFmtId="49" fontId="35" fillId="2" borderId="3" xfId="0" applyNumberFormat="1" applyFont="1" applyFill="1" applyBorder="1" applyAlignment="1">
      <alignment horizontal="center" vertical="center" wrapText="1"/>
    </xf>
    <xf numFmtId="0" fontId="13" fillId="2" borderId="0" xfId="0" applyFont="1" applyFill="1"/>
    <xf numFmtId="3" fontId="33" fillId="2" borderId="12" xfId="0" applyNumberFormat="1" applyFont="1" applyFill="1" applyBorder="1" applyAlignment="1">
      <alignment vertical="center" wrapText="1"/>
    </xf>
    <xf numFmtId="0" fontId="7" fillId="0" borderId="0" xfId="0" applyFont="1" applyFill="1"/>
    <xf numFmtId="0" fontId="28" fillId="0" borderId="0" xfId="0" applyFont="1" applyFill="1"/>
    <xf numFmtId="0" fontId="28" fillId="0" borderId="0" xfId="0" applyFont="1" applyFill="1" applyAlignment="1">
      <alignment horizontal="right"/>
    </xf>
    <xf numFmtId="0" fontId="7" fillId="0" borderId="22"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31" xfId="0" quotePrefix="1" applyFont="1" applyFill="1" applyBorder="1" applyAlignment="1">
      <alignment vertical="center" wrapText="1"/>
    </xf>
    <xf numFmtId="0" fontId="13" fillId="0" borderId="15" xfId="0" quotePrefix="1" applyFont="1" applyFill="1" applyBorder="1" applyAlignment="1">
      <alignment vertical="center" wrapText="1"/>
    </xf>
    <xf numFmtId="3" fontId="13" fillId="0" borderId="15" xfId="0" applyNumberFormat="1" applyFont="1" applyFill="1" applyBorder="1" applyAlignment="1">
      <alignment horizontal="right" vertical="center"/>
    </xf>
    <xf numFmtId="3" fontId="13" fillId="0" borderId="16" xfId="0" applyNumberFormat="1" applyFont="1" applyFill="1" applyBorder="1" applyAlignment="1">
      <alignment horizontal="right" vertical="center"/>
    </xf>
    <xf numFmtId="49" fontId="24" fillId="0" borderId="6" xfId="0" applyNumberFormat="1"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29" xfId="0" quotePrefix="1" applyFont="1" applyFill="1" applyBorder="1" applyAlignment="1">
      <alignment vertical="center" wrapText="1"/>
    </xf>
    <xf numFmtId="0" fontId="24" fillId="0" borderId="18" xfId="0" quotePrefix="1" applyFont="1" applyFill="1" applyBorder="1" applyAlignment="1">
      <alignment vertical="center" wrapText="1"/>
    </xf>
    <xf numFmtId="3" fontId="24" fillId="0" borderId="18" xfId="0" applyNumberFormat="1" applyFont="1" applyFill="1" applyBorder="1" applyAlignment="1">
      <alignment horizontal="right" vertical="center"/>
    </xf>
    <xf numFmtId="0" fontId="7" fillId="0" borderId="1" xfId="0" applyFont="1" applyFill="1" applyBorder="1" applyAlignment="1">
      <alignment horizontal="center" vertical="center" wrapText="1"/>
    </xf>
    <xf numFmtId="0" fontId="7" fillId="0" borderId="1" xfId="0" quotePrefix="1" applyFont="1" applyFill="1" applyBorder="1" applyAlignment="1">
      <alignment vertical="center" wrapText="1"/>
    </xf>
    <xf numFmtId="3" fontId="7" fillId="0" borderId="1" xfId="0" applyNumberFormat="1" applyFont="1" applyFill="1" applyBorder="1" applyAlignment="1">
      <alignment horizontal="right" vertical="center"/>
    </xf>
    <xf numFmtId="3" fontId="24" fillId="0" borderId="1" xfId="0" applyNumberFormat="1" applyFont="1" applyFill="1" applyBorder="1" applyAlignment="1">
      <alignment horizontal="right" vertical="center"/>
    </xf>
    <xf numFmtId="3" fontId="24" fillId="0" borderId="10" xfId="0" applyNumberFormat="1" applyFont="1" applyFill="1" applyBorder="1" applyAlignment="1">
      <alignment horizontal="right" vertical="center"/>
    </xf>
    <xf numFmtId="49" fontId="7" fillId="0" borderId="9"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1" xfId="0" quotePrefix="1" applyNumberFormat="1" applyFont="1" applyFill="1" applyBorder="1" applyAlignment="1">
      <alignment vertical="center" wrapText="1"/>
    </xf>
    <xf numFmtId="0" fontId="7" fillId="0" borderId="18" xfId="0" quotePrefix="1" applyFont="1" applyFill="1" applyBorder="1" applyAlignment="1">
      <alignment vertical="center" wrapText="1"/>
    </xf>
    <xf numFmtId="3" fontId="7" fillId="0" borderId="18" xfId="0" applyNumberFormat="1" applyFont="1" applyFill="1" applyBorder="1" applyAlignment="1">
      <alignment horizontal="right" vertical="center"/>
    </xf>
    <xf numFmtId="3" fontId="24" fillId="0" borderId="19" xfId="0" applyNumberFormat="1" applyFont="1" applyFill="1" applyBorder="1" applyAlignment="1">
      <alignment horizontal="right" vertical="center"/>
    </xf>
    <xf numFmtId="0" fontId="7" fillId="0" borderId="5" xfId="0" quotePrefix="1" applyFont="1" applyFill="1" applyBorder="1" applyAlignment="1">
      <alignment vertical="center" wrapText="1"/>
    </xf>
    <xf numFmtId="3" fontId="7" fillId="0" borderId="10" xfId="0" applyNumberFormat="1" applyFont="1" applyFill="1" applyBorder="1" applyAlignment="1">
      <alignment horizontal="right" vertical="center"/>
    </xf>
    <xf numFmtId="49" fontId="7" fillId="0" borderId="26"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49" fontId="7" fillId="0" borderId="12" xfId="0" applyNumberFormat="1" applyFont="1" applyFill="1" applyBorder="1" applyAlignment="1">
      <alignment horizontal="center" vertical="center" wrapText="1"/>
    </xf>
    <xf numFmtId="0" fontId="7" fillId="0" borderId="23" xfId="0" quotePrefix="1" applyFont="1" applyFill="1" applyBorder="1" applyAlignment="1">
      <alignment vertical="center" wrapText="1"/>
    </xf>
    <xf numFmtId="0" fontId="7" fillId="0" borderId="27" xfId="0" quotePrefix="1" applyFont="1" applyFill="1" applyBorder="1" applyAlignment="1">
      <alignment vertical="center" wrapText="1"/>
    </xf>
    <xf numFmtId="0" fontId="7" fillId="0" borderId="12" xfId="0" quotePrefix="1" applyFont="1" applyFill="1" applyBorder="1" applyAlignment="1">
      <alignment vertical="center" wrapText="1"/>
    </xf>
    <xf numFmtId="3" fontId="7" fillId="0" borderId="12" xfId="0" applyNumberFormat="1" applyFont="1" applyFill="1" applyBorder="1" applyAlignment="1">
      <alignment horizontal="right" vertical="center"/>
    </xf>
    <xf numFmtId="3" fontId="7" fillId="0" borderId="13" xfId="0" applyNumberFormat="1" applyFont="1" applyFill="1" applyBorder="1" applyAlignment="1">
      <alignment horizontal="right" vertical="center"/>
    </xf>
    <xf numFmtId="0" fontId="7" fillId="0" borderId="11" xfId="0" applyFont="1" applyFill="1" applyBorder="1" applyAlignment="1">
      <alignment horizontal="center" vertical="center" wrapText="1"/>
    </xf>
    <xf numFmtId="49" fontId="7" fillId="0" borderId="11" xfId="0" applyNumberFormat="1" applyFont="1" applyFill="1" applyBorder="1" applyAlignment="1">
      <alignment horizontal="center" vertical="center" wrapText="1"/>
    </xf>
    <xf numFmtId="3" fontId="7" fillId="0" borderId="12" xfId="0" quotePrefix="1" applyNumberFormat="1" applyFont="1" applyFill="1" applyBorder="1" applyAlignment="1">
      <alignment vertical="center" wrapText="1"/>
    </xf>
    <xf numFmtId="3" fontId="7" fillId="0" borderId="1" xfId="0" quotePrefix="1" applyNumberFormat="1" applyFont="1" applyFill="1" applyBorder="1" applyAlignment="1">
      <alignment vertical="center" wrapText="1"/>
    </xf>
    <xf numFmtId="49" fontId="7" fillId="0" borderId="27" xfId="0" applyNumberFormat="1" applyFont="1" applyFill="1" applyBorder="1" applyAlignment="1">
      <alignment horizontal="center" vertical="center" wrapText="1"/>
    </xf>
    <xf numFmtId="3" fontId="7" fillId="0" borderId="18" xfId="0" quotePrefix="1" applyNumberFormat="1" applyFont="1" applyFill="1" applyBorder="1" applyAlignment="1">
      <alignment vertical="center" wrapText="1"/>
    </xf>
    <xf numFmtId="3" fontId="7" fillId="0" borderId="27" xfId="0" quotePrefix="1" applyNumberFormat="1" applyFont="1" applyFill="1" applyBorder="1" applyAlignment="1">
      <alignment vertical="center" wrapText="1"/>
    </xf>
    <xf numFmtId="3" fontId="7" fillId="0" borderId="28" xfId="0" applyNumberFormat="1" applyFont="1" applyFill="1" applyBorder="1" applyAlignment="1">
      <alignment horizontal="right" vertical="center"/>
    </xf>
    <xf numFmtId="49" fontId="24" fillId="0" borderId="17" xfId="0" applyNumberFormat="1" applyFont="1" applyFill="1" applyBorder="1" applyAlignment="1">
      <alignment horizontal="center" vertical="center" wrapText="1"/>
    </xf>
    <xf numFmtId="0" fontId="24" fillId="0" borderId="18" xfId="0" applyFont="1" applyFill="1" applyBorder="1" applyAlignment="1">
      <alignment horizontal="center" vertical="center" wrapText="1"/>
    </xf>
    <xf numFmtId="3" fontId="7" fillId="0" borderId="27" xfId="0" applyNumberFormat="1" applyFont="1" applyFill="1" applyBorder="1" applyAlignment="1">
      <alignment horizontal="right" vertical="center"/>
    </xf>
    <xf numFmtId="0" fontId="7" fillId="0" borderId="32" xfId="0" quotePrefix="1" applyFont="1" applyFill="1" applyBorder="1" applyAlignment="1">
      <alignment vertical="center" wrapText="1"/>
    </xf>
    <xf numFmtId="0" fontId="24" fillId="0" borderId="30" xfId="0" quotePrefix="1" applyFont="1" applyFill="1" applyBorder="1" applyAlignment="1">
      <alignment vertical="center" wrapText="1"/>
    </xf>
    <xf numFmtId="0" fontId="24" fillId="0" borderId="7" xfId="0" quotePrefix="1" applyFont="1" applyFill="1" applyBorder="1" applyAlignment="1">
      <alignment vertical="center" wrapText="1"/>
    </xf>
    <xf numFmtId="3" fontId="24" fillId="0" borderId="7" xfId="0" applyNumberFormat="1" applyFont="1" applyFill="1" applyBorder="1" applyAlignment="1">
      <alignment horizontal="right" vertical="center"/>
    </xf>
    <xf numFmtId="3" fontId="24" fillId="0" borderId="8" xfId="0" applyNumberFormat="1" applyFont="1" applyFill="1" applyBorder="1" applyAlignment="1">
      <alignment horizontal="right" vertical="center"/>
    </xf>
    <xf numFmtId="0" fontId="7" fillId="0" borderId="20" xfId="0" applyFont="1" applyFill="1" applyBorder="1" applyAlignment="1">
      <alignment horizontal="center" vertical="center" wrapText="1"/>
    </xf>
    <xf numFmtId="0" fontId="7" fillId="0" borderId="33" xfId="0" quotePrefix="1" applyFont="1" applyFill="1" applyBorder="1" applyAlignment="1">
      <alignment vertical="center" wrapText="1"/>
    </xf>
    <xf numFmtId="0" fontId="7" fillId="0" borderId="21" xfId="0" quotePrefix="1" applyFont="1" applyFill="1" applyBorder="1" applyAlignment="1">
      <alignment vertical="center" wrapText="1"/>
    </xf>
    <xf numFmtId="3" fontId="7" fillId="0" borderId="21" xfId="0" applyNumberFormat="1" applyFont="1" applyFill="1" applyBorder="1" applyAlignment="1">
      <alignment horizontal="right" vertical="center"/>
    </xf>
    <xf numFmtId="3" fontId="7" fillId="0" borderId="22" xfId="0" applyNumberFormat="1" applyFont="1" applyFill="1" applyBorder="1" applyAlignment="1">
      <alignment horizontal="right" vertical="center"/>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29" xfId="0" quotePrefix="1" applyFont="1" applyFill="1" applyBorder="1" applyAlignment="1">
      <alignment vertical="center" wrapText="1"/>
    </xf>
    <xf numFmtId="49" fontId="7" fillId="0" borderId="27" xfId="0" quotePrefix="1" applyNumberFormat="1" applyFont="1" applyFill="1" applyBorder="1" applyAlignment="1">
      <alignment vertical="center" wrapText="1"/>
    </xf>
    <xf numFmtId="0" fontId="24" fillId="0" borderId="6" xfId="0" applyFont="1" applyFill="1" applyBorder="1" applyAlignment="1">
      <alignment horizontal="center" vertical="center" wrapText="1"/>
    </xf>
    <xf numFmtId="49" fontId="7" fillId="0" borderId="18" xfId="0" applyNumberFormat="1" applyFont="1" applyFill="1" applyBorder="1" applyAlignment="1">
      <alignment horizontal="center" vertical="center" wrapText="1"/>
    </xf>
    <xf numFmtId="0" fontId="7" fillId="0" borderId="12" xfId="0" applyFont="1" applyFill="1" applyBorder="1" applyAlignment="1">
      <alignment vertical="center" wrapText="1"/>
    </xf>
    <xf numFmtId="0" fontId="24" fillId="0" borderId="17" xfId="0" applyFont="1" applyFill="1" applyBorder="1" applyAlignment="1">
      <alignment horizontal="center" vertical="center" wrapText="1"/>
    </xf>
    <xf numFmtId="0" fontId="7" fillId="0" borderId="29"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7" fillId="0" borderId="5" xfId="0" applyFont="1" applyFill="1" applyBorder="1" applyAlignment="1">
      <alignment vertical="center" wrapText="1"/>
    </xf>
    <xf numFmtId="3" fontId="7" fillId="0" borderId="19" xfId="0" applyNumberFormat="1" applyFont="1" applyFill="1" applyBorder="1" applyAlignment="1">
      <alignment horizontal="right" vertical="center"/>
    </xf>
    <xf numFmtId="49" fontId="7" fillId="0" borderId="11" xfId="0" applyNumberFormat="1" applyFont="1" applyFill="1" applyBorder="1" applyAlignment="1">
      <alignment horizontal="center" vertical="center"/>
    </xf>
    <xf numFmtId="49" fontId="7" fillId="0" borderId="23"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0" fontId="7" fillId="0" borderId="23" xfId="0" applyFont="1" applyFill="1" applyBorder="1" applyAlignment="1">
      <alignment vertical="center" wrapText="1"/>
    </xf>
    <xf numFmtId="0" fontId="7" fillId="0" borderId="42" xfId="0" applyFont="1" applyFill="1" applyBorder="1" applyAlignment="1">
      <alignment horizontal="center" vertical="center" wrapText="1"/>
    </xf>
    <xf numFmtId="0" fontId="7" fillId="0" borderId="34" xfId="0"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0" fontId="7" fillId="0" borderId="15" xfId="0" applyFont="1" applyFill="1" applyBorder="1" applyAlignment="1">
      <alignment horizontal="center" vertical="center" wrapText="1"/>
    </xf>
    <xf numFmtId="0" fontId="13" fillId="0" borderId="15" xfId="0" applyFont="1" applyFill="1" applyBorder="1" applyAlignment="1">
      <alignment horizontal="left" vertical="center" wrapText="1"/>
    </xf>
    <xf numFmtId="0" fontId="7" fillId="0" borderId="15" xfId="0" quotePrefix="1" applyFont="1" applyFill="1" applyBorder="1" applyAlignment="1">
      <alignment vertical="center" wrapText="1"/>
    </xf>
    <xf numFmtId="0" fontId="24" fillId="0" borderId="7" xfId="0" applyFont="1" applyFill="1" applyBorder="1" applyAlignment="1">
      <alignment horizontal="left" vertical="center" wrapText="1"/>
    </xf>
    <xf numFmtId="49" fontId="7" fillId="0" borderId="21" xfId="0" applyNumberFormat="1" applyFont="1" applyFill="1" applyBorder="1" applyAlignment="1">
      <alignment horizontal="center" vertical="center" wrapText="1"/>
    </xf>
    <xf numFmtId="0" fontId="7" fillId="0" borderId="21" xfId="0" applyFont="1" applyFill="1" applyBorder="1" applyAlignment="1">
      <alignment horizontal="left" vertical="center" wrapText="1"/>
    </xf>
    <xf numFmtId="49" fontId="7" fillId="0" borderId="15" xfId="0" applyNumberFormat="1" applyFont="1" applyFill="1" applyBorder="1" applyAlignment="1">
      <alignment horizontal="center" vertical="center" wrapText="1"/>
    </xf>
    <xf numFmtId="9" fontId="29" fillId="3" borderId="10" xfId="0" applyNumberFormat="1" applyFont="1" applyFill="1" applyBorder="1" applyAlignment="1">
      <alignment horizontal="right" vertical="center" wrapText="1"/>
    </xf>
    <xf numFmtId="9" fontId="33" fillId="2" borderId="13" xfId="0" applyNumberFormat="1" applyFont="1" applyFill="1" applyBorder="1" applyAlignment="1">
      <alignment horizontal="right" vertical="center"/>
    </xf>
    <xf numFmtId="0" fontId="41" fillId="3" borderId="15" xfId="0" applyFont="1" applyFill="1" applyBorder="1" applyAlignment="1">
      <alignment horizontal="center" vertical="center" wrapText="1"/>
    </xf>
    <xf numFmtId="49" fontId="41" fillId="3" borderId="15" xfId="0" applyNumberFormat="1" applyFont="1" applyFill="1" applyBorder="1" applyAlignment="1">
      <alignment horizontal="center" vertical="center" wrapText="1"/>
    </xf>
    <xf numFmtId="3" fontId="29" fillId="3" borderId="15" xfId="0" applyNumberFormat="1" applyFont="1" applyFill="1" applyBorder="1" applyAlignment="1">
      <alignment horizontal="center" vertical="center" wrapText="1"/>
    </xf>
    <xf numFmtId="0" fontId="3" fillId="4" borderId="1" xfId="0" applyFont="1" applyFill="1" applyBorder="1" applyAlignment="1">
      <alignment vertical="top" wrapText="1"/>
    </xf>
    <xf numFmtId="0" fontId="7" fillId="0" borderId="4" xfId="0" applyFont="1" applyFill="1" applyBorder="1" applyAlignment="1">
      <alignment vertical="center" wrapText="1"/>
    </xf>
    <xf numFmtId="0" fontId="5" fillId="0" borderId="12" xfId="0" quotePrefix="1" applyFont="1" applyFill="1" applyBorder="1" applyAlignment="1">
      <alignment vertical="center" wrapText="1"/>
    </xf>
    <xf numFmtId="0" fontId="22" fillId="2" borderId="12" xfId="0" quotePrefix="1" applyFont="1" applyFill="1" applyBorder="1" applyAlignment="1">
      <alignment horizontal="center" vertical="center" wrapText="1"/>
    </xf>
    <xf numFmtId="0" fontId="36" fillId="0" borderId="1" xfId="0" applyFont="1" applyBorder="1" applyAlignment="1">
      <alignment horizontal="center" vertical="center" wrapText="1"/>
    </xf>
    <xf numFmtId="0" fontId="34" fillId="2" borderId="18" xfId="0" quotePrefix="1" applyFont="1" applyFill="1" applyBorder="1" applyAlignment="1">
      <alignment vertical="center" wrapText="1"/>
    </xf>
    <xf numFmtId="3" fontId="35" fillId="2" borderId="3" xfId="0" applyNumberFormat="1" applyFont="1" applyFill="1" applyBorder="1" applyAlignment="1">
      <alignment vertical="center" wrapText="1"/>
    </xf>
    <xf numFmtId="3" fontId="33" fillId="2" borderId="1" xfId="0" applyNumberFormat="1" applyFont="1" applyFill="1" applyBorder="1" applyAlignment="1">
      <alignment vertical="center"/>
    </xf>
    <xf numFmtId="9" fontId="33" fillId="2" borderId="1" xfId="0" applyNumberFormat="1" applyFont="1" applyFill="1" applyBorder="1" applyAlignment="1">
      <alignment vertical="center" wrapText="1"/>
    </xf>
    <xf numFmtId="0" fontId="7" fillId="0" borderId="3" xfId="0" quotePrefix="1" applyFont="1" applyFill="1" applyBorder="1" applyAlignment="1">
      <alignment vertical="center" wrapText="1"/>
    </xf>
    <xf numFmtId="0" fontId="29" fillId="0" borderId="47" xfId="0" applyFont="1" applyBorder="1" applyAlignment="1">
      <alignment horizontal="center" vertical="center"/>
    </xf>
    <xf numFmtId="0" fontId="7" fillId="2" borderId="40" xfId="0" quotePrefix="1" applyFont="1" applyFill="1" applyBorder="1" applyAlignment="1">
      <alignment vertical="center" wrapText="1"/>
    </xf>
    <xf numFmtId="164" fontId="5" fillId="2" borderId="5" xfId="0" applyNumberFormat="1" applyFont="1" applyFill="1" applyBorder="1" applyAlignment="1">
      <alignment horizontal="right" vertical="center"/>
    </xf>
    <xf numFmtId="164" fontId="5" fillId="2" borderId="18" xfId="0" applyNumberFormat="1" applyFont="1" applyFill="1" applyBorder="1" applyAlignment="1">
      <alignment horizontal="right" vertical="center"/>
    </xf>
    <xf numFmtId="0" fontId="43" fillId="4" borderId="1" xfId="0" applyFont="1" applyFill="1" applyBorder="1" applyAlignment="1">
      <alignment vertical="top" wrapText="1"/>
    </xf>
    <xf numFmtId="49" fontId="3" fillId="0" borderId="9" xfId="0" applyNumberFormat="1" applyFont="1" applyBorder="1" applyAlignment="1">
      <alignment horizontal="center" vertical="center" wrapText="1"/>
    </xf>
    <xf numFmtId="49" fontId="22" fillId="0" borderId="1" xfId="0" quotePrefix="1" applyNumberFormat="1" applyFont="1" applyBorder="1" applyAlignment="1">
      <alignment horizontal="center" vertical="center" wrapText="1"/>
    </xf>
    <xf numFmtId="49" fontId="29" fillId="2" borderId="14" xfId="0" applyNumberFormat="1" applyFont="1" applyFill="1" applyBorder="1" applyAlignment="1">
      <alignment horizontal="center" vertical="center"/>
    </xf>
    <xf numFmtId="49" fontId="29" fillId="2" borderId="15" xfId="0" applyNumberFormat="1" applyFont="1" applyFill="1" applyBorder="1" applyAlignment="1">
      <alignment horizontal="center" vertical="center" wrapText="1"/>
    </xf>
    <xf numFmtId="3" fontId="15" fillId="2" borderId="15" xfId="0" applyNumberFormat="1" applyFont="1" applyFill="1" applyBorder="1" applyAlignment="1">
      <alignment vertical="center" wrapText="1"/>
    </xf>
    <xf numFmtId="0" fontId="29" fillId="2" borderId="15" xfId="0" applyFont="1" applyFill="1" applyBorder="1" applyAlignment="1">
      <alignment horizontal="left" vertical="center" wrapText="1"/>
    </xf>
    <xf numFmtId="3" fontId="29" fillId="2" borderId="15" xfId="0" applyNumberFormat="1" applyFont="1" applyFill="1" applyBorder="1" applyAlignment="1">
      <alignment horizontal="right" vertical="center"/>
    </xf>
    <xf numFmtId="167" fontId="29" fillId="2" borderId="15" xfId="1" applyNumberFormat="1" applyFont="1" applyFill="1" applyBorder="1" applyAlignment="1">
      <alignment horizontal="right" vertical="center" wrapText="1"/>
    </xf>
    <xf numFmtId="9" fontId="29" fillId="2" borderId="16" xfId="0" applyNumberFormat="1" applyFont="1" applyFill="1" applyBorder="1" applyAlignment="1">
      <alignment horizontal="right" vertical="center"/>
    </xf>
    <xf numFmtId="0" fontId="33" fillId="0" borderId="3" xfId="0" applyFont="1" applyBorder="1" applyAlignment="1">
      <alignment vertical="center" wrapText="1"/>
    </xf>
    <xf numFmtId="0" fontId="35" fillId="0" borderId="3" xfId="0" applyFont="1" applyBorder="1" applyAlignment="1">
      <alignment vertical="center" wrapText="1"/>
    </xf>
    <xf numFmtId="0" fontId="35" fillId="0" borderId="40" xfId="0" applyFont="1" applyBorder="1" applyAlignment="1">
      <alignment vertical="center" wrapText="1"/>
    </xf>
    <xf numFmtId="0" fontId="35" fillId="0" borderId="23" xfId="0" applyFont="1" applyBorder="1" applyAlignment="1">
      <alignment horizontal="center" vertical="center" wrapText="1"/>
    </xf>
    <xf numFmtId="3" fontId="35" fillId="0" borderId="1" xfId="0" applyNumberFormat="1" applyFont="1" applyBorder="1" applyAlignment="1">
      <alignment horizontal="left" vertical="center" wrapText="1"/>
    </xf>
    <xf numFmtId="0" fontId="3" fillId="2" borderId="1" xfId="0" applyFont="1" applyFill="1" applyBorder="1" applyAlignment="1">
      <alignment horizontal="left" vertical="center" wrapText="1"/>
    </xf>
    <xf numFmtId="0" fontId="35" fillId="2" borderId="3" xfId="0" applyFont="1" applyFill="1" applyBorder="1" applyAlignment="1">
      <alignment vertical="center" wrapText="1"/>
    </xf>
    <xf numFmtId="3" fontId="33" fillId="0" borderId="3" xfId="0" applyNumberFormat="1" applyFont="1" applyBorder="1" applyAlignment="1">
      <alignment vertical="center" wrapText="1"/>
    </xf>
    <xf numFmtId="49" fontId="7" fillId="0" borderId="17" xfId="0" applyNumberFormat="1" applyFont="1" applyFill="1" applyBorder="1" applyAlignment="1">
      <alignment horizontal="center" vertical="center" wrapText="1"/>
    </xf>
    <xf numFmtId="164" fontId="5" fillId="2" borderId="19" xfId="0" applyNumberFormat="1" applyFont="1" applyFill="1" applyBorder="1" applyAlignment="1">
      <alignment vertical="center"/>
    </xf>
    <xf numFmtId="0" fontId="0" fillId="0" borderId="0" xfId="0" applyFill="1"/>
    <xf numFmtId="0" fontId="12" fillId="0" borderId="0" xfId="0" applyFont="1" applyFill="1"/>
    <xf numFmtId="0" fontId="7" fillId="0" borderId="0" xfId="0" applyFont="1" applyFill="1" applyAlignment="1">
      <alignment vertical="center"/>
    </xf>
    <xf numFmtId="49" fontId="7" fillId="0" borderId="0" xfId="0" applyNumberFormat="1" applyFont="1" applyFill="1" applyAlignment="1">
      <alignment vertical="center"/>
    </xf>
    <xf numFmtId="49" fontId="7" fillId="0" borderId="2" xfId="0" applyNumberFormat="1" applyFont="1" applyFill="1" applyBorder="1" applyAlignment="1">
      <alignment vertical="center"/>
    </xf>
    <xf numFmtId="49" fontId="7" fillId="0" borderId="4" xfId="0" applyNumberFormat="1" applyFont="1" applyFill="1" applyBorder="1" applyAlignment="1">
      <alignment vertical="center"/>
    </xf>
    <xf numFmtId="0" fontId="7" fillId="0" borderId="2" xfId="0" applyFont="1" applyFill="1" applyBorder="1"/>
    <xf numFmtId="0" fontId="9" fillId="0" borderId="0" xfId="0" applyFont="1" applyFill="1" applyAlignment="1">
      <alignment vertical="center"/>
    </xf>
    <xf numFmtId="0" fontId="27" fillId="0" borderId="4" xfId="0" applyFont="1" applyFill="1" applyBorder="1" applyAlignment="1">
      <alignment horizontal="left" wrapText="1"/>
    </xf>
    <xf numFmtId="0" fontId="27" fillId="0" borderId="1" xfId="0" applyFont="1" applyFill="1" applyBorder="1" applyAlignment="1">
      <alignment wrapText="1"/>
    </xf>
    <xf numFmtId="3" fontId="5" fillId="0" borderId="19" xfId="0" applyNumberFormat="1" applyFont="1" applyFill="1" applyBorder="1" applyAlignment="1">
      <alignment horizontal="right" vertical="center"/>
    </xf>
    <xf numFmtId="0" fontId="5" fillId="0" borderId="0" xfId="0" applyFont="1" applyFill="1"/>
    <xf numFmtId="0" fontId="6" fillId="0" borderId="0" xfId="0" applyFont="1" applyFill="1" applyBorder="1" applyAlignment="1">
      <alignment horizontal="center" vertical="center" wrapText="1"/>
    </xf>
    <xf numFmtId="0" fontId="6" fillId="0" borderId="0" xfId="0" applyFont="1" applyFill="1" applyBorder="1" applyAlignment="1">
      <alignment vertical="center" wrapText="1"/>
    </xf>
    <xf numFmtId="164" fontId="6" fillId="0" borderId="0" xfId="0" applyNumberFormat="1" applyFont="1" applyFill="1" applyBorder="1" applyAlignment="1">
      <alignment horizontal="right" vertical="center"/>
    </xf>
    <xf numFmtId="0" fontId="5" fillId="0" borderId="0" xfId="0" applyFont="1" applyFill="1" applyBorder="1"/>
    <xf numFmtId="0" fontId="15" fillId="0" borderId="0" xfId="0" applyFont="1" applyFill="1" applyBorder="1" applyAlignment="1">
      <alignment horizontal="left" vertical="center"/>
    </xf>
    <xf numFmtId="0" fontId="15" fillId="0" borderId="0" xfId="0" applyFont="1" applyFill="1" applyBorder="1" applyAlignment="1">
      <alignment vertical="center"/>
    </xf>
    <xf numFmtId="0" fontId="15" fillId="0" borderId="0" xfId="0" applyFont="1" applyFill="1" applyAlignment="1">
      <alignment horizontal="left" vertical="center"/>
    </xf>
    <xf numFmtId="0" fontId="16" fillId="0" borderId="0" xfId="0" applyFont="1" applyFill="1" applyAlignment="1">
      <alignment horizontal="left" vertical="center"/>
    </xf>
    <xf numFmtId="3" fontId="16" fillId="0" borderId="0" xfId="0" applyNumberFormat="1" applyFont="1" applyFill="1" applyAlignment="1">
      <alignment horizontal="left" vertical="center"/>
    </xf>
    <xf numFmtId="2" fontId="15" fillId="0" borderId="0" xfId="0" applyNumberFormat="1" applyFont="1" applyFill="1" applyAlignment="1">
      <alignment horizontal="left" vertical="center"/>
    </xf>
    <xf numFmtId="0" fontId="15" fillId="0" borderId="0" xfId="0" applyFont="1" applyFill="1" applyAlignment="1">
      <alignment vertical="center"/>
    </xf>
    <xf numFmtId="0" fontId="14" fillId="0" borderId="0" xfId="0" applyFont="1" applyFill="1" applyAlignment="1">
      <alignment vertical="center"/>
    </xf>
    <xf numFmtId="0" fontId="3" fillId="0" borderId="0" xfId="0" applyFont="1" applyFill="1"/>
    <xf numFmtId="0" fontId="7" fillId="0" borderId="0" xfId="0" applyFont="1" applyFill="1" applyAlignment="1">
      <alignment horizontal="right" vertical="center"/>
    </xf>
    <xf numFmtId="0" fontId="5" fillId="0" borderId="0" xfId="0" applyFont="1" applyFill="1" applyAlignment="1">
      <alignment vertical="center"/>
    </xf>
    <xf numFmtId="49" fontId="2" fillId="2" borderId="14" xfId="0" applyNumberFormat="1"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0" fontId="29" fillId="3" borderId="15" xfId="0" applyFont="1" applyFill="1" applyBorder="1" applyAlignment="1">
      <alignment horizontal="left" vertical="center" wrapText="1"/>
    </xf>
    <xf numFmtId="49" fontId="29" fillId="0" borderId="15" xfId="0" applyNumberFormat="1" applyFont="1" applyBorder="1" applyAlignment="1">
      <alignment horizontal="center" vertical="center" wrapText="1"/>
    </xf>
    <xf numFmtId="3" fontId="29" fillId="0" borderId="15" xfId="0" applyNumberFormat="1" applyFont="1" applyBorder="1" applyAlignment="1">
      <alignment horizontal="right" vertical="center" wrapText="1"/>
    </xf>
    <xf numFmtId="9" fontId="29" fillId="0" borderId="16" xfId="0" applyNumberFormat="1" applyFont="1" applyBorder="1" applyAlignment="1">
      <alignment horizontal="right" vertical="center" wrapText="1"/>
    </xf>
    <xf numFmtId="49" fontId="37" fillId="2" borderId="17" xfId="0" applyNumberFormat="1" applyFont="1" applyFill="1" applyBorder="1" applyAlignment="1">
      <alignment horizontal="center" vertical="center" wrapText="1"/>
    </xf>
    <xf numFmtId="3" fontId="29" fillId="0" borderId="18" xfId="0" applyNumberFormat="1" applyFont="1" applyBorder="1" applyAlignment="1">
      <alignment horizontal="right" vertical="center" wrapText="1"/>
    </xf>
    <xf numFmtId="49" fontId="29" fillId="0" borderId="1" xfId="0" applyNumberFormat="1" applyFont="1" applyBorder="1" applyAlignment="1">
      <alignment horizontal="center" vertical="center" wrapText="1"/>
    </xf>
    <xf numFmtId="3" fontId="29" fillId="0" borderId="1" xfId="0" applyNumberFormat="1" applyFont="1" applyBorder="1" applyAlignment="1">
      <alignment horizontal="right" vertical="center" wrapText="1"/>
    </xf>
    <xf numFmtId="0" fontId="21" fillId="2" borderId="25" xfId="0" quotePrefix="1" applyFont="1" applyFill="1" applyBorder="1" applyAlignment="1">
      <alignment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35" fillId="3" borderId="25" xfId="0" applyFont="1" applyFill="1" applyBorder="1" applyAlignment="1">
      <alignment horizontal="left" vertical="center" wrapText="1"/>
    </xf>
    <xf numFmtId="49" fontId="35" fillId="0" borderId="25" xfId="0" applyNumberFormat="1" applyFont="1" applyBorder="1" applyAlignment="1">
      <alignment horizontal="center" vertical="center" wrapText="1"/>
    </xf>
    <xf numFmtId="3" fontId="35" fillId="0" borderId="25" xfId="0" applyNumberFormat="1" applyFont="1" applyBorder="1" applyAlignment="1">
      <alignment horizontal="right" vertical="center" wrapText="1"/>
    </xf>
    <xf numFmtId="167" fontId="29" fillId="0" borderId="25" xfId="1" applyNumberFormat="1" applyFont="1" applyFill="1" applyBorder="1" applyAlignment="1">
      <alignment horizontal="right" vertical="center" wrapText="1"/>
    </xf>
    <xf numFmtId="9" fontId="35" fillId="0" borderId="49" xfId="0" applyNumberFormat="1" applyFont="1" applyBorder="1" applyAlignment="1">
      <alignment horizontal="right" vertical="center" wrapText="1"/>
    </xf>
    <xf numFmtId="0" fontId="36" fillId="2" borderId="26" xfId="0" applyFont="1" applyFill="1" applyBorder="1" applyAlignment="1">
      <alignment horizontal="center" vertical="center" wrapText="1"/>
    </xf>
    <xf numFmtId="0" fontId="33" fillId="0" borderId="12" xfId="0" applyFont="1" applyBorder="1" applyAlignment="1">
      <alignment vertical="center" wrapText="1"/>
    </xf>
    <xf numFmtId="3" fontId="33" fillId="0" borderId="12" xfId="0" applyNumberFormat="1" applyFont="1" applyBorder="1" applyAlignment="1">
      <alignment vertical="center"/>
    </xf>
    <xf numFmtId="9" fontId="33" fillId="0" borderId="12" xfId="0" applyNumberFormat="1" applyFont="1" applyBorder="1" applyAlignment="1">
      <alignment vertical="center" wrapText="1"/>
    </xf>
    <xf numFmtId="3" fontId="33" fillId="0" borderId="12" xfId="0" applyNumberFormat="1" applyFont="1" applyBorder="1" applyAlignment="1">
      <alignment horizontal="right" vertical="center"/>
    </xf>
    <xf numFmtId="0" fontId="34" fillId="0" borderId="1" xfId="0" applyFont="1" applyBorder="1" applyAlignment="1">
      <alignment vertical="center" wrapText="1"/>
    </xf>
    <xf numFmtId="0" fontId="13" fillId="0" borderId="1" xfId="0" applyFont="1" applyBorder="1"/>
    <xf numFmtId="3" fontId="13" fillId="2" borderId="0" xfId="0" applyNumberFormat="1" applyFont="1" applyFill="1"/>
    <xf numFmtId="3" fontId="33" fillId="2" borderId="40" xfId="0" applyNumberFormat="1" applyFont="1" applyFill="1" applyBorder="1" applyAlignment="1">
      <alignment vertical="center" wrapText="1"/>
    </xf>
    <xf numFmtId="0" fontId="36" fillId="0" borderId="0" xfId="0" applyFont="1" applyBorder="1" applyAlignment="1">
      <alignment horizontal="center" vertical="center" wrapText="1"/>
    </xf>
    <xf numFmtId="9" fontId="29" fillId="0" borderId="19" xfId="0" applyNumberFormat="1" applyFont="1" applyBorder="1" applyAlignment="1">
      <alignment horizontal="right" vertical="center" wrapText="1"/>
    </xf>
    <xf numFmtId="9" fontId="29" fillId="0" borderId="10" xfId="0" applyNumberFormat="1" applyFont="1" applyBorder="1" applyAlignment="1">
      <alignment horizontal="right" vertical="center" wrapText="1"/>
    </xf>
    <xf numFmtId="0" fontId="3" fillId="2" borderId="0" xfId="0" applyFont="1" applyFill="1" applyBorder="1" applyAlignment="1">
      <alignment horizontal="left" vertical="center" wrapText="1"/>
    </xf>
    <xf numFmtId="3" fontId="33" fillId="0" borderId="0" xfId="0" applyNumberFormat="1" applyFont="1" applyBorder="1" applyAlignment="1">
      <alignment horizontal="right" vertical="center"/>
    </xf>
    <xf numFmtId="164" fontId="5" fillId="2" borderId="25" xfId="0" applyNumberFormat="1" applyFont="1" applyFill="1" applyBorder="1" applyAlignment="1">
      <alignment vertical="center"/>
    </xf>
    <xf numFmtId="164" fontId="5" fillId="2" borderId="25" xfId="0" applyNumberFormat="1" applyFont="1" applyFill="1" applyBorder="1" applyAlignment="1">
      <alignment horizontal="right" vertical="center"/>
    </xf>
    <xf numFmtId="164" fontId="5" fillId="2" borderId="49" xfId="0" applyNumberFormat="1" applyFont="1" applyFill="1" applyBorder="1" applyAlignment="1">
      <alignment vertical="center"/>
    </xf>
    <xf numFmtId="0" fontId="7" fillId="0" borderId="0" xfId="0" applyFont="1" applyFill="1" applyBorder="1" applyAlignment="1"/>
    <xf numFmtId="3" fontId="12" fillId="0" borderId="1" xfId="0" applyNumberFormat="1" applyFont="1" applyFill="1" applyBorder="1" applyAlignment="1">
      <alignment vertical="center"/>
    </xf>
    <xf numFmtId="3" fontId="7" fillId="0" borderId="41" xfId="0" applyNumberFormat="1" applyFont="1" applyBorder="1" applyAlignment="1">
      <alignment horizontal="center" vertical="center" wrapText="1"/>
    </xf>
    <xf numFmtId="0" fontId="7" fillId="0" borderId="40" xfId="0" quotePrefix="1" applyFont="1" applyFill="1" applyBorder="1" applyAlignment="1">
      <alignment vertical="center" wrapText="1"/>
    </xf>
    <xf numFmtId="0" fontId="7" fillId="0" borderId="0" xfId="0" applyFont="1" applyAlignment="1">
      <alignment horizontal="left" vertical="center"/>
    </xf>
    <xf numFmtId="49" fontId="3" fillId="2" borderId="1" xfId="0"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167" fontId="35" fillId="2" borderId="27" xfId="1" applyNumberFormat="1" applyFont="1" applyFill="1" applyBorder="1" applyAlignment="1">
      <alignment horizontal="right" vertical="center" wrapText="1"/>
    </xf>
    <xf numFmtId="0" fontId="33" fillId="2" borderId="12" xfId="0" applyFont="1" applyFill="1" applyBorder="1" applyAlignment="1">
      <alignment vertical="center" wrapText="1"/>
    </xf>
    <xf numFmtId="9" fontId="33" fillId="2" borderId="12" xfId="0" applyNumberFormat="1" applyFont="1" applyFill="1" applyBorder="1" applyAlignment="1">
      <alignment horizontal="center" vertical="center" wrapText="1"/>
    </xf>
    <xf numFmtId="9" fontId="35" fillId="2" borderId="1" xfId="0" applyNumberFormat="1" applyFont="1" applyFill="1" applyBorder="1" applyAlignment="1">
      <alignment horizontal="center" vertical="center" wrapText="1"/>
    </xf>
    <xf numFmtId="3" fontId="35" fillId="0" borderId="3" xfId="0" applyNumberFormat="1" applyFont="1" applyBorder="1" applyAlignment="1">
      <alignment vertical="center" wrapText="1"/>
    </xf>
    <xf numFmtId="167" fontId="29" fillId="3" borderId="48" xfId="1" applyNumberFormat="1" applyFont="1" applyFill="1" applyBorder="1" applyAlignment="1">
      <alignment horizontal="center" vertical="center" wrapText="1"/>
    </xf>
    <xf numFmtId="9" fontId="29" fillId="3" borderId="16" xfId="0" applyNumberFormat="1" applyFont="1" applyFill="1" applyBorder="1" applyAlignment="1">
      <alignment horizontal="center" vertical="center" wrapText="1"/>
    </xf>
    <xf numFmtId="167" fontId="35" fillId="0" borderId="0" xfId="0" applyNumberFormat="1" applyFont="1" applyAlignment="1">
      <alignment horizontal="right" vertical="center"/>
    </xf>
    <xf numFmtId="0" fontId="3" fillId="4" borderId="1" xfId="0" applyFont="1" applyFill="1" applyBorder="1" applyAlignment="1">
      <alignment vertical="center" wrapText="1"/>
    </xf>
    <xf numFmtId="164" fontId="5" fillId="0" borderId="36" xfId="0" applyNumberFormat="1" applyFont="1" applyBorder="1" applyAlignment="1">
      <alignment horizontal="center" vertical="center"/>
    </xf>
    <xf numFmtId="0" fontId="7" fillId="0" borderId="43" xfId="3" applyFont="1" applyBorder="1" applyAlignment="1">
      <alignment vertical="center"/>
    </xf>
    <xf numFmtId="3" fontId="7" fillId="2" borderId="13" xfId="0" applyNumberFormat="1" applyFont="1" applyFill="1" applyBorder="1" applyAlignment="1">
      <alignment horizontal="right" vertical="center"/>
    </xf>
    <xf numFmtId="3" fontId="7" fillId="2" borderId="10" xfId="0" applyNumberFormat="1" applyFont="1" applyFill="1" applyBorder="1" applyAlignment="1">
      <alignment horizontal="right" vertical="center"/>
    </xf>
    <xf numFmtId="0" fontId="7" fillId="0" borderId="0"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7" fillId="0" borderId="31" xfId="0" quotePrefix="1" applyFont="1" applyFill="1" applyBorder="1" applyAlignment="1">
      <alignment vertical="center" wrapText="1"/>
    </xf>
    <xf numFmtId="0" fontId="13" fillId="0" borderId="31" xfId="0" applyFont="1" applyFill="1" applyBorder="1" applyAlignment="1">
      <alignment horizontal="left" vertical="center" wrapText="1"/>
    </xf>
    <xf numFmtId="49" fontId="35" fillId="0" borderId="12" xfId="0" applyNumberFormat="1" applyFont="1" applyBorder="1" applyAlignment="1">
      <alignment horizontal="center" vertical="center" wrapText="1"/>
    </xf>
    <xf numFmtId="3" fontId="35" fillId="0" borderId="12" xfId="0" applyNumberFormat="1" applyFont="1" applyBorder="1" applyAlignment="1">
      <alignment horizontal="right" vertical="center" wrapText="1"/>
    </xf>
    <xf numFmtId="9" fontId="35" fillId="0" borderId="13" xfId="0" applyNumberFormat="1" applyFont="1" applyBorder="1" applyAlignment="1">
      <alignment horizontal="right" vertical="center" wrapText="1"/>
    </xf>
    <xf numFmtId="0" fontId="21" fillId="2" borderId="15" xfId="0" quotePrefix="1" applyFont="1" applyFill="1" applyBorder="1" applyAlignment="1">
      <alignment vertical="center"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49" fontId="3" fillId="2" borderId="50" xfId="0" applyNumberFormat="1" applyFont="1" applyFill="1" applyBorder="1" applyAlignment="1">
      <alignment horizontal="center" vertical="center" wrapText="1"/>
    </xf>
    <xf numFmtId="49" fontId="33" fillId="0" borderId="32" xfId="0" applyNumberFormat="1" applyFont="1" applyBorder="1" applyAlignment="1">
      <alignment horizontal="center" vertical="center" wrapText="1"/>
    </xf>
    <xf numFmtId="3" fontId="33" fillId="0" borderId="27" xfId="0" applyNumberFormat="1" applyFont="1" applyBorder="1" applyAlignment="1">
      <alignment horizontal="right" vertical="center" wrapText="1"/>
    </xf>
    <xf numFmtId="9" fontId="33" fillId="0" borderId="28" xfId="0" applyNumberFormat="1" applyFont="1" applyBorder="1" applyAlignment="1">
      <alignment horizontal="right" vertical="center" wrapText="1"/>
    </xf>
    <xf numFmtId="0" fontId="36" fillId="2" borderId="1" xfId="0" quotePrefix="1" applyFont="1" applyFill="1" applyBorder="1" applyAlignment="1">
      <alignment horizontal="left" vertical="center" wrapText="1"/>
    </xf>
    <xf numFmtId="0" fontId="36" fillId="2" borderId="12" xfId="0" quotePrefix="1" applyFont="1" applyFill="1" applyBorder="1" applyAlignment="1">
      <alignment horizontal="left" vertical="center" wrapText="1"/>
    </xf>
    <xf numFmtId="0" fontId="36" fillId="0" borderId="1" xfId="0" applyFont="1" applyBorder="1" applyAlignment="1">
      <alignment horizontal="left" wrapText="1"/>
    </xf>
    <xf numFmtId="0" fontId="35" fillId="0" borderId="1" xfId="0" applyFont="1" applyBorder="1" applyAlignment="1">
      <alignment wrapText="1"/>
    </xf>
    <xf numFmtId="3" fontId="35" fillId="2" borderId="3" xfId="0" applyNumberFormat="1" applyFont="1" applyFill="1" applyBorder="1" applyAlignment="1">
      <alignment horizontal="center" vertical="center" wrapText="1"/>
    </xf>
    <xf numFmtId="3" fontId="35" fillId="2" borderId="40" xfId="0" quotePrefix="1" applyNumberFormat="1" applyFont="1" applyFill="1" applyBorder="1" applyAlignment="1">
      <alignment horizontal="center" vertical="center" wrapText="1"/>
    </xf>
    <xf numFmtId="0" fontId="21" fillId="2" borderId="15" xfId="0" quotePrefix="1" applyFont="1" applyFill="1" applyBorder="1" applyAlignment="1">
      <alignment horizontal="left" vertical="center" wrapText="1"/>
    </xf>
    <xf numFmtId="3" fontId="33" fillId="2" borderId="27" xfId="0" applyNumberFormat="1" applyFont="1" applyFill="1" applyBorder="1" applyAlignment="1">
      <alignment vertical="center"/>
    </xf>
    <xf numFmtId="3" fontId="33" fillId="0" borderId="27" xfId="0" applyNumberFormat="1" applyFont="1" applyBorder="1" applyAlignment="1">
      <alignment vertical="center" wrapText="1"/>
    </xf>
    <xf numFmtId="168" fontId="33" fillId="0" borderId="27" xfId="0" applyNumberFormat="1" applyFont="1" applyBorder="1" applyAlignment="1">
      <alignment vertical="center" wrapText="1"/>
    </xf>
    <xf numFmtId="3" fontId="35" fillId="0" borderId="50" xfId="0" applyNumberFormat="1" applyFont="1" applyBorder="1" applyAlignment="1">
      <alignment horizontal="right" vertical="center"/>
    </xf>
    <xf numFmtId="168" fontId="33" fillId="0" borderId="28" xfId="0" applyNumberFormat="1" applyFont="1" applyBorder="1" applyAlignment="1">
      <alignment horizontal="right" vertical="center"/>
    </xf>
    <xf numFmtId="164" fontId="8" fillId="2" borderId="27" xfId="0" applyNumberFormat="1" applyFont="1" applyFill="1" applyBorder="1" applyAlignment="1">
      <alignment horizontal="right" vertical="center"/>
    </xf>
    <xf numFmtId="164" fontId="8" fillId="2" borderId="1" xfId="0" applyNumberFormat="1" applyFont="1" applyFill="1" applyBorder="1" applyAlignment="1">
      <alignment horizontal="right" vertical="center"/>
    </xf>
    <xf numFmtId="0" fontId="7" fillId="2" borderId="27" xfId="0" quotePrefix="1" applyFont="1" applyFill="1" applyBorder="1" applyAlignment="1">
      <alignment vertical="center" wrapText="1"/>
    </xf>
    <xf numFmtId="3" fontId="33" fillId="2" borderId="27" xfId="0" applyNumberFormat="1" applyFont="1" applyFill="1" applyBorder="1" applyAlignment="1">
      <alignment vertical="center" wrapText="1"/>
    </xf>
    <xf numFmtId="3" fontId="33" fillId="2" borderId="27" xfId="0" applyNumberFormat="1" applyFont="1" applyFill="1" applyBorder="1" applyAlignment="1">
      <alignment horizontal="right" vertical="center" wrapText="1"/>
    </xf>
    <xf numFmtId="3" fontId="33" fillId="2" borderId="27" xfId="0" applyNumberFormat="1" applyFont="1" applyFill="1" applyBorder="1" applyAlignment="1">
      <alignment horizontal="right" vertical="center"/>
    </xf>
    <xf numFmtId="9" fontId="33" fillId="2" borderId="27" xfId="0" applyNumberFormat="1" applyFont="1" applyFill="1" applyBorder="1" applyAlignment="1">
      <alignment horizontal="right" vertical="center" wrapText="1"/>
    </xf>
    <xf numFmtId="49" fontId="3" fillId="2" borderId="15" xfId="0" applyNumberFormat="1" applyFont="1" applyFill="1" applyBorder="1" applyAlignment="1">
      <alignment horizontal="center" vertical="center" wrapText="1"/>
    </xf>
    <xf numFmtId="49" fontId="3" fillId="2" borderId="48" xfId="0" applyNumberFormat="1" applyFont="1" applyFill="1" applyBorder="1" applyAlignment="1">
      <alignment horizontal="center" vertical="center" wrapText="1"/>
    </xf>
    <xf numFmtId="0" fontId="21" fillId="2" borderId="14" xfId="0" quotePrefix="1" applyFont="1" applyFill="1" applyBorder="1" applyAlignment="1">
      <alignment vertical="center" wrapText="1"/>
    </xf>
    <xf numFmtId="3" fontId="33" fillId="2" borderId="15" xfId="0" applyNumberFormat="1" applyFont="1" applyFill="1" applyBorder="1" applyAlignment="1">
      <alignment vertical="center" wrapText="1"/>
    </xf>
    <xf numFmtId="49" fontId="35" fillId="2" borderId="15" xfId="0" applyNumberFormat="1" applyFont="1" applyFill="1" applyBorder="1" applyAlignment="1">
      <alignment horizontal="center" vertical="center" wrapText="1"/>
    </xf>
    <xf numFmtId="3" fontId="33" fillId="2" borderId="15" xfId="0" applyNumberFormat="1" applyFont="1" applyFill="1" applyBorder="1" applyAlignment="1">
      <alignment horizontal="right" vertical="center" wrapText="1"/>
    </xf>
    <xf numFmtId="3" fontId="33" fillId="2" borderId="15" xfId="0" applyNumberFormat="1" applyFont="1" applyFill="1" applyBorder="1" applyAlignment="1">
      <alignment horizontal="right" vertical="center"/>
    </xf>
    <xf numFmtId="9" fontId="33" fillId="2" borderId="15" xfId="0" applyNumberFormat="1" applyFont="1" applyFill="1" applyBorder="1" applyAlignment="1">
      <alignment horizontal="right" vertical="center" wrapText="1"/>
    </xf>
    <xf numFmtId="9" fontId="33" fillId="2" borderId="16" xfId="0" applyNumberFormat="1" applyFont="1" applyFill="1" applyBorder="1" applyAlignment="1">
      <alignment horizontal="right" vertical="center"/>
    </xf>
    <xf numFmtId="0" fontId="2" fillId="2" borderId="48" xfId="0" applyFont="1" applyFill="1" applyBorder="1" applyAlignment="1">
      <alignment horizontal="center" vertical="center" wrapText="1"/>
    </xf>
    <xf numFmtId="0" fontId="35" fillId="0" borderId="15" xfId="0" applyFont="1" applyBorder="1" applyAlignment="1">
      <alignment vertical="center" wrapText="1"/>
    </xf>
    <xf numFmtId="0" fontId="35" fillId="0" borderId="15" xfId="0" applyFont="1" applyBorder="1" applyAlignment="1">
      <alignment horizontal="center" vertical="center" wrapText="1"/>
    </xf>
    <xf numFmtId="3" fontId="33" fillId="2" borderId="15" xfId="0" applyNumberFormat="1" applyFont="1" applyFill="1" applyBorder="1" applyAlignment="1">
      <alignment vertical="center"/>
    </xf>
    <xf numFmtId="3" fontId="33" fillId="0" borderId="15" xfId="0" applyNumberFormat="1" applyFont="1" applyBorder="1" applyAlignment="1">
      <alignment vertical="center" wrapText="1"/>
    </xf>
    <xf numFmtId="168" fontId="33" fillId="0" borderId="15" xfId="0" applyNumberFormat="1" applyFont="1" applyBorder="1" applyAlignment="1">
      <alignment vertical="center" wrapText="1"/>
    </xf>
    <xf numFmtId="3" fontId="29" fillId="0" borderId="15" xfId="0" applyNumberFormat="1" applyFont="1" applyBorder="1" applyAlignment="1">
      <alignment horizontal="right" vertical="center"/>
    </xf>
    <xf numFmtId="168" fontId="33" fillId="0" borderId="16" xfId="0" applyNumberFormat="1" applyFont="1" applyBorder="1" applyAlignment="1">
      <alignment horizontal="right" vertical="center"/>
    </xf>
    <xf numFmtId="3" fontId="33" fillId="2" borderId="12" xfId="0" applyNumberFormat="1" applyFont="1" applyFill="1" applyBorder="1" applyAlignment="1">
      <alignment vertical="center"/>
    </xf>
    <xf numFmtId="168" fontId="33" fillId="0" borderId="12" xfId="0" applyNumberFormat="1" applyFont="1" applyBorder="1" applyAlignment="1">
      <alignment vertical="center" wrapText="1"/>
    </xf>
    <xf numFmtId="3" fontId="35" fillId="0" borderId="12" xfId="0" applyNumberFormat="1" applyFont="1" applyBorder="1" applyAlignment="1">
      <alignment horizontal="right" vertical="center"/>
    </xf>
    <xf numFmtId="0" fontId="3" fillId="2" borderId="15" xfId="0" applyFont="1" applyFill="1" applyBorder="1" applyAlignment="1">
      <alignment horizontal="center" vertical="center" wrapText="1"/>
    </xf>
    <xf numFmtId="3" fontId="35" fillId="2" borderId="27" xfId="0" applyNumberFormat="1" applyFont="1" applyFill="1" applyBorder="1" applyAlignment="1">
      <alignment horizontal="right" vertical="center"/>
    </xf>
    <xf numFmtId="3" fontId="33" fillId="2" borderId="18" xfId="0" applyNumberFormat="1" applyFont="1" applyFill="1" applyBorder="1" applyAlignment="1">
      <alignment vertical="center" wrapText="1"/>
    </xf>
    <xf numFmtId="3" fontId="33" fillId="2" borderId="18" xfId="0" applyNumberFormat="1" applyFont="1" applyFill="1" applyBorder="1" applyAlignment="1">
      <alignment horizontal="right" vertical="center" wrapText="1"/>
    </xf>
    <xf numFmtId="3" fontId="33" fillId="2" borderId="18" xfId="0" applyNumberFormat="1" applyFont="1" applyFill="1" applyBorder="1" applyAlignment="1">
      <alignment horizontal="right" vertical="center"/>
    </xf>
    <xf numFmtId="9" fontId="33" fillId="2" borderId="18" xfId="0" applyNumberFormat="1" applyFont="1" applyFill="1" applyBorder="1" applyAlignment="1">
      <alignment horizontal="right"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5" xfId="0" quotePrefix="1" applyFont="1" applyFill="1" applyBorder="1" applyAlignment="1">
      <alignment vertical="center" wrapText="1"/>
    </xf>
    <xf numFmtId="164" fontId="5" fillId="2" borderId="15" xfId="0" applyNumberFormat="1" applyFont="1" applyFill="1" applyBorder="1" applyAlignment="1">
      <alignment vertical="center"/>
    </xf>
    <xf numFmtId="164" fontId="8" fillId="2" borderId="16" xfId="0" applyNumberFormat="1" applyFont="1" applyFill="1" applyBorder="1" applyAlignment="1">
      <alignment vertical="center"/>
    </xf>
    <xf numFmtId="164" fontId="8" fillId="2" borderId="15" xfId="0" applyNumberFormat="1" applyFont="1" applyFill="1" applyBorder="1" applyAlignment="1">
      <alignment vertical="center"/>
    </xf>
    <xf numFmtId="0" fontId="13" fillId="0" borderId="31" xfId="0" applyFont="1" applyFill="1" applyBorder="1" applyAlignment="1">
      <alignment vertical="center" wrapText="1"/>
    </xf>
    <xf numFmtId="0" fontId="36" fillId="0" borderId="4" xfId="0" applyFont="1" applyBorder="1" applyAlignment="1">
      <alignment horizontal="center" vertical="center" wrapText="1"/>
    </xf>
    <xf numFmtId="0" fontId="7" fillId="0" borderId="21" xfId="0" applyFont="1" applyFill="1" applyBorder="1" applyAlignment="1">
      <alignment horizontal="center" vertical="center" wrapText="1"/>
    </xf>
    <xf numFmtId="0" fontId="35" fillId="2" borderId="11" xfId="0" applyFont="1" applyFill="1" applyBorder="1" applyAlignment="1">
      <alignment horizontal="center" vertical="center" wrapText="1"/>
    </xf>
    <xf numFmtId="0" fontId="35" fillId="2" borderId="26" xfId="0" applyFont="1" applyFill="1" applyBorder="1" applyAlignment="1">
      <alignment horizontal="center" vertical="center" wrapText="1"/>
    </xf>
    <xf numFmtId="0" fontId="35" fillId="2" borderId="12" xfId="0" applyFont="1" applyFill="1" applyBorder="1" applyAlignment="1">
      <alignment horizontal="center" vertical="center" wrapText="1"/>
    </xf>
    <xf numFmtId="0" fontId="35" fillId="2" borderId="27" xfId="0" applyFont="1" applyFill="1" applyBorder="1" applyAlignment="1">
      <alignment horizontal="center" vertical="center" wrapText="1"/>
    </xf>
    <xf numFmtId="49" fontId="35" fillId="2" borderId="12" xfId="0" applyNumberFormat="1" applyFont="1" applyFill="1" applyBorder="1" applyAlignment="1">
      <alignment horizontal="center" vertical="center" wrapText="1"/>
    </xf>
    <xf numFmtId="49" fontId="35" fillId="2" borderId="27" xfId="0" applyNumberFormat="1" applyFont="1" applyFill="1" applyBorder="1" applyAlignment="1">
      <alignment horizontal="center" vertical="center" wrapText="1"/>
    </xf>
    <xf numFmtId="49" fontId="35" fillId="2" borderId="18" xfId="0" applyNumberFormat="1" applyFont="1" applyFill="1" applyBorder="1" applyAlignment="1">
      <alignment horizontal="center" vertical="center" wrapText="1"/>
    </xf>
    <xf numFmtId="0" fontId="36" fillId="2" borderId="27" xfId="0" quotePrefix="1" applyFont="1" applyFill="1" applyBorder="1" applyAlignment="1">
      <alignment horizontal="center" vertical="center" wrapText="1"/>
    </xf>
    <xf numFmtId="0" fontId="35" fillId="0" borderId="12" xfId="0" applyFont="1" applyBorder="1" applyAlignment="1">
      <alignment horizontal="center" vertical="center" wrapText="1"/>
    </xf>
    <xf numFmtId="0" fontId="35" fillId="0" borderId="27" xfId="0" applyFont="1" applyBorder="1" applyAlignment="1">
      <alignment horizontal="center" vertical="center" wrapText="1"/>
    </xf>
    <xf numFmtId="0" fontId="35" fillId="0" borderId="18" xfId="0" applyFont="1" applyBorder="1" applyAlignment="1">
      <alignment horizontal="center" vertical="center" wrapText="1"/>
    </xf>
    <xf numFmtId="0" fontId="35" fillId="2" borderId="17" xfId="0" applyFont="1" applyFill="1" applyBorder="1" applyAlignment="1">
      <alignment horizontal="center" vertical="center"/>
    </xf>
    <xf numFmtId="1" fontId="35" fillId="2" borderId="18" xfId="0" applyNumberFormat="1" applyFont="1" applyFill="1" applyBorder="1" applyAlignment="1">
      <alignment horizontal="center" vertical="center" wrapText="1"/>
    </xf>
    <xf numFmtId="3" fontId="36" fillId="2" borderId="12" xfId="0" applyNumberFormat="1" applyFont="1" applyFill="1" applyBorder="1" applyAlignment="1">
      <alignment horizontal="center" vertical="center" wrapText="1"/>
    </xf>
    <xf numFmtId="3" fontId="36" fillId="2" borderId="18" xfId="0" applyNumberFormat="1" applyFont="1" applyFill="1" applyBorder="1" applyAlignment="1">
      <alignment horizontal="center" vertical="center" wrapText="1"/>
    </xf>
    <xf numFmtId="49" fontId="35" fillId="2" borderId="11" xfId="0" applyNumberFormat="1" applyFont="1" applyFill="1" applyBorder="1" applyAlignment="1">
      <alignment horizontal="center" vertical="center"/>
    </xf>
    <xf numFmtId="49" fontId="35" fillId="2" borderId="26" xfId="0" applyNumberFormat="1" applyFont="1" applyFill="1" applyBorder="1" applyAlignment="1">
      <alignment horizontal="center" vertical="center"/>
    </xf>
    <xf numFmtId="0" fontId="35" fillId="2" borderId="9" xfId="0" applyFont="1" applyFill="1" applyBorder="1" applyAlignment="1">
      <alignment horizontal="center" vertical="center" wrapText="1"/>
    </xf>
    <xf numFmtId="0" fontId="35" fillId="2" borderId="1" xfId="0" applyFont="1" applyFill="1" applyBorder="1" applyAlignment="1">
      <alignment horizontal="center" vertical="center" wrapText="1"/>
    </xf>
    <xf numFmtId="49" fontId="35" fillId="2" borderId="1" xfId="0" applyNumberFormat="1" applyFont="1" applyFill="1" applyBorder="1" applyAlignment="1">
      <alignment horizontal="center" vertical="center" wrapText="1"/>
    </xf>
    <xf numFmtId="0" fontId="36" fillId="2" borderId="1" xfId="0" quotePrefix="1" applyFont="1" applyFill="1" applyBorder="1" applyAlignment="1">
      <alignment horizontal="center" vertical="center" wrapText="1"/>
    </xf>
    <xf numFmtId="0" fontId="35" fillId="0" borderId="1" xfId="0" applyFont="1" applyBorder="1" applyAlignment="1">
      <alignment horizontal="center" vertical="center" wrapText="1"/>
    </xf>
    <xf numFmtId="49" fontId="3" fillId="2" borderId="9"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3" fillId="2" borderId="11"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 fillId="0" borderId="12" xfId="0" applyNumberFormat="1" applyFont="1" applyBorder="1" applyAlignment="1">
      <alignment horizontal="center" vertical="center" wrapText="1"/>
    </xf>
    <xf numFmtId="0" fontId="40" fillId="0" borderId="12" xfId="0" applyFont="1" applyBorder="1" applyAlignment="1">
      <alignment horizontal="center" vertical="center"/>
    </xf>
    <xf numFmtId="49" fontId="3" fillId="2" borderId="26"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49" fontId="3" fillId="2" borderId="18" xfId="0" applyNumberFormat="1" applyFont="1" applyFill="1" applyBorder="1" applyAlignment="1">
      <alignment horizontal="center" vertical="center" wrapText="1"/>
    </xf>
    <xf numFmtId="0" fontId="45" fillId="0" borderId="26" xfId="0" applyFont="1" applyFill="1" applyBorder="1" applyAlignment="1">
      <alignment horizontal="center" vertical="center" wrapText="1"/>
    </xf>
    <xf numFmtId="0" fontId="45" fillId="0" borderId="27" xfId="0" applyFont="1" applyFill="1" applyBorder="1" applyAlignment="1">
      <alignment horizontal="center" vertical="center" wrapText="1"/>
    </xf>
    <xf numFmtId="0" fontId="45" fillId="0" borderId="32" xfId="0" applyFont="1" applyFill="1" applyBorder="1" applyAlignment="1">
      <alignment horizontal="center" vertical="center" wrapText="1"/>
    </xf>
    <xf numFmtId="0" fontId="45" fillId="0" borderId="27" xfId="0" applyFont="1" applyFill="1" applyBorder="1" applyAlignment="1">
      <alignment horizontal="center" vertical="center"/>
    </xf>
    <xf numFmtId="0" fontId="45" fillId="0" borderId="28" xfId="0" applyFont="1" applyFill="1" applyBorder="1" applyAlignment="1">
      <alignment horizontal="center" vertical="center"/>
    </xf>
    <xf numFmtId="9" fontId="33" fillId="2" borderId="19" xfId="0" applyNumberFormat="1" applyFont="1" applyFill="1" applyBorder="1" applyAlignment="1">
      <alignment horizontal="right" vertical="center"/>
    </xf>
    <xf numFmtId="9" fontId="33" fillId="2" borderId="28" xfId="0" applyNumberFormat="1" applyFont="1" applyFill="1" applyBorder="1" applyAlignment="1">
      <alignment horizontal="right" vertical="center"/>
    </xf>
    <xf numFmtId="168" fontId="33" fillId="0" borderId="13" xfId="0" applyNumberFormat="1" applyFont="1" applyBorder="1" applyAlignment="1">
      <alignment horizontal="right" vertical="center"/>
    </xf>
    <xf numFmtId="0" fontId="5" fillId="0" borderId="1" xfId="0" quotePrefix="1" applyFont="1" applyFill="1" applyBorder="1" applyAlignment="1">
      <alignment vertical="center" wrapText="1"/>
    </xf>
    <xf numFmtId="0" fontId="7" fillId="0" borderId="0" xfId="0" applyFont="1" applyAlignment="1">
      <alignment horizontal="left" vertical="top" wrapText="1"/>
    </xf>
    <xf numFmtId="0" fontId="5" fillId="0" borderId="10" xfId="0" applyFont="1" applyBorder="1" applyAlignment="1">
      <alignment horizontal="center" vertical="center" wrapText="1"/>
    </xf>
    <xf numFmtId="0" fontId="6" fillId="0" borderId="1" xfId="0" applyFont="1" applyBorder="1" applyAlignment="1">
      <alignment vertical="center" wrapText="1"/>
    </xf>
    <xf numFmtId="164" fontId="6" fillId="0" borderId="1" xfId="0" applyNumberFormat="1" applyFont="1" applyBorder="1" applyAlignment="1">
      <alignment horizontal="right" vertical="center"/>
    </xf>
    <xf numFmtId="164" fontId="6" fillId="0" borderId="10" xfId="0" applyNumberFormat="1" applyFont="1" applyBorder="1" applyAlignment="1">
      <alignment horizontal="right" vertical="center"/>
    </xf>
    <xf numFmtId="164" fontId="0" fillId="0" borderId="0" xfId="0" applyNumberFormat="1"/>
    <xf numFmtId="0" fontId="23" fillId="0" borderId="1" xfId="0" applyFont="1" applyBorder="1" applyAlignment="1">
      <alignment vertical="center" wrapText="1"/>
    </xf>
    <xf numFmtId="164" fontId="23" fillId="2" borderId="1" xfId="0" applyNumberFormat="1" applyFont="1" applyFill="1" applyBorder="1" applyAlignment="1">
      <alignment horizontal="right" vertical="center"/>
    </xf>
    <xf numFmtId="0" fontId="5" fillId="0" borderId="1" xfId="0" applyFont="1" applyBorder="1" applyAlignment="1">
      <alignment vertical="center" wrapText="1"/>
    </xf>
    <xf numFmtId="164" fontId="5" fillId="0" borderId="1" xfId="0" applyNumberFormat="1" applyFont="1" applyBorder="1" applyAlignment="1">
      <alignment horizontal="right" vertical="center"/>
    </xf>
    <xf numFmtId="164" fontId="23" fillId="0" borderId="1" xfId="0" applyNumberFormat="1" applyFont="1" applyBorder="1" applyAlignment="1">
      <alignment horizontal="right" vertical="center"/>
    </xf>
    <xf numFmtId="0" fontId="5" fillId="0" borderId="9" xfId="0" applyFont="1" applyBorder="1" applyAlignment="1">
      <alignment horizontal="left" vertical="center" wrapText="1"/>
    </xf>
    <xf numFmtId="164" fontId="5" fillId="0" borderId="10" xfId="0" applyNumberFormat="1" applyFont="1" applyBorder="1" applyAlignment="1">
      <alignment horizontal="right" vertical="center"/>
    </xf>
    <xf numFmtId="164" fontId="23" fillId="0" borderId="10" xfId="0" applyNumberFormat="1" applyFont="1" applyBorder="1" applyAlignment="1">
      <alignment horizontal="right" vertical="center"/>
    </xf>
    <xf numFmtId="0" fontId="6" fillId="0" borderId="9" xfId="0" applyFont="1" applyBorder="1" applyAlignment="1">
      <alignment horizontal="left" vertical="center" wrapText="1"/>
    </xf>
    <xf numFmtId="0" fontId="23" fillId="0" borderId="9" xfId="0" applyFont="1" applyBorder="1" applyAlignment="1">
      <alignment horizontal="left" vertical="center" wrapText="1"/>
    </xf>
    <xf numFmtId="164" fontId="5" fillId="0" borderId="1" xfId="0" applyNumberFormat="1" applyFont="1" applyBorder="1" applyAlignment="1">
      <alignment vertical="center" wrapText="1"/>
    </xf>
    <xf numFmtId="164" fontId="6" fillId="0" borderId="10" xfId="0" applyNumberFormat="1" applyFont="1" applyBorder="1" applyAlignment="1">
      <alignment horizontal="center" vertical="center"/>
    </xf>
    <xf numFmtId="0" fontId="7" fillId="0" borderId="1" xfId="0" applyFont="1" applyBorder="1" applyAlignment="1">
      <alignment vertical="center" wrapText="1"/>
    </xf>
    <xf numFmtId="0" fontId="7" fillId="0" borderId="9" xfId="0" applyFont="1" applyBorder="1" applyAlignment="1">
      <alignment horizontal="left" vertical="center"/>
    </xf>
    <xf numFmtId="0" fontId="14" fillId="0" borderId="9" xfId="0" applyFont="1" applyBorder="1" applyAlignment="1">
      <alignment horizontal="left" vertical="center"/>
    </xf>
    <xf numFmtId="0" fontId="6" fillId="0" borderId="21" xfId="0" applyFont="1" applyBorder="1" applyAlignment="1">
      <alignment vertical="center" wrapText="1"/>
    </xf>
    <xf numFmtId="164" fontId="6" fillId="0" borderId="21" xfId="0" applyNumberFormat="1" applyFont="1" applyBorder="1" applyAlignment="1">
      <alignment horizontal="right" vertical="center"/>
    </xf>
    <xf numFmtId="164" fontId="6" fillId="0" borderId="22" xfId="0" applyNumberFormat="1" applyFont="1" applyBorder="1" applyAlignment="1">
      <alignment horizontal="right" vertical="center"/>
    </xf>
    <xf numFmtId="49" fontId="15" fillId="0" borderId="0" xfId="0" applyNumberFormat="1" applyFont="1" applyAlignment="1">
      <alignment horizontal="center" vertical="center"/>
    </xf>
    <xf numFmtId="0" fontId="5" fillId="0" borderId="0" xfId="0" applyFont="1" applyAlignment="1">
      <alignment horizontal="left"/>
    </xf>
    <xf numFmtId="0" fontId="35" fillId="2" borderId="9"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5" fillId="0" borderId="9" xfId="0" applyFont="1" applyFill="1" applyBorder="1" applyAlignment="1">
      <alignment horizontal="left" vertical="center" wrapText="1"/>
    </xf>
    <xf numFmtId="0" fontId="7" fillId="0" borderId="9" xfId="0" applyFont="1" applyFill="1" applyBorder="1" applyAlignment="1">
      <alignment horizontal="left" vertical="center" wrapText="1"/>
    </xf>
    <xf numFmtId="0" fontId="6" fillId="0" borderId="20" xfId="0" applyFont="1" applyBorder="1" applyAlignment="1">
      <alignment horizontal="left" vertical="center" wrapText="1"/>
    </xf>
    <xf numFmtId="0" fontId="36" fillId="4" borderId="1" xfId="0" applyFont="1" applyFill="1" applyBorder="1" applyAlignment="1">
      <alignment horizontal="center" vertical="center" wrapText="1"/>
    </xf>
    <xf numFmtId="0" fontId="36" fillId="0" borderId="12" xfId="0" applyFont="1" applyBorder="1" applyAlignment="1">
      <alignment horizontal="center" vertical="center" wrapText="1"/>
    </xf>
    <xf numFmtId="3" fontId="7" fillId="2" borderId="1" xfId="0" applyNumberFormat="1" applyFont="1" applyFill="1" applyBorder="1" applyAlignment="1">
      <alignment horizontal="right" vertical="center"/>
    </xf>
    <xf numFmtId="0" fontId="46" fillId="0" borderId="0" xfId="0" applyFont="1" applyAlignment="1">
      <alignment horizontal="center"/>
    </xf>
    <xf numFmtId="0" fontId="15" fillId="0" borderId="0" xfId="0" applyFont="1" applyAlignment="1">
      <alignment horizontal="right" vertical="center"/>
    </xf>
    <xf numFmtId="0" fontId="21" fillId="0" borderId="0" xfId="0" applyFont="1" applyAlignment="1">
      <alignment horizontal="center"/>
    </xf>
    <xf numFmtId="0" fontId="22" fillId="0" borderId="0" xfId="0" applyFont="1" applyAlignment="1">
      <alignment horizontal="center"/>
    </xf>
    <xf numFmtId="0" fontId="19" fillId="0" borderId="0" xfId="0" applyFont="1" applyAlignment="1">
      <alignment horizontal="left"/>
    </xf>
    <xf numFmtId="0" fontId="4" fillId="0" borderId="0" xfId="0" quotePrefix="1" applyFont="1" applyAlignment="1">
      <alignment horizontal="left"/>
    </xf>
    <xf numFmtId="0" fontId="7" fillId="0" borderId="0" xfId="0" applyFont="1" applyAlignment="1">
      <alignment horizontal="left"/>
    </xf>
    <xf numFmtId="0" fontId="5" fillId="0" borderId="6" xfId="0" applyFont="1" applyBorder="1" applyAlignment="1">
      <alignment horizontal="left" vertical="center" wrapText="1"/>
    </xf>
    <xf numFmtId="0" fontId="5" fillId="0" borderId="9" xfId="0" applyFont="1" applyBorder="1" applyAlignment="1">
      <alignment horizontal="left"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0" xfId="0" applyFont="1" applyFill="1" applyBorder="1" applyAlignment="1">
      <alignment horizontal="left" vertical="center"/>
    </xf>
    <xf numFmtId="0" fontId="7" fillId="0" borderId="0" xfId="0" applyFont="1" applyAlignment="1">
      <alignment horizontal="left" vertical="top" wrapText="1"/>
    </xf>
    <xf numFmtId="0" fontId="6" fillId="2" borderId="34" xfId="0" applyFont="1" applyFill="1" applyBorder="1" applyAlignment="1">
      <alignment horizontal="left" vertical="center"/>
    </xf>
    <xf numFmtId="0" fontId="5" fillId="2" borderId="4" xfId="0" applyFont="1" applyFill="1" applyBorder="1" applyAlignment="1">
      <alignment horizontal="left"/>
    </xf>
    <xf numFmtId="0" fontId="5" fillId="2" borderId="36" xfId="0" applyFont="1" applyFill="1" applyBorder="1" applyAlignment="1">
      <alignment horizontal="left"/>
    </xf>
    <xf numFmtId="164" fontId="6" fillId="2" borderId="34" xfId="0" applyNumberFormat="1" applyFont="1" applyFill="1" applyBorder="1" applyAlignment="1">
      <alignment horizontal="left" vertical="center"/>
    </xf>
    <xf numFmtId="164" fontId="5" fillId="2" borderId="4" xfId="0" applyNumberFormat="1" applyFont="1" applyFill="1" applyBorder="1" applyAlignment="1">
      <alignment horizontal="left"/>
    </xf>
    <xf numFmtId="164" fontId="5" fillId="2" borderId="36" xfId="0" applyNumberFormat="1" applyFont="1" applyFill="1" applyBorder="1" applyAlignment="1">
      <alignment horizontal="left"/>
    </xf>
    <xf numFmtId="0" fontId="13" fillId="0" borderId="0" xfId="0" applyFont="1" applyAlignment="1">
      <alignment horizontal="left"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2" fillId="0" borderId="0" xfId="0" applyFont="1" applyAlignment="1">
      <alignment horizontal="center"/>
    </xf>
    <xf numFmtId="0" fontId="3" fillId="0" borderId="0" xfId="0" applyFont="1" applyAlignment="1">
      <alignment horizontal="center"/>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15" fillId="2" borderId="0" xfId="0" applyFont="1" applyFill="1" applyAlignment="1">
      <alignment horizontal="left" vertical="center"/>
    </xf>
    <xf numFmtId="0" fontId="6" fillId="2" borderId="0" xfId="0" applyFont="1" applyFill="1" applyAlignment="1">
      <alignment horizontal="center"/>
    </xf>
    <xf numFmtId="0" fontId="5" fillId="2" borderId="0" xfId="0" applyFont="1" applyFill="1" applyAlignment="1">
      <alignment horizontal="center"/>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7" fillId="2" borderId="2" xfId="0" applyFont="1" applyFill="1" applyBorder="1" applyAlignment="1">
      <alignment horizontal="left"/>
    </xf>
    <xf numFmtId="0" fontId="1" fillId="2" borderId="1" xfId="0" applyFont="1" applyFill="1" applyBorder="1" applyAlignment="1">
      <alignment horizontal="right" vertical="center" wrapText="1"/>
    </xf>
    <xf numFmtId="0" fontId="5" fillId="2" borderId="0" xfId="0" applyFont="1" applyFill="1" applyAlignment="1">
      <alignment horizontal="left"/>
    </xf>
    <xf numFmtId="0" fontId="7" fillId="2" borderId="0" xfId="0" applyFont="1" applyFill="1" applyAlignment="1">
      <alignment horizontal="left" vertical="center"/>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5" fillId="0" borderId="3"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7" fillId="0" borderId="3" xfId="0" applyFont="1" applyBorder="1" applyAlignment="1">
      <alignment horizontal="left" wrapText="1"/>
    </xf>
    <xf numFmtId="0" fontId="7" fillId="0" borderId="5" xfId="0" applyFont="1" applyBorder="1" applyAlignment="1">
      <alignment horizontal="left" wrapText="1"/>
    </xf>
    <xf numFmtId="0" fontId="6" fillId="0" borderId="11" xfId="0" applyFont="1" applyBorder="1" applyAlignment="1">
      <alignment horizontal="center"/>
    </xf>
    <xf numFmtId="0" fontId="6" fillId="0" borderId="12" xfId="0" applyFont="1" applyBorder="1" applyAlignment="1">
      <alignment horizontal="center"/>
    </xf>
    <xf numFmtId="0" fontId="6" fillId="0" borderId="13" xfId="0" applyFont="1" applyBorder="1" applyAlignment="1">
      <alignment horizontal="center"/>
    </xf>
    <xf numFmtId="0" fontId="6" fillId="0" borderId="9" xfId="0" applyFont="1" applyBorder="1" applyAlignment="1">
      <alignment horizontal="center"/>
    </xf>
    <xf numFmtId="0" fontId="6" fillId="0" borderId="1" xfId="0" applyFont="1" applyBorder="1" applyAlignment="1">
      <alignment horizontal="center"/>
    </xf>
    <xf numFmtId="0" fontId="13" fillId="0" borderId="0" xfId="0" applyFont="1" applyAlignment="1">
      <alignment horizontal="left" wrapText="1"/>
    </xf>
    <xf numFmtId="0" fontId="13" fillId="0" borderId="0" xfId="0" applyFont="1" applyAlignment="1">
      <alignment horizontal="center"/>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3" fillId="0" borderId="3" xfId="0" applyFont="1" applyBorder="1" applyAlignment="1">
      <alignment horizontal="center" wrapText="1"/>
    </xf>
    <xf numFmtId="0" fontId="13" fillId="0" borderId="5" xfId="0" applyFont="1" applyBorder="1" applyAlignment="1">
      <alignment horizontal="center" wrapText="1"/>
    </xf>
    <xf numFmtId="0" fontId="6" fillId="0" borderId="34"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5" fillId="0" borderId="0" xfId="0" applyFont="1" applyAlignment="1">
      <alignment horizontal="left"/>
    </xf>
    <xf numFmtId="0" fontId="1" fillId="0" borderId="38" xfId="0" applyFont="1" applyBorder="1" applyAlignment="1">
      <alignment horizontal="center" vertical="top" wrapText="1"/>
    </xf>
    <xf numFmtId="0" fontId="1" fillId="0" borderId="30" xfId="0" applyFont="1" applyBorder="1" applyAlignment="1">
      <alignment horizontal="center" vertical="top" wrapText="1"/>
    </xf>
    <xf numFmtId="0" fontId="5" fillId="0" borderId="40" xfId="0" applyFont="1" applyBorder="1" applyAlignment="1">
      <alignment horizontal="center" vertical="top" wrapText="1"/>
    </xf>
    <xf numFmtId="0" fontId="5" fillId="0" borderId="23" xfId="0" applyFont="1" applyBorder="1" applyAlignment="1">
      <alignment horizontal="center" vertical="top" wrapText="1"/>
    </xf>
    <xf numFmtId="0" fontId="6" fillId="0" borderId="3" xfId="0" applyFont="1" applyBorder="1" applyAlignment="1">
      <alignment horizontal="center" wrapText="1"/>
    </xf>
    <xf numFmtId="0" fontId="6" fillId="0" borderId="5" xfId="0" applyFont="1" applyBorder="1" applyAlignment="1">
      <alignment horizontal="center" wrapText="1"/>
    </xf>
    <xf numFmtId="0" fontId="15" fillId="0" borderId="0" xfId="0" applyFont="1" applyFill="1" applyAlignment="1">
      <alignment horizontal="center" wrapText="1"/>
    </xf>
    <xf numFmtId="0" fontId="7" fillId="0" borderId="7"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2" fillId="0" borderId="0" xfId="0" applyFont="1" applyFill="1" applyAlignment="1">
      <alignment horizontal="center"/>
    </xf>
    <xf numFmtId="0" fontId="3" fillId="0" borderId="0" xfId="0" applyFont="1" applyFill="1" applyAlignment="1">
      <alignment horizontal="center"/>
    </xf>
    <xf numFmtId="1" fontId="44" fillId="0" borderId="0" xfId="0" quotePrefix="1" applyNumberFormat="1" applyFont="1" applyFill="1" applyAlignment="1">
      <alignment horizontal="left"/>
    </xf>
    <xf numFmtId="0" fontId="9" fillId="0" borderId="6"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35" fillId="2" borderId="11" xfId="0" applyFont="1" applyFill="1" applyBorder="1" applyAlignment="1">
      <alignment horizontal="center" vertical="center" wrapText="1"/>
    </xf>
    <xf numFmtId="0" fontId="35" fillId="2" borderId="26" xfId="0" applyFont="1" applyFill="1" applyBorder="1" applyAlignment="1">
      <alignment horizontal="center" vertical="center" wrapText="1"/>
    </xf>
    <xf numFmtId="0" fontId="35" fillId="2" borderId="17" xfId="0" applyFont="1" applyFill="1" applyBorder="1" applyAlignment="1">
      <alignment horizontal="center" vertical="center" wrapText="1"/>
    </xf>
    <xf numFmtId="0" fontId="35" fillId="2" borderId="12" xfId="0" applyFont="1" applyFill="1" applyBorder="1" applyAlignment="1">
      <alignment horizontal="center" vertical="center" wrapText="1"/>
    </xf>
    <xf numFmtId="0" fontId="35" fillId="2" borderId="27" xfId="0" applyFont="1" applyFill="1" applyBorder="1" applyAlignment="1">
      <alignment horizontal="center" vertical="center" wrapText="1"/>
    </xf>
    <xf numFmtId="0" fontId="35" fillId="2" borderId="18" xfId="0" applyFont="1" applyFill="1" applyBorder="1" applyAlignment="1">
      <alignment horizontal="center" vertical="center" wrapText="1"/>
    </xf>
    <xf numFmtId="49" fontId="35" fillId="2" borderId="12" xfId="0" applyNumberFormat="1" applyFont="1" applyFill="1" applyBorder="1" applyAlignment="1">
      <alignment horizontal="center" vertical="center" wrapText="1"/>
    </xf>
    <xf numFmtId="49" fontId="35" fillId="2" borderId="27" xfId="0" applyNumberFormat="1" applyFont="1" applyFill="1" applyBorder="1" applyAlignment="1">
      <alignment horizontal="center" vertical="center" wrapText="1"/>
    </xf>
    <xf numFmtId="49" fontId="35" fillId="2" borderId="18" xfId="0" applyNumberFormat="1" applyFont="1" applyFill="1" applyBorder="1" applyAlignment="1">
      <alignment horizontal="center" vertical="center" wrapText="1"/>
    </xf>
    <xf numFmtId="0" fontId="36" fillId="2" borderId="12" xfId="0" quotePrefix="1" applyFont="1" applyFill="1" applyBorder="1" applyAlignment="1">
      <alignment horizontal="center" vertical="center" wrapText="1"/>
    </xf>
    <xf numFmtId="0" fontId="36" fillId="2" borderId="27" xfId="0" quotePrefix="1" applyFont="1" applyFill="1" applyBorder="1" applyAlignment="1">
      <alignment horizontal="center" vertical="center" wrapText="1"/>
    </xf>
    <xf numFmtId="0" fontId="36" fillId="2" borderId="18" xfId="0" quotePrefix="1" applyFont="1" applyFill="1" applyBorder="1" applyAlignment="1">
      <alignment horizontal="center" vertical="center" wrapText="1"/>
    </xf>
    <xf numFmtId="0" fontId="35" fillId="0" borderId="12" xfId="0" applyFont="1" applyBorder="1" applyAlignment="1">
      <alignment horizontal="center" vertical="center" wrapText="1"/>
    </xf>
    <xf numFmtId="0" fontId="35" fillId="0" borderId="27" xfId="0" applyFont="1" applyBorder="1" applyAlignment="1">
      <alignment horizontal="center" vertical="center" wrapText="1"/>
    </xf>
    <xf numFmtId="0" fontId="35" fillId="0" borderId="18" xfId="0" applyFont="1" applyBorder="1" applyAlignment="1">
      <alignment horizontal="center" vertical="center" wrapText="1"/>
    </xf>
    <xf numFmtId="3" fontId="35" fillId="2" borderId="1" xfId="0" applyNumberFormat="1" applyFont="1" applyFill="1" applyBorder="1" applyAlignment="1">
      <alignment horizontal="center" vertical="center" wrapText="1"/>
    </xf>
    <xf numFmtId="3" fontId="35" fillId="0" borderId="1" xfId="0" applyNumberFormat="1" applyFont="1" applyBorder="1" applyAlignment="1">
      <alignment horizontal="center" vertical="center" wrapText="1"/>
    </xf>
    <xf numFmtId="3" fontId="35" fillId="2" borderId="12" xfId="0" applyNumberFormat="1" applyFont="1" applyFill="1" applyBorder="1" applyAlignment="1">
      <alignment horizontal="center" vertical="center" wrapText="1"/>
    </xf>
    <xf numFmtId="3" fontId="35" fillId="2" borderId="18" xfId="0" applyNumberFormat="1" applyFont="1" applyFill="1" applyBorder="1" applyAlignment="1">
      <alignment horizontal="center" vertical="center" wrapText="1"/>
    </xf>
    <xf numFmtId="1" fontId="35" fillId="2" borderId="12" xfId="0" applyNumberFormat="1" applyFont="1" applyFill="1" applyBorder="1" applyAlignment="1">
      <alignment horizontal="center" vertical="center" wrapText="1"/>
    </xf>
    <xf numFmtId="1" fontId="35" fillId="2" borderId="27" xfId="0" applyNumberFormat="1" applyFont="1" applyFill="1" applyBorder="1" applyAlignment="1">
      <alignment horizontal="center" vertical="center" wrapText="1"/>
    </xf>
    <xf numFmtId="1" fontId="35" fillId="2" borderId="18" xfId="0" applyNumberFormat="1" applyFont="1" applyFill="1" applyBorder="1" applyAlignment="1">
      <alignment horizontal="center" vertical="center" wrapText="1"/>
    </xf>
    <xf numFmtId="0" fontId="39" fillId="2" borderId="18" xfId="0" applyFont="1" applyFill="1" applyBorder="1" applyAlignment="1">
      <alignment horizontal="center" vertical="center" wrapText="1"/>
    </xf>
    <xf numFmtId="0" fontId="35" fillId="2" borderId="11" xfId="0" applyFont="1" applyFill="1" applyBorder="1" applyAlignment="1">
      <alignment horizontal="center" vertical="center"/>
    </xf>
    <xf numFmtId="0" fontId="35" fillId="2" borderId="17" xfId="0" applyFont="1" applyFill="1" applyBorder="1" applyAlignment="1">
      <alignment horizontal="center" vertical="center"/>
    </xf>
    <xf numFmtId="9" fontId="7" fillId="0" borderId="8" xfId="0" applyNumberFormat="1" applyFont="1" applyBorder="1" applyAlignment="1">
      <alignment horizontal="center" vertical="center" wrapText="1"/>
    </xf>
    <xf numFmtId="9" fontId="7" fillId="0" borderId="22" xfId="0" applyNumberFormat="1" applyFont="1" applyBorder="1" applyAlignment="1">
      <alignment horizontal="center" vertical="center" wrapText="1"/>
    </xf>
    <xf numFmtId="0" fontId="29" fillId="0" borderId="0" xfId="0" applyFont="1" applyAlignment="1">
      <alignment horizontal="center" vertical="center" wrapText="1"/>
    </xf>
    <xf numFmtId="0" fontId="30" fillId="0" borderId="0" xfId="0" applyFont="1" applyAlignment="1">
      <alignment horizontal="left" vertical="center" wrapText="1"/>
    </xf>
    <xf numFmtId="0" fontId="31" fillId="0" borderId="0" xfId="0" applyFont="1" applyAlignment="1">
      <alignment horizontal="center" vertical="center" wrapText="1"/>
    </xf>
    <xf numFmtId="0" fontId="32" fillId="0" borderId="0" xfId="0" applyFont="1" applyAlignment="1">
      <alignment horizontal="left" vertical="center" wrapText="1"/>
    </xf>
    <xf numFmtId="49" fontId="7" fillId="0" borderId="45"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46"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21" xfId="0" applyNumberFormat="1" applyFont="1" applyBorder="1" applyAlignment="1">
      <alignment horizontal="center" vertical="center" wrapText="1"/>
    </xf>
    <xf numFmtId="9" fontId="7" fillId="0" borderId="7" xfId="0" applyNumberFormat="1" applyFont="1" applyBorder="1" applyAlignment="1">
      <alignment horizontal="center" vertical="center" wrapText="1"/>
    </xf>
    <xf numFmtId="9" fontId="7" fillId="0" borderId="21" xfId="0" applyNumberFormat="1" applyFont="1" applyBorder="1" applyAlignment="1">
      <alignment horizontal="center" vertical="center" wrapText="1"/>
    </xf>
    <xf numFmtId="3" fontId="36" fillId="2" borderId="12" xfId="0" applyNumberFormat="1" applyFont="1" applyFill="1" applyBorder="1" applyAlignment="1">
      <alignment horizontal="center" vertical="center" wrapText="1"/>
    </xf>
    <xf numFmtId="3" fontId="36" fillId="2" borderId="18" xfId="0" applyNumberFormat="1" applyFont="1" applyFill="1" applyBorder="1" applyAlignment="1">
      <alignment horizontal="center" vertical="center" wrapText="1"/>
    </xf>
    <xf numFmtId="3" fontId="36" fillId="2" borderId="27" xfId="0" applyNumberFormat="1" applyFont="1" applyFill="1" applyBorder="1" applyAlignment="1">
      <alignment horizontal="center" vertical="center" wrapText="1"/>
    </xf>
    <xf numFmtId="49" fontId="35" fillId="2" borderId="11" xfId="0" applyNumberFormat="1" applyFont="1" applyFill="1" applyBorder="1" applyAlignment="1">
      <alignment horizontal="center" vertical="center"/>
    </xf>
    <xf numFmtId="49" fontId="35" fillId="2" borderId="26" xfId="0" applyNumberFormat="1" applyFont="1" applyFill="1" applyBorder="1" applyAlignment="1">
      <alignment horizontal="center" vertical="center"/>
    </xf>
    <xf numFmtId="49" fontId="35" fillId="2" borderId="17" xfId="0" applyNumberFormat="1" applyFont="1" applyFill="1" applyBorder="1" applyAlignment="1">
      <alignment horizontal="center" vertical="center"/>
    </xf>
    <xf numFmtId="0" fontId="39" fillId="2" borderId="17" xfId="0" applyFont="1" applyFill="1" applyBorder="1" applyAlignment="1">
      <alignment horizontal="center" vertical="center"/>
    </xf>
    <xf numFmtId="0" fontId="35" fillId="2" borderId="9" xfId="0" applyFont="1" applyFill="1" applyBorder="1" applyAlignment="1">
      <alignment horizontal="center" vertical="center" wrapText="1"/>
    </xf>
    <xf numFmtId="0" fontId="35" fillId="2" borderId="1" xfId="0" applyFont="1" applyFill="1" applyBorder="1" applyAlignment="1">
      <alignment horizontal="center" vertical="center" wrapText="1"/>
    </xf>
    <xf numFmtId="49" fontId="35" fillId="2" borderId="1" xfId="0" applyNumberFormat="1" applyFont="1" applyFill="1" applyBorder="1" applyAlignment="1">
      <alignment horizontal="center" vertical="center" wrapText="1"/>
    </xf>
    <xf numFmtId="0" fontId="36" fillId="2" borderId="1" xfId="0" quotePrefix="1" applyFont="1" applyFill="1" applyBorder="1" applyAlignment="1">
      <alignment horizontal="center" vertical="center" wrapText="1"/>
    </xf>
    <xf numFmtId="0" fontId="35" fillId="0" borderId="1" xfId="0" applyFont="1" applyBorder="1" applyAlignment="1">
      <alignment horizontal="center" vertical="center" wrapText="1"/>
    </xf>
    <xf numFmtId="49" fontId="3" fillId="2" borderId="9"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22" fillId="0" borderId="12" xfId="0" quotePrefix="1" applyNumberFormat="1" applyFont="1" applyBorder="1" applyAlignment="1">
      <alignment horizontal="center" vertical="center" wrapText="1"/>
    </xf>
    <xf numFmtId="49" fontId="22" fillId="0" borderId="18" xfId="0" quotePrefix="1" applyNumberFormat="1" applyFont="1" applyBorder="1" applyAlignment="1">
      <alignment horizontal="center" vertical="center" wrapText="1"/>
    </xf>
    <xf numFmtId="0" fontId="15" fillId="0" borderId="0" xfId="0" applyFont="1" applyAlignment="1">
      <alignment horizontal="center" wrapText="1"/>
    </xf>
    <xf numFmtId="49" fontId="3" fillId="2" borderId="11"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 fillId="0" borderId="12" xfId="0" applyNumberFormat="1" applyFont="1" applyBorder="1" applyAlignment="1">
      <alignment horizontal="center" vertical="center" wrapText="1"/>
    </xf>
    <xf numFmtId="49" fontId="3" fillId="0" borderId="18" xfId="0" applyNumberFormat="1" applyFont="1" applyBorder="1" applyAlignment="1">
      <alignment horizontal="center" vertical="center" wrapText="1"/>
    </xf>
    <xf numFmtId="0" fontId="40" fillId="0" borderId="12" xfId="0" applyFont="1" applyBorder="1" applyAlignment="1">
      <alignment horizontal="center" vertical="center"/>
    </xf>
    <xf numFmtId="0" fontId="40" fillId="0" borderId="18" xfId="0" applyFont="1" applyBorder="1" applyAlignment="1">
      <alignment horizontal="center" vertical="center"/>
    </xf>
    <xf numFmtId="49" fontId="3" fillId="2" borderId="26"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49" fontId="3" fillId="2" borderId="18" xfId="0" applyNumberFormat="1"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2" borderId="27" xfId="0" applyFont="1" applyFill="1" applyBorder="1" applyAlignment="1">
      <alignment horizontal="center" vertical="center" wrapText="1"/>
    </xf>
    <xf numFmtId="0" fontId="22" fillId="2" borderId="18" xfId="0" applyFont="1" applyFill="1" applyBorder="1" applyAlignment="1">
      <alignment horizontal="center" vertical="center" wrapText="1"/>
    </xf>
    <xf numFmtId="0" fontId="7" fillId="0" borderId="0" xfId="0" applyFont="1" applyFill="1" applyBorder="1" applyAlignment="1">
      <alignment vertical="center"/>
    </xf>
    <xf numFmtId="0" fontId="19" fillId="0" borderId="0" xfId="0" applyFont="1" applyAlignment="1"/>
  </cellXfs>
  <cellStyles count="5">
    <cellStyle name="Обычный" xfId="0" builtinId="0"/>
    <cellStyle name="Обычный 2" xfId="3"/>
    <cellStyle name="Обычный 9 2 4 2 2" xfId="2"/>
    <cellStyle name="Процентный" xfId="4" builtinId="5"/>
    <cellStyle name="Финансов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1"/>
  <sheetViews>
    <sheetView view="pageBreakPreview" topLeftCell="A80" zoomScale="80" zoomScaleNormal="100" zoomScaleSheetLayoutView="80" workbookViewId="0">
      <selection activeCell="D67" sqref="D67"/>
    </sheetView>
  </sheetViews>
  <sheetFormatPr defaultColWidth="8.88671875" defaultRowHeight="13.8" x14ac:dyDescent="0.3"/>
  <cols>
    <col min="1" max="1" width="11.33203125" style="123" customWidth="1"/>
    <col min="2" max="2" width="47.33203125" customWidth="1"/>
    <col min="3" max="3" width="17.88671875" customWidth="1"/>
    <col min="4" max="4" width="18.33203125" customWidth="1"/>
    <col min="5" max="6" width="15.6640625" customWidth="1"/>
  </cols>
  <sheetData>
    <row r="1" spans="1:9" ht="15.6" x14ac:dyDescent="0.3">
      <c r="D1" s="95" t="s">
        <v>164</v>
      </c>
      <c r="E1" s="4"/>
    </row>
    <row r="2" spans="1:9" ht="15.6" x14ac:dyDescent="0.3">
      <c r="D2" s="95" t="s">
        <v>558</v>
      </c>
      <c r="E2" s="4"/>
    </row>
    <row r="3" spans="1:9" ht="15.6" x14ac:dyDescent="0.3">
      <c r="D3" s="96" t="s">
        <v>680</v>
      </c>
      <c r="E3" s="204"/>
    </row>
    <row r="4" spans="1:9" ht="15.6" x14ac:dyDescent="0.3">
      <c r="D4" s="97" t="s">
        <v>681</v>
      </c>
      <c r="E4" s="631"/>
    </row>
    <row r="5" spans="1:9" ht="15.6" x14ac:dyDescent="0.3">
      <c r="D5" s="815" t="s">
        <v>366</v>
      </c>
      <c r="E5" s="815"/>
    </row>
    <row r="6" spans="1:9" ht="15.6" x14ac:dyDescent="0.3">
      <c r="D6" s="816" t="s">
        <v>578</v>
      </c>
      <c r="E6" s="816"/>
      <c r="F6" s="816"/>
      <c r="G6" s="816"/>
      <c r="H6" s="816"/>
      <c r="I6" s="816"/>
    </row>
    <row r="7" spans="1:9" ht="15.6" x14ac:dyDescent="0.3">
      <c r="D7" s="813" t="s">
        <v>280</v>
      </c>
      <c r="E7" s="813"/>
      <c r="F7" s="813"/>
      <c r="G7" s="766"/>
      <c r="H7" s="766"/>
      <c r="I7" s="766"/>
    </row>
    <row r="8" spans="1:9" ht="15.6" x14ac:dyDescent="0.3">
      <c r="D8" s="814" t="s">
        <v>579</v>
      </c>
      <c r="E8" s="814"/>
      <c r="F8" s="814"/>
      <c r="G8" s="766"/>
      <c r="H8" s="766"/>
      <c r="I8" s="766"/>
    </row>
    <row r="9" spans="1:9" ht="15.6" x14ac:dyDescent="0.3">
      <c r="D9" s="814" t="s">
        <v>281</v>
      </c>
      <c r="E9" s="814"/>
      <c r="F9" s="814"/>
      <c r="G9" s="766"/>
      <c r="H9" s="766"/>
      <c r="I9" s="766"/>
    </row>
    <row r="10" spans="1:9" ht="15.6" x14ac:dyDescent="0.3">
      <c r="D10" s="804" t="s">
        <v>363</v>
      </c>
      <c r="E10" s="804"/>
      <c r="F10" s="804"/>
      <c r="G10" s="813"/>
      <c r="H10" s="813"/>
      <c r="I10" s="813"/>
    </row>
    <row r="11" spans="1:9" ht="15.6" x14ac:dyDescent="0.3">
      <c r="D11" s="804" t="s">
        <v>580</v>
      </c>
      <c r="E11" s="806"/>
      <c r="F11" s="806"/>
      <c r="G11" s="814"/>
      <c r="H11" s="814"/>
      <c r="I11" s="814"/>
    </row>
    <row r="12" spans="1:9" ht="15.6" x14ac:dyDescent="0.3">
      <c r="D12" s="806" t="s">
        <v>364</v>
      </c>
      <c r="E12" s="806"/>
      <c r="F12" s="806"/>
      <c r="G12" s="814"/>
      <c r="H12" s="814"/>
      <c r="I12" s="814"/>
    </row>
    <row r="13" spans="1:9" ht="34.5" customHeight="1" x14ac:dyDescent="0.35">
      <c r="A13" s="802" t="s">
        <v>581</v>
      </c>
      <c r="B13" s="803"/>
      <c r="C13" s="803"/>
      <c r="D13" s="803"/>
      <c r="E13" s="803"/>
      <c r="F13" s="803"/>
      <c r="G13" s="804"/>
      <c r="H13" s="804"/>
      <c r="I13" s="804"/>
    </row>
    <row r="14" spans="1:9" ht="15.6" x14ac:dyDescent="0.3">
      <c r="A14" s="805" t="s">
        <v>165</v>
      </c>
      <c r="B14" s="805"/>
      <c r="C14" s="1"/>
      <c r="D14" s="1"/>
      <c r="E14" s="1"/>
      <c r="F14" s="1"/>
      <c r="G14" s="806"/>
      <c r="H14" s="806"/>
      <c r="I14" s="806"/>
    </row>
    <row r="15" spans="1:9" ht="16.2" thickBot="1" x14ac:dyDescent="0.35">
      <c r="A15" s="791" t="s">
        <v>0</v>
      </c>
      <c r="B15" s="1"/>
      <c r="C15" s="1"/>
      <c r="D15" s="1"/>
      <c r="E15" s="1"/>
      <c r="F15" s="2" t="s">
        <v>282</v>
      </c>
      <c r="G15" s="806"/>
      <c r="H15" s="806"/>
      <c r="I15" s="806"/>
    </row>
    <row r="16" spans="1:9" ht="15.6" x14ac:dyDescent="0.3">
      <c r="A16" s="807" t="s">
        <v>289</v>
      </c>
      <c r="B16" s="809" t="s">
        <v>582</v>
      </c>
      <c r="C16" s="809" t="s">
        <v>1</v>
      </c>
      <c r="D16" s="809" t="s">
        <v>2</v>
      </c>
      <c r="E16" s="809" t="s">
        <v>3</v>
      </c>
      <c r="F16" s="811"/>
    </row>
    <row r="17" spans="1:7" x14ac:dyDescent="0.3">
      <c r="A17" s="808"/>
      <c r="B17" s="810"/>
      <c r="C17" s="810"/>
      <c r="D17" s="810"/>
      <c r="E17" s="810" t="s">
        <v>4</v>
      </c>
      <c r="F17" s="812" t="s">
        <v>5</v>
      </c>
    </row>
    <row r="18" spans="1:7" x14ac:dyDescent="0.3">
      <c r="A18" s="808"/>
      <c r="B18" s="810"/>
      <c r="C18" s="810"/>
      <c r="D18" s="810"/>
      <c r="E18" s="810"/>
      <c r="F18" s="812"/>
    </row>
    <row r="19" spans="1:7" ht="15.6" x14ac:dyDescent="0.3">
      <c r="A19" s="777">
        <v>1</v>
      </c>
      <c r="B19" s="711">
        <v>2</v>
      </c>
      <c r="C19" s="711">
        <v>3</v>
      </c>
      <c r="D19" s="711">
        <v>4</v>
      </c>
      <c r="E19" s="711">
        <v>5</v>
      </c>
      <c r="F19" s="767">
        <v>6</v>
      </c>
    </row>
    <row r="20" spans="1:7" ht="15.6" x14ac:dyDescent="0.3">
      <c r="A20" s="780" t="s">
        <v>583</v>
      </c>
      <c r="B20" s="768" t="s">
        <v>584</v>
      </c>
      <c r="C20" s="107">
        <f t="shared" ref="C20:C27" si="0">D20</f>
        <v>479291416</v>
      </c>
      <c r="D20" s="107">
        <f>D21+D24+D28</f>
        <v>479291416</v>
      </c>
      <c r="E20" s="769">
        <f>E42</f>
        <v>359600</v>
      </c>
      <c r="F20" s="770">
        <v>0</v>
      </c>
      <c r="G20" s="771"/>
    </row>
    <row r="21" spans="1:7" ht="45" customHeight="1" x14ac:dyDescent="0.3">
      <c r="A21" s="781" t="s">
        <v>585</v>
      </c>
      <c r="B21" s="772" t="s">
        <v>586</v>
      </c>
      <c r="C21" s="773">
        <f t="shared" si="0"/>
        <v>301090216</v>
      </c>
      <c r="D21" s="773">
        <f>D22+D23</f>
        <v>301090216</v>
      </c>
      <c r="E21" s="769">
        <v>0</v>
      </c>
      <c r="F21" s="770">
        <v>0</v>
      </c>
      <c r="G21" s="771"/>
    </row>
    <row r="22" spans="1:7" ht="21" customHeight="1" x14ac:dyDescent="0.3">
      <c r="A22" s="777" t="s">
        <v>587</v>
      </c>
      <c r="B22" s="774" t="s">
        <v>588</v>
      </c>
      <c r="C22" s="775">
        <f t="shared" si="0"/>
        <v>300987916</v>
      </c>
      <c r="D22" s="775">
        <f>207344500+32239700+9230396+27255800+7256640+12102060+1408820+4150000</f>
        <v>300987916</v>
      </c>
      <c r="E22" s="769">
        <v>0</v>
      </c>
      <c r="F22" s="770">
        <v>0</v>
      </c>
      <c r="G22" s="771"/>
    </row>
    <row r="23" spans="1:7" ht="15.6" x14ac:dyDescent="0.3">
      <c r="A23" s="777" t="s">
        <v>589</v>
      </c>
      <c r="B23" s="774" t="s">
        <v>590</v>
      </c>
      <c r="C23" s="775">
        <f t="shared" si="0"/>
        <v>102300</v>
      </c>
      <c r="D23" s="775">
        <v>102300</v>
      </c>
      <c r="E23" s="775">
        <v>0</v>
      </c>
      <c r="F23" s="770">
        <v>0</v>
      </c>
      <c r="G23" s="771"/>
    </row>
    <row r="24" spans="1:7" ht="29.4" customHeight="1" x14ac:dyDescent="0.3">
      <c r="A24" s="781" t="s">
        <v>591</v>
      </c>
      <c r="B24" s="772" t="s">
        <v>592</v>
      </c>
      <c r="C24" s="776">
        <f t="shared" si="0"/>
        <v>19638200</v>
      </c>
      <c r="D24" s="776">
        <f>D25+D26+D27</f>
        <v>19638200</v>
      </c>
      <c r="E24" s="769">
        <v>0</v>
      </c>
      <c r="F24" s="770">
        <v>0</v>
      </c>
      <c r="G24" s="771"/>
    </row>
    <row r="25" spans="1:7" ht="31.2" x14ac:dyDescent="0.3">
      <c r="A25" s="777" t="s">
        <v>593</v>
      </c>
      <c r="B25" s="774" t="s">
        <v>594</v>
      </c>
      <c r="C25" s="775">
        <f t="shared" si="0"/>
        <v>443200</v>
      </c>
      <c r="D25" s="775">
        <v>443200</v>
      </c>
      <c r="E25" s="775">
        <v>0</v>
      </c>
      <c r="F25" s="770">
        <v>0</v>
      </c>
      <c r="G25" s="771"/>
    </row>
    <row r="26" spans="1:7" ht="46.8" x14ac:dyDescent="0.3">
      <c r="A26" s="777" t="s">
        <v>595</v>
      </c>
      <c r="B26" s="774" t="s">
        <v>596</v>
      </c>
      <c r="C26" s="775">
        <f t="shared" si="0"/>
        <v>5118800</v>
      </c>
      <c r="D26" s="775">
        <v>5118800</v>
      </c>
      <c r="E26" s="775">
        <v>0</v>
      </c>
      <c r="F26" s="770">
        <v>0</v>
      </c>
      <c r="G26" s="771"/>
    </row>
    <row r="27" spans="1:7" ht="46.8" x14ac:dyDescent="0.3">
      <c r="A27" s="777" t="s">
        <v>597</v>
      </c>
      <c r="B27" s="774" t="s">
        <v>598</v>
      </c>
      <c r="C27" s="775">
        <f t="shared" si="0"/>
        <v>14076200</v>
      </c>
      <c r="D27" s="775">
        <v>14076200</v>
      </c>
      <c r="E27" s="775">
        <v>0</v>
      </c>
      <c r="F27" s="770">
        <v>0</v>
      </c>
      <c r="G27" s="771"/>
    </row>
    <row r="28" spans="1:7" ht="48.6" x14ac:dyDescent="0.3">
      <c r="A28" s="781" t="s">
        <v>599</v>
      </c>
      <c r="B28" s="772" t="s">
        <v>600</v>
      </c>
      <c r="C28" s="776">
        <f>D28</f>
        <v>158563000</v>
      </c>
      <c r="D28" s="776">
        <f>D29+D40+D41</f>
        <v>158563000</v>
      </c>
      <c r="E28" s="769">
        <v>0</v>
      </c>
      <c r="F28" s="770">
        <v>0</v>
      </c>
      <c r="G28" s="771"/>
    </row>
    <row r="29" spans="1:7" ht="15.6" x14ac:dyDescent="0.3">
      <c r="A29" s="777" t="s">
        <v>601</v>
      </c>
      <c r="B29" s="774" t="s">
        <v>602</v>
      </c>
      <c r="C29" s="775">
        <f>D29</f>
        <v>126863100</v>
      </c>
      <c r="D29" s="775">
        <f>D30+D35</f>
        <v>126863100</v>
      </c>
      <c r="E29" s="775">
        <v>0</v>
      </c>
      <c r="F29" s="770">
        <v>0</v>
      </c>
      <c r="G29" s="771"/>
    </row>
    <row r="30" spans="1:7" ht="35.25" customHeight="1" x14ac:dyDescent="0.3">
      <c r="A30" s="777"/>
      <c r="B30" s="774" t="s">
        <v>603</v>
      </c>
      <c r="C30" s="775">
        <f>D30+E30</f>
        <v>6666700</v>
      </c>
      <c r="D30" s="775">
        <f>D31+D32+D33+D34</f>
        <v>6666700</v>
      </c>
      <c r="E30" s="775"/>
      <c r="F30" s="770"/>
      <c r="G30" s="771"/>
    </row>
    <row r="31" spans="1:7" ht="67.5" customHeight="1" x14ac:dyDescent="0.3">
      <c r="A31" s="777">
        <v>18010100</v>
      </c>
      <c r="B31" s="774" t="s">
        <v>604</v>
      </c>
      <c r="C31" s="775">
        <f t="shared" ref="C31:C34" si="1">D31+E31</f>
        <v>17400</v>
      </c>
      <c r="D31" s="775">
        <v>17400</v>
      </c>
      <c r="E31" s="775"/>
      <c r="F31" s="770"/>
      <c r="G31" s="771"/>
    </row>
    <row r="32" spans="1:7" ht="62.4" x14ac:dyDescent="0.3">
      <c r="A32" s="777">
        <v>18010200</v>
      </c>
      <c r="B32" s="774" t="s">
        <v>605</v>
      </c>
      <c r="C32" s="775">
        <f t="shared" si="1"/>
        <v>522000</v>
      </c>
      <c r="D32" s="775">
        <v>522000</v>
      </c>
      <c r="E32" s="775"/>
      <c r="F32" s="770"/>
      <c r="G32" s="771"/>
    </row>
    <row r="33" spans="1:7" ht="62.4" x14ac:dyDescent="0.3">
      <c r="A33" s="777">
        <v>18010300</v>
      </c>
      <c r="B33" s="774" t="s">
        <v>606</v>
      </c>
      <c r="C33" s="775">
        <f t="shared" si="1"/>
        <v>1641500</v>
      </c>
      <c r="D33" s="775">
        <v>1641500</v>
      </c>
      <c r="E33" s="775"/>
      <c r="F33" s="770"/>
      <c r="G33" s="771"/>
    </row>
    <row r="34" spans="1:7" ht="72" customHeight="1" x14ac:dyDescent="0.3">
      <c r="A34" s="777">
        <v>18010400</v>
      </c>
      <c r="B34" s="774" t="s">
        <v>607</v>
      </c>
      <c r="C34" s="775">
        <f t="shared" si="1"/>
        <v>4485800</v>
      </c>
      <c r="D34" s="775">
        <v>4485800</v>
      </c>
      <c r="E34" s="775"/>
      <c r="F34" s="770"/>
      <c r="G34" s="771"/>
    </row>
    <row r="35" spans="1:7" ht="15.6" x14ac:dyDescent="0.3">
      <c r="A35" s="777"/>
      <c r="B35" s="774" t="s">
        <v>608</v>
      </c>
      <c r="C35" s="775">
        <f>D35+E35</f>
        <v>120196400</v>
      </c>
      <c r="D35" s="775">
        <f>D36+D37+D38+D39</f>
        <v>120196400</v>
      </c>
      <c r="E35" s="775"/>
      <c r="F35" s="770"/>
      <c r="G35" s="771"/>
    </row>
    <row r="36" spans="1:7" ht="15.6" x14ac:dyDescent="0.3">
      <c r="A36" s="777">
        <v>18010500</v>
      </c>
      <c r="B36" s="774" t="s">
        <v>609</v>
      </c>
      <c r="C36" s="775">
        <f t="shared" ref="C36:C39" si="2">D36+E36</f>
        <v>82596100</v>
      </c>
      <c r="D36" s="775">
        <v>82596100</v>
      </c>
      <c r="E36" s="775"/>
      <c r="F36" s="770"/>
      <c r="G36" s="771"/>
    </row>
    <row r="37" spans="1:7" ht="15.6" x14ac:dyDescent="0.3">
      <c r="A37" s="777">
        <v>18010600</v>
      </c>
      <c r="B37" s="774" t="s">
        <v>610</v>
      </c>
      <c r="C37" s="775">
        <f t="shared" si="2"/>
        <v>34176000</v>
      </c>
      <c r="D37" s="775">
        <f>36876000-2700000</f>
        <v>34176000</v>
      </c>
      <c r="E37" s="775"/>
      <c r="F37" s="770"/>
      <c r="G37" s="771"/>
    </row>
    <row r="38" spans="1:7" ht="15.6" x14ac:dyDescent="0.3">
      <c r="A38" s="777">
        <v>18010700</v>
      </c>
      <c r="B38" s="774" t="s">
        <v>611</v>
      </c>
      <c r="C38" s="775">
        <f t="shared" si="2"/>
        <v>1289300</v>
      </c>
      <c r="D38" s="775">
        <v>1289300</v>
      </c>
      <c r="E38" s="775"/>
      <c r="F38" s="770"/>
      <c r="G38" s="771"/>
    </row>
    <row r="39" spans="1:7" ht="15.6" x14ac:dyDescent="0.3">
      <c r="A39" s="777">
        <v>18010900</v>
      </c>
      <c r="B39" s="774" t="s">
        <v>612</v>
      </c>
      <c r="C39" s="775">
        <f t="shared" si="2"/>
        <v>2135000</v>
      </c>
      <c r="D39" s="775">
        <v>2135000</v>
      </c>
      <c r="E39" s="775"/>
      <c r="F39" s="770"/>
      <c r="G39" s="771"/>
    </row>
    <row r="40" spans="1:7" ht="15.6" x14ac:dyDescent="0.3">
      <c r="A40" s="777" t="s">
        <v>613</v>
      </c>
      <c r="B40" s="774" t="s">
        <v>614</v>
      </c>
      <c r="C40" s="775">
        <f>D40</f>
        <v>20000</v>
      </c>
      <c r="D40" s="775">
        <f>105600-85600</f>
        <v>20000</v>
      </c>
      <c r="E40" s="775">
        <v>0</v>
      </c>
      <c r="F40" s="770">
        <v>0</v>
      </c>
      <c r="G40" s="771"/>
    </row>
    <row r="41" spans="1:7" ht="15.6" x14ac:dyDescent="0.3">
      <c r="A41" s="777" t="s">
        <v>615</v>
      </c>
      <c r="B41" s="774" t="s">
        <v>616</v>
      </c>
      <c r="C41" s="775">
        <f>D41</f>
        <v>31679900</v>
      </c>
      <c r="D41" s="775">
        <f>29602000+2077900</f>
        <v>31679900</v>
      </c>
      <c r="E41" s="775">
        <v>0</v>
      </c>
      <c r="F41" s="770">
        <v>0</v>
      </c>
      <c r="G41" s="771"/>
    </row>
    <row r="42" spans="1:7" ht="16.2" x14ac:dyDescent="0.3">
      <c r="A42" s="781" t="s">
        <v>617</v>
      </c>
      <c r="B42" s="772" t="s">
        <v>618</v>
      </c>
      <c r="C42" s="776">
        <f>E42</f>
        <v>359600</v>
      </c>
      <c r="D42" s="776">
        <v>0</v>
      </c>
      <c r="E42" s="776">
        <f>E43</f>
        <v>359600</v>
      </c>
      <c r="F42" s="770">
        <v>0</v>
      </c>
      <c r="G42" s="771"/>
    </row>
    <row r="43" spans="1:7" ht="15.6" x14ac:dyDescent="0.3">
      <c r="A43" s="777" t="s">
        <v>619</v>
      </c>
      <c r="B43" s="774" t="s">
        <v>620</v>
      </c>
      <c r="C43" s="775">
        <f>E43</f>
        <v>359600</v>
      </c>
      <c r="D43" s="775">
        <v>0</v>
      </c>
      <c r="E43" s="775">
        <v>359600</v>
      </c>
      <c r="F43" s="778">
        <v>0</v>
      </c>
      <c r="G43" s="771"/>
    </row>
    <row r="44" spans="1:7" ht="15.6" x14ac:dyDescent="0.3">
      <c r="A44" s="780" t="s">
        <v>621</v>
      </c>
      <c r="B44" s="768" t="s">
        <v>622</v>
      </c>
      <c r="C44" s="769">
        <f>D44+E44</f>
        <v>16057500</v>
      </c>
      <c r="D44" s="769">
        <f>D45+D49+D55</f>
        <v>6090100</v>
      </c>
      <c r="E44" s="769">
        <f>E55+E59</f>
        <v>9967400</v>
      </c>
      <c r="F44" s="770">
        <f>F55</f>
        <v>5900</v>
      </c>
      <c r="G44" s="771"/>
    </row>
    <row r="45" spans="1:7" ht="32.4" x14ac:dyDescent="0.3">
      <c r="A45" s="781" t="s">
        <v>623</v>
      </c>
      <c r="B45" s="772" t="s">
        <v>624</v>
      </c>
      <c r="C45" s="776">
        <f t="shared" ref="C45:C54" si="3">D45</f>
        <v>942600</v>
      </c>
      <c r="D45" s="776">
        <f>D46+D47+D48</f>
        <v>942600</v>
      </c>
      <c r="E45" s="769">
        <v>0</v>
      </c>
      <c r="F45" s="770">
        <v>0</v>
      </c>
      <c r="G45" s="771"/>
    </row>
    <row r="46" spans="1:7" ht="62.4" x14ac:dyDescent="0.3">
      <c r="A46" s="777" t="s">
        <v>625</v>
      </c>
      <c r="B46" s="774" t="s">
        <v>626</v>
      </c>
      <c r="C46" s="775">
        <f t="shared" si="3"/>
        <v>24000</v>
      </c>
      <c r="D46" s="775">
        <v>24000</v>
      </c>
      <c r="E46" s="775">
        <v>0</v>
      </c>
      <c r="F46" s="778">
        <v>0</v>
      </c>
      <c r="G46" s="771"/>
    </row>
    <row r="47" spans="1:7" ht="15.6" x14ac:dyDescent="0.3">
      <c r="A47" s="777" t="s">
        <v>627</v>
      </c>
      <c r="B47" s="774" t="s">
        <v>628</v>
      </c>
      <c r="C47" s="775">
        <f t="shared" si="3"/>
        <v>34300</v>
      </c>
      <c r="D47" s="775">
        <f>75300-41000</f>
        <v>34300</v>
      </c>
      <c r="E47" s="775">
        <v>0</v>
      </c>
      <c r="F47" s="778">
        <v>0</v>
      </c>
      <c r="G47" s="771"/>
    </row>
    <row r="48" spans="1:7" ht="15.6" x14ac:dyDescent="0.3">
      <c r="A48" s="777" t="s">
        <v>629</v>
      </c>
      <c r="B48" s="774" t="s">
        <v>630</v>
      </c>
      <c r="C48" s="775">
        <f t="shared" si="3"/>
        <v>884300</v>
      </c>
      <c r="D48" s="775">
        <v>884300</v>
      </c>
      <c r="E48" s="775">
        <v>0</v>
      </c>
      <c r="F48" s="778">
        <v>0</v>
      </c>
      <c r="G48" s="771"/>
    </row>
    <row r="49" spans="1:7" ht="46.2" customHeight="1" x14ac:dyDescent="0.3">
      <c r="A49" s="781" t="s">
        <v>631</v>
      </c>
      <c r="B49" s="772" t="s">
        <v>632</v>
      </c>
      <c r="C49" s="776">
        <f t="shared" si="3"/>
        <v>1704300</v>
      </c>
      <c r="D49" s="776">
        <f>D50+D51+D52+D53+D54</f>
        <v>1704300</v>
      </c>
      <c r="E49" s="769">
        <v>0</v>
      </c>
      <c r="F49" s="770">
        <v>0</v>
      </c>
      <c r="G49" s="771"/>
    </row>
    <row r="50" spans="1:7" ht="62.4" x14ac:dyDescent="0.3">
      <c r="A50" s="777" t="s">
        <v>633</v>
      </c>
      <c r="B50" s="774" t="s">
        <v>634</v>
      </c>
      <c r="C50" s="775">
        <f t="shared" si="3"/>
        <v>104500</v>
      </c>
      <c r="D50" s="775">
        <v>104500</v>
      </c>
      <c r="E50" s="775">
        <v>0</v>
      </c>
      <c r="F50" s="778">
        <v>0</v>
      </c>
      <c r="G50" s="771"/>
    </row>
    <row r="51" spans="1:7" ht="31.2" x14ac:dyDescent="0.3">
      <c r="A51" s="777" t="s">
        <v>635</v>
      </c>
      <c r="B51" s="774" t="s">
        <v>636</v>
      </c>
      <c r="C51" s="775">
        <f t="shared" si="3"/>
        <v>185700</v>
      </c>
      <c r="D51" s="775">
        <f>1515700-1330000</f>
        <v>185700</v>
      </c>
      <c r="E51" s="775">
        <v>0</v>
      </c>
      <c r="F51" s="778">
        <v>0</v>
      </c>
      <c r="G51" s="771"/>
    </row>
    <row r="52" spans="1:7" ht="46.8" x14ac:dyDescent="0.3">
      <c r="A52" s="777" t="s">
        <v>637</v>
      </c>
      <c r="B52" s="774" t="s">
        <v>638</v>
      </c>
      <c r="C52" s="775">
        <f t="shared" si="3"/>
        <v>485100</v>
      </c>
      <c r="D52" s="775">
        <v>485100</v>
      </c>
      <c r="E52" s="775">
        <v>0</v>
      </c>
      <c r="F52" s="778">
        <v>0</v>
      </c>
      <c r="G52" s="771"/>
    </row>
    <row r="53" spans="1:7" ht="54" customHeight="1" x14ac:dyDescent="0.3">
      <c r="A53" s="777" t="s">
        <v>639</v>
      </c>
      <c r="B53" s="774" t="s">
        <v>640</v>
      </c>
      <c r="C53" s="775">
        <f t="shared" si="3"/>
        <v>653000</v>
      </c>
      <c r="D53" s="775">
        <v>653000</v>
      </c>
      <c r="E53" s="775">
        <v>0</v>
      </c>
      <c r="F53" s="778">
        <v>0</v>
      </c>
      <c r="G53" s="771"/>
    </row>
    <row r="54" spans="1:7" ht="15.6" x14ac:dyDescent="0.3">
      <c r="A54" s="777" t="s">
        <v>641</v>
      </c>
      <c r="B54" s="774" t="s">
        <v>642</v>
      </c>
      <c r="C54" s="775">
        <f t="shared" si="3"/>
        <v>276000</v>
      </c>
      <c r="D54" s="775">
        <f>149400+126600</f>
        <v>276000</v>
      </c>
      <c r="E54" s="769">
        <v>0</v>
      </c>
      <c r="F54" s="770">
        <v>0</v>
      </c>
      <c r="G54" s="771"/>
    </row>
    <row r="55" spans="1:7" ht="16.2" x14ac:dyDescent="0.3">
      <c r="A55" s="781" t="s">
        <v>643</v>
      </c>
      <c r="B55" s="772" t="s">
        <v>644</v>
      </c>
      <c r="C55" s="776">
        <f>D55+E55</f>
        <v>3449100</v>
      </c>
      <c r="D55" s="776">
        <f>D56+D57</f>
        <v>3443200</v>
      </c>
      <c r="E55" s="776">
        <f>E58</f>
        <v>5900</v>
      </c>
      <c r="F55" s="779">
        <f>F58</f>
        <v>5900</v>
      </c>
      <c r="G55" s="771"/>
    </row>
    <row r="56" spans="1:7" ht="15.6" x14ac:dyDescent="0.3">
      <c r="A56" s="777" t="s">
        <v>645</v>
      </c>
      <c r="B56" s="774" t="s">
        <v>646</v>
      </c>
      <c r="C56" s="775">
        <f>D56</f>
        <v>3038600</v>
      </c>
      <c r="D56" s="775">
        <f>150000+2888600</f>
        <v>3038600</v>
      </c>
      <c r="E56" s="775">
        <v>0</v>
      </c>
      <c r="F56" s="778">
        <v>0</v>
      </c>
      <c r="G56" s="771"/>
    </row>
    <row r="57" spans="1:7" ht="93.6" x14ac:dyDescent="0.3">
      <c r="A57" s="777" t="s">
        <v>647</v>
      </c>
      <c r="B57" s="774" t="s">
        <v>648</v>
      </c>
      <c r="C57" s="775">
        <f>D57</f>
        <v>404600</v>
      </c>
      <c r="D57" s="775">
        <f>524600-120000</f>
        <v>404600</v>
      </c>
      <c r="E57" s="775">
        <v>0</v>
      </c>
      <c r="F57" s="778">
        <v>0</v>
      </c>
      <c r="G57" s="771"/>
    </row>
    <row r="58" spans="1:7" ht="31.2" x14ac:dyDescent="0.3">
      <c r="A58" s="777" t="s">
        <v>649</v>
      </c>
      <c r="B58" s="774" t="s">
        <v>650</v>
      </c>
      <c r="C58" s="775">
        <f>E58</f>
        <v>5900</v>
      </c>
      <c r="D58" s="775">
        <v>0</v>
      </c>
      <c r="E58" s="775">
        <f>1187400-1181500</f>
        <v>5900</v>
      </c>
      <c r="F58" s="778">
        <f>E58</f>
        <v>5900</v>
      </c>
      <c r="G58" s="771"/>
    </row>
    <row r="59" spans="1:7" ht="20.25" customHeight="1" x14ac:dyDescent="0.3">
      <c r="A59" s="781" t="s">
        <v>651</v>
      </c>
      <c r="B59" s="772" t="s">
        <v>652</v>
      </c>
      <c r="C59" s="776">
        <f>E59</f>
        <v>9961500</v>
      </c>
      <c r="D59" s="776">
        <v>0</v>
      </c>
      <c r="E59" s="776">
        <f>E60</f>
        <v>9961500</v>
      </c>
      <c r="F59" s="779">
        <v>0</v>
      </c>
      <c r="G59" s="771"/>
    </row>
    <row r="60" spans="1:7" ht="45" customHeight="1" x14ac:dyDescent="0.3">
      <c r="A60" s="777" t="s">
        <v>653</v>
      </c>
      <c r="B60" s="774" t="s">
        <v>654</v>
      </c>
      <c r="C60" s="775">
        <f>E60</f>
        <v>9961500</v>
      </c>
      <c r="D60" s="775">
        <v>0</v>
      </c>
      <c r="E60" s="775">
        <v>9961500</v>
      </c>
      <c r="F60" s="770">
        <v>0</v>
      </c>
      <c r="G60" s="771"/>
    </row>
    <row r="61" spans="1:7" ht="16.2" x14ac:dyDescent="0.3">
      <c r="A61" s="781" t="s">
        <v>655</v>
      </c>
      <c r="B61" s="772" t="s">
        <v>656</v>
      </c>
      <c r="C61" s="776">
        <f>C62</f>
        <v>5284526</v>
      </c>
      <c r="D61" s="776">
        <v>0</v>
      </c>
      <c r="E61" s="776">
        <f>E62</f>
        <v>5284526</v>
      </c>
      <c r="F61" s="779">
        <f>F62</f>
        <v>5284526</v>
      </c>
      <c r="G61" s="771"/>
    </row>
    <row r="62" spans="1:7" ht="93.6" x14ac:dyDescent="0.3">
      <c r="A62" s="777" t="s">
        <v>657</v>
      </c>
      <c r="B62" s="774" t="s">
        <v>658</v>
      </c>
      <c r="C62" s="775">
        <f>E62</f>
        <v>5284526</v>
      </c>
      <c r="D62" s="775">
        <v>0</v>
      </c>
      <c r="E62" s="8">
        <f>3787000+1497526</f>
        <v>5284526</v>
      </c>
      <c r="F62" s="778">
        <f>E62</f>
        <v>5284526</v>
      </c>
      <c r="G62" s="771"/>
    </row>
    <row r="63" spans="1:7" ht="31.2" x14ac:dyDescent="0.3">
      <c r="A63" s="780"/>
      <c r="B63" s="768" t="s">
        <v>659</v>
      </c>
      <c r="C63" s="769">
        <f>D63+E63</f>
        <v>500993042</v>
      </c>
      <c r="D63" s="769">
        <f>D20+D44</f>
        <v>485381516</v>
      </c>
      <c r="E63" s="769">
        <f>E61+E44+E20</f>
        <v>15611526</v>
      </c>
      <c r="F63" s="770">
        <f>F61+F44+F20</f>
        <v>5290426</v>
      </c>
      <c r="G63" s="771"/>
    </row>
    <row r="64" spans="1:7" ht="21" customHeight="1" x14ac:dyDescent="0.3">
      <c r="A64" s="780" t="s">
        <v>660</v>
      </c>
      <c r="B64" s="768" t="s">
        <v>661</v>
      </c>
      <c r="C64" s="769">
        <f>D64+E64</f>
        <v>187947585</v>
      </c>
      <c r="D64" s="769">
        <f>D65</f>
        <v>182826205</v>
      </c>
      <c r="E64" s="769">
        <f t="shared" ref="E64:F64" si="4">E65</f>
        <v>5121380</v>
      </c>
      <c r="F64" s="770">
        <f t="shared" si="4"/>
        <v>0</v>
      </c>
      <c r="G64" s="771"/>
    </row>
    <row r="65" spans="1:7" ht="19.5" customHeight="1" x14ac:dyDescent="0.3">
      <c r="A65" s="781" t="s">
        <v>662</v>
      </c>
      <c r="B65" s="772" t="s">
        <v>663</v>
      </c>
      <c r="C65" s="776">
        <f>D65+E65</f>
        <v>187947585</v>
      </c>
      <c r="D65" s="776">
        <f>D66+D68+D73+D71</f>
        <v>182826205</v>
      </c>
      <c r="E65" s="776">
        <f t="shared" ref="E65:F65" si="5">E66+E68+E73</f>
        <v>5121380</v>
      </c>
      <c r="F65" s="779">
        <f t="shared" si="5"/>
        <v>0</v>
      </c>
      <c r="G65" s="771"/>
    </row>
    <row r="66" spans="1:7" ht="29.25" customHeight="1" x14ac:dyDescent="0.3">
      <c r="A66" s="780">
        <v>41020000</v>
      </c>
      <c r="B66" s="768" t="s">
        <v>664</v>
      </c>
      <c r="C66" s="769">
        <f t="shared" ref="C66:C86" si="6">D66</f>
        <v>86943700</v>
      </c>
      <c r="D66" s="769">
        <f>D67</f>
        <v>86943700</v>
      </c>
      <c r="E66" s="769"/>
      <c r="F66" s="770"/>
      <c r="G66" s="771"/>
    </row>
    <row r="67" spans="1:7" ht="146.25" customHeight="1" x14ac:dyDescent="0.3">
      <c r="A67" s="777">
        <v>41021400</v>
      </c>
      <c r="B67" s="774" t="s">
        <v>290</v>
      </c>
      <c r="C67" s="775">
        <f t="shared" si="6"/>
        <v>86943700</v>
      </c>
      <c r="D67" s="775">
        <f>53910900+10460300+22572500</f>
        <v>86943700</v>
      </c>
      <c r="E67" s="775"/>
      <c r="F67" s="778"/>
      <c r="G67" s="771"/>
    </row>
    <row r="68" spans="1:7" ht="36" customHeight="1" x14ac:dyDescent="0.3">
      <c r="A68" s="780" t="s">
        <v>665</v>
      </c>
      <c r="B68" s="768" t="s">
        <v>666</v>
      </c>
      <c r="C68" s="769">
        <f>D68</f>
        <v>77800400</v>
      </c>
      <c r="D68" s="769">
        <f>D70+D69</f>
        <v>77800400</v>
      </c>
      <c r="E68" s="769">
        <f t="shared" ref="E68:F68" si="7">E70+E69</f>
        <v>3500600</v>
      </c>
      <c r="F68" s="769">
        <f t="shared" si="7"/>
        <v>0</v>
      </c>
      <c r="G68" s="771"/>
    </row>
    <row r="69" spans="1:7" ht="68.400000000000006" customHeight="1" x14ac:dyDescent="0.3">
      <c r="A69" s="777">
        <v>41033300</v>
      </c>
      <c r="B69" s="774" t="s">
        <v>534</v>
      </c>
      <c r="C69" s="782">
        <f>D69+E69</f>
        <v>5790400</v>
      </c>
      <c r="D69" s="8">
        <f>2278000+11800</f>
        <v>2289800</v>
      </c>
      <c r="E69" s="8">
        <v>3500600</v>
      </c>
      <c r="F69" s="770"/>
      <c r="G69" s="771"/>
    </row>
    <row r="70" spans="1:7" ht="31.2" x14ac:dyDescent="0.3">
      <c r="A70" s="777" t="s">
        <v>291</v>
      </c>
      <c r="B70" s="774" t="s">
        <v>292</v>
      </c>
      <c r="C70" s="775">
        <f>D70</f>
        <v>75510600</v>
      </c>
      <c r="D70" s="8">
        <v>75510600</v>
      </c>
      <c r="E70" s="775">
        <v>0</v>
      </c>
      <c r="F70" s="778">
        <v>0</v>
      </c>
      <c r="G70" s="771"/>
    </row>
    <row r="71" spans="1:7" ht="31.2" x14ac:dyDescent="0.3">
      <c r="A71" s="780">
        <v>41040000</v>
      </c>
      <c r="B71" s="768" t="s">
        <v>667</v>
      </c>
      <c r="C71" s="769">
        <f>C72</f>
        <v>170895</v>
      </c>
      <c r="D71" s="107">
        <f>D72</f>
        <v>170895</v>
      </c>
      <c r="E71" s="775"/>
      <c r="F71" s="778"/>
      <c r="G71" s="771"/>
    </row>
    <row r="72" spans="1:7" ht="15.6" x14ac:dyDescent="0.3">
      <c r="A72" s="777">
        <v>41040400</v>
      </c>
      <c r="B72" s="774" t="s">
        <v>378</v>
      </c>
      <c r="C72" s="775">
        <f>D72+E72</f>
        <v>170895</v>
      </c>
      <c r="D72" s="8">
        <f>38667+26774+23331+24056+21083+10477+26507</f>
        <v>170895</v>
      </c>
      <c r="E72" s="775"/>
      <c r="F72" s="778"/>
      <c r="G72" s="771"/>
    </row>
    <row r="73" spans="1:7" ht="31.2" x14ac:dyDescent="0.3">
      <c r="A73" s="780">
        <v>41050000</v>
      </c>
      <c r="B73" s="768" t="s">
        <v>668</v>
      </c>
      <c r="C73" s="769">
        <f>C74+C75+C76+C77+C78+C82+C83+C84+C85+C80+C81+C79+C86</f>
        <v>19531990</v>
      </c>
      <c r="D73" s="769">
        <f>D74+D75+D76+D77+D78+D82+D83+D84+D85+D80+D81+D79+D86</f>
        <v>17911210</v>
      </c>
      <c r="E73" s="769">
        <f>E74+E75+E76+E77+E78+E82+E83+E84+E85+E80+E81+E79+E86</f>
        <v>1620780</v>
      </c>
      <c r="F73" s="769">
        <f>F74+F75+F76+F77+F78+F82+F83+F84+F85+F80+F81+F79+F86</f>
        <v>0</v>
      </c>
      <c r="G73" s="771"/>
    </row>
    <row r="74" spans="1:7" ht="333.6" customHeight="1" x14ac:dyDescent="0.3">
      <c r="A74" s="794">
        <v>41050600</v>
      </c>
      <c r="B74" s="774" t="s">
        <v>475</v>
      </c>
      <c r="C74" s="775">
        <f>D74</f>
        <v>3708133</v>
      </c>
      <c r="D74" s="8">
        <f>2164782+1543351</f>
        <v>3708133</v>
      </c>
      <c r="E74" s="769"/>
      <c r="F74" s="783"/>
      <c r="G74" s="771"/>
    </row>
    <row r="75" spans="1:7" ht="46.8" x14ac:dyDescent="0.3">
      <c r="A75" s="777" t="s">
        <v>293</v>
      </c>
      <c r="B75" s="774" t="s">
        <v>294</v>
      </c>
      <c r="C75" s="775">
        <f>D75</f>
        <v>1766200</v>
      </c>
      <c r="D75" s="8">
        <v>1766200</v>
      </c>
      <c r="E75" s="775"/>
      <c r="F75" s="778"/>
      <c r="G75" s="771"/>
    </row>
    <row r="76" spans="1:7" ht="46.8" x14ac:dyDescent="0.3">
      <c r="A76" s="777">
        <v>41051100</v>
      </c>
      <c r="B76" s="774" t="s">
        <v>342</v>
      </c>
      <c r="C76" s="782">
        <f>D76+E76</f>
        <v>1620780</v>
      </c>
      <c r="D76" s="8"/>
      <c r="E76" s="775">
        <f>696780+924000</f>
        <v>1620780</v>
      </c>
      <c r="F76" s="778"/>
      <c r="G76" s="771"/>
    </row>
    <row r="77" spans="1:7" ht="124.8" x14ac:dyDescent="0.3">
      <c r="A77" s="795">
        <v>41051200</v>
      </c>
      <c r="B77" s="784" t="s">
        <v>404</v>
      </c>
      <c r="C77" s="782">
        <f t="shared" ref="C77:C79" si="8">D77+E77</f>
        <v>239625</v>
      </c>
      <c r="D77" s="45">
        <f>187785+51840</f>
        <v>239625</v>
      </c>
      <c r="E77" s="775"/>
      <c r="F77" s="778"/>
      <c r="G77" s="771"/>
    </row>
    <row r="78" spans="1:7" ht="124.8" x14ac:dyDescent="0.3">
      <c r="A78" s="795">
        <v>41051200</v>
      </c>
      <c r="B78" s="784" t="s">
        <v>405</v>
      </c>
      <c r="C78" s="782">
        <f t="shared" si="8"/>
        <v>161725</v>
      </c>
      <c r="D78" s="45">
        <f>104325+57400</f>
        <v>161725</v>
      </c>
      <c r="E78" s="775"/>
      <c r="F78" s="778"/>
      <c r="G78" s="771"/>
    </row>
    <row r="79" spans="1:7" ht="91.5" customHeight="1" x14ac:dyDescent="0.3">
      <c r="A79" s="795">
        <v>41051400</v>
      </c>
      <c r="B79" s="784" t="s">
        <v>522</v>
      </c>
      <c r="C79" s="782">
        <f t="shared" si="8"/>
        <v>1037466</v>
      </c>
      <c r="D79" s="45">
        <f>1049568-12102</f>
        <v>1037466</v>
      </c>
      <c r="E79" s="775"/>
      <c r="F79" s="778"/>
      <c r="G79" s="771"/>
    </row>
    <row r="80" spans="1:7" ht="77.400000000000006" customHeight="1" x14ac:dyDescent="0.3">
      <c r="A80" s="777">
        <v>41051700</v>
      </c>
      <c r="B80" s="774" t="s">
        <v>376</v>
      </c>
      <c r="C80" s="782">
        <f>D80+E80</f>
        <v>323630</v>
      </c>
      <c r="D80" s="775">
        <f>110550+213080</f>
        <v>323630</v>
      </c>
      <c r="E80" s="775"/>
      <c r="F80" s="778"/>
      <c r="G80" s="771"/>
    </row>
    <row r="81" spans="1:7" ht="77.400000000000006" customHeight="1" x14ac:dyDescent="0.3">
      <c r="A81" s="777">
        <v>41057700</v>
      </c>
      <c r="B81" s="774" t="s">
        <v>377</v>
      </c>
      <c r="C81" s="782">
        <f>D81+E81</f>
        <v>166311</v>
      </c>
      <c r="D81" s="775">
        <v>166311</v>
      </c>
      <c r="E81" s="775"/>
      <c r="F81" s="778"/>
      <c r="G81" s="771"/>
    </row>
    <row r="82" spans="1:7" ht="34.5" customHeight="1" x14ac:dyDescent="0.3">
      <c r="A82" s="785">
        <v>41053900</v>
      </c>
      <c r="B82" s="784" t="s">
        <v>670</v>
      </c>
      <c r="C82" s="782">
        <f>D82+E82</f>
        <v>10000000</v>
      </c>
      <c r="D82" s="775">
        <v>10000000</v>
      </c>
      <c r="E82" s="775"/>
      <c r="F82" s="778"/>
      <c r="G82" s="771"/>
    </row>
    <row r="83" spans="1:7" ht="62.4" x14ac:dyDescent="0.3">
      <c r="A83" s="785">
        <v>41053900</v>
      </c>
      <c r="B83" s="784" t="s">
        <v>295</v>
      </c>
      <c r="C83" s="775">
        <f t="shared" si="6"/>
        <v>57773</v>
      </c>
      <c r="D83" s="775">
        <f>28193+29580</f>
        <v>57773</v>
      </c>
      <c r="E83" s="775"/>
      <c r="F83" s="778"/>
      <c r="G83" s="771"/>
    </row>
    <row r="84" spans="1:7" ht="46.8" x14ac:dyDescent="0.3">
      <c r="A84" s="786">
        <v>41053900</v>
      </c>
      <c r="B84" s="784" t="s">
        <v>296</v>
      </c>
      <c r="C84" s="775">
        <f t="shared" si="6"/>
        <v>164690</v>
      </c>
      <c r="D84" s="775">
        <f>91319+73371</f>
        <v>164690</v>
      </c>
      <c r="E84" s="775"/>
      <c r="F84" s="778"/>
      <c r="G84" s="771"/>
    </row>
    <row r="85" spans="1:7" ht="78" x14ac:dyDescent="0.3">
      <c r="A85" s="786">
        <v>41053900</v>
      </c>
      <c r="B85" s="784" t="s">
        <v>297</v>
      </c>
      <c r="C85" s="775">
        <f t="shared" si="6"/>
        <v>17623</v>
      </c>
      <c r="D85" s="775">
        <v>17623</v>
      </c>
      <c r="E85" s="775"/>
      <c r="F85" s="778"/>
      <c r="G85" s="771"/>
    </row>
    <row r="86" spans="1:7" ht="62.4" x14ac:dyDescent="0.3">
      <c r="A86" s="786">
        <v>41053900</v>
      </c>
      <c r="B86" s="774" t="s">
        <v>544</v>
      </c>
      <c r="C86" s="775">
        <f t="shared" si="6"/>
        <v>268034</v>
      </c>
      <c r="D86" s="775">
        <f>185562+82472</f>
        <v>268034</v>
      </c>
      <c r="E86" s="775"/>
      <c r="F86" s="778"/>
      <c r="G86" s="771"/>
    </row>
    <row r="87" spans="1:7" ht="16.2" thickBot="1" x14ac:dyDescent="0.35">
      <c r="A87" s="796" t="s">
        <v>6</v>
      </c>
      <c r="B87" s="787" t="s">
        <v>669</v>
      </c>
      <c r="C87" s="788">
        <f>D87+E87</f>
        <v>688940627</v>
      </c>
      <c r="D87" s="788">
        <f>D63+D64</f>
        <v>668207721</v>
      </c>
      <c r="E87" s="788">
        <f>E63+E64</f>
        <v>20732906</v>
      </c>
      <c r="F87" s="789">
        <f>F63+F64</f>
        <v>5290426</v>
      </c>
      <c r="G87" s="771"/>
    </row>
    <row r="88" spans="1:7" ht="15.6" x14ac:dyDescent="0.3">
      <c r="A88" s="791"/>
      <c r="B88" s="1"/>
      <c r="C88" s="1"/>
      <c r="D88" s="1"/>
      <c r="E88" s="1"/>
      <c r="F88" s="1"/>
    </row>
    <row r="89" spans="1:7" x14ac:dyDescent="0.3">
      <c r="A89" s="800"/>
      <c r="B89" s="800"/>
      <c r="C89" s="800"/>
      <c r="D89" s="800"/>
      <c r="E89" s="800"/>
      <c r="F89" s="800"/>
    </row>
    <row r="91" spans="1:7" ht="17.399999999999999" x14ac:dyDescent="0.3">
      <c r="A91" s="106" t="s">
        <v>559</v>
      </c>
      <c r="B91" s="26"/>
      <c r="C91" s="790"/>
      <c r="D91" s="106"/>
      <c r="E91" s="801" t="s">
        <v>365</v>
      </c>
      <c r="F91" s="801"/>
    </row>
  </sheetData>
  <mergeCells count="26">
    <mergeCell ref="D9:F9"/>
    <mergeCell ref="D5:E5"/>
    <mergeCell ref="D6:F6"/>
    <mergeCell ref="G6:I6"/>
    <mergeCell ref="D7:F7"/>
    <mergeCell ref="D8:F8"/>
    <mergeCell ref="D10:F10"/>
    <mergeCell ref="G10:I10"/>
    <mergeCell ref="D11:F11"/>
    <mergeCell ref="G11:I11"/>
    <mergeCell ref="D12:F12"/>
    <mergeCell ref="G12:I12"/>
    <mergeCell ref="A89:F89"/>
    <mergeCell ref="E91:F91"/>
    <mergeCell ref="A13:F13"/>
    <mergeCell ref="G13:I13"/>
    <mergeCell ref="A14:B14"/>
    <mergeCell ref="G14:I14"/>
    <mergeCell ref="G15:I15"/>
    <mergeCell ref="A16:A18"/>
    <mergeCell ref="B16:B18"/>
    <mergeCell ref="C16:C18"/>
    <mergeCell ref="D16:D18"/>
    <mergeCell ref="E16:F16"/>
    <mergeCell ref="E17:E18"/>
    <mergeCell ref="F17:F18"/>
  </mergeCells>
  <pageMargins left="0.70866141732283472" right="0.70866141732283472"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43"/>
  <sheetViews>
    <sheetView view="pageBreakPreview" zoomScaleNormal="100" zoomScaleSheetLayoutView="100" workbookViewId="0">
      <selection activeCell="D3" sqref="D3:D4"/>
    </sheetView>
  </sheetViews>
  <sheetFormatPr defaultRowHeight="13.8" x14ac:dyDescent="0.3"/>
  <cols>
    <col min="1" max="1" width="11.33203125" customWidth="1"/>
    <col min="2" max="2" width="41" customWidth="1"/>
    <col min="3" max="4" width="13.88671875" customWidth="1"/>
    <col min="5" max="5" width="13.5546875" customWidth="1"/>
    <col min="6" max="6" width="16.33203125" customWidth="1"/>
  </cols>
  <sheetData>
    <row r="1" spans="1:6" ht="15.6" x14ac:dyDescent="0.3">
      <c r="D1" s="95" t="s">
        <v>166</v>
      </c>
      <c r="E1" s="4"/>
    </row>
    <row r="2" spans="1:6" ht="15.6" x14ac:dyDescent="0.3">
      <c r="D2" s="95" t="s">
        <v>558</v>
      </c>
      <c r="E2" s="4"/>
    </row>
    <row r="3" spans="1:6" ht="15.6" x14ac:dyDescent="0.3">
      <c r="D3" s="96" t="s">
        <v>680</v>
      </c>
      <c r="E3" s="7"/>
    </row>
    <row r="4" spans="1:6" ht="15.6" x14ac:dyDescent="0.3">
      <c r="D4" s="97" t="s">
        <v>681</v>
      </c>
      <c r="E4" s="98"/>
    </row>
    <row r="5" spans="1:6" ht="15.6" x14ac:dyDescent="0.3">
      <c r="D5" s="815" t="s">
        <v>574</v>
      </c>
      <c r="E5" s="815"/>
    </row>
    <row r="7" spans="1:6" ht="15.6" x14ac:dyDescent="0.3">
      <c r="D7" s="3" t="s">
        <v>367</v>
      </c>
      <c r="E7" s="4"/>
      <c r="F7" s="5"/>
    </row>
    <row r="8" spans="1:6" ht="15.6" x14ac:dyDescent="0.3">
      <c r="D8" s="3" t="s">
        <v>280</v>
      </c>
      <c r="E8" s="4"/>
      <c r="F8" s="5"/>
    </row>
    <row r="9" spans="1:6" ht="15.6" x14ac:dyDescent="0.3">
      <c r="D9" s="3" t="s">
        <v>8</v>
      </c>
      <c r="E9" s="4"/>
      <c r="F9" s="5"/>
    </row>
    <row r="10" spans="1:6" ht="15.6" x14ac:dyDescent="0.3">
      <c r="D10" s="3" t="s">
        <v>281</v>
      </c>
      <c r="E10" s="4"/>
      <c r="F10" s="5"/>
    </row>
    <row r="11" spans="1:6" ht="15.6" x14ac:dyDescent="0.3">
      <c r="D11" s="6" t="s">
        <v>363</v>
      </c>
      <c r="E11" s="7"/>
      <c r="F11" s="5"/>
    </row>
    <row r="12" spans="1:6" ht="15.6" x14ac:dyDescent="0.3">
      <c r="D12" s="6" t="s">
        <v>298</v>
      </c>
      <c r="E12" s="4"/>
      <c r="F12" s="5"/>
    </row>
    <row r="13" spans="1:6" ht="15.6" x14ac:dyDescent="0.3">
      <c r="D13" s="814" t="s">
        <v>364</v>
      </c>
      <c r="E13" s="814"/>
      <c r="F13" s="5"/>
    </row>
    <row r="15" spans="1:6" ht="21" x14ac:dyDescent="0.4">
      <c r="A15" s="826" t="s">
        <v>299</v>
      </c>
      <c r="B15" s="827"/>
      <c r="C15" s="827"/>
      <c r="D15" s="827"/>
      <c r="E15" s="827"/>
      <c r="F15" s="827"/>
    </row>
    <row r="16" spans="1:6" ht="21" x14ac:dyDescent="0.4">
      <c r="A16" s="104"/>
      <c r="B16" s="105"/>
      <c r="C16" s="105"/>
      <c r="D16" s="105"/>
      <c r="E16" s="105"/>
      <c r="F16" s="105"/>
    </row>
    <row r="17" spans="1:6" ht="15.6" x14ac:dyDescent="0.3">
      <c r="A17" s="108" t="s">
        <v>165</v>
      </c>
      <c r="B17" s="1"/>
      <c r="C17" s="1"/>
      <c r="D17" s="1"/>
      <c r="E17" s="1"/>
      <c r="F17" s="1"/>
    </row>
    <row r="18" spans="1:6" ht="16.2" thickBot="1" x14ac:dyDescent="0.35">
      <c r="A18" s="109" t="s">
        <v>0</v>
      </c>
      <c r="B18" s="1"/>
      <c r="C18" s="1"/>
      <c r="D18" s="1"/>
      <c r="E18" s="1"/>
      <c r="F18" s="2" t="s">
        <v>282</v>
      </c>
    </row>
    <row r="19" spans="1:6" ht="15.6" x14ac:dyDescent="0.3">
      <c r="A19" s="828" t="s">
        <v>289</v>
      </c>
      <c r="B19" s="831" t="s">
        <v>300</v>
      </c>
      <c r="C19" s="831" t="s">
        <v>1</v>
      </c>
      <c r="D19" s="831" t="s">
        <v>2</v>
      </c>
      <c r="E19" s="831" t="s">
        <v>3</v>
      </c>
      <c r="F19" s="834"/>
    </row>
    <row r="20" spans="1:6" x14ac:dyDescent="0.3">
      <c r="A20" s="829"/>
      <c r="B20" s="832"/>
      <c r="C20" s="832"/>
      <c r="D20" s="832"/>
      <c r="E20" s="832" t="s">
        <v>4</v>
      </c>
      <c r="F20" s="835" t="s">
        <v>5</v>
      </c>
    </row>
    <row r="21" spans="1:6" ht="44.4" customHeight="1" thickBot="1" x14ac:dyDescent="0.35">
      <c r="A21" s="830"/>
      <c r="B21" s="833"/>
      <c r="C21" s="833"/>
      <c r="D21" s="833"/>
      <c r="E21" s="833"/>
      <c r="F21" s="836"/>
    </row>
    <row r="22" spans="1:6" ht="15.6" x14ac:dyDescent="0.3">
      <c r="A22" s="21">
        <v>1</v>
      </c>
      <c r="B22" s="22">
        <v>2</v>
      </c>
      <c r="C22" s="22">
        <v>3</v>
      </c>
      <c r="D22" s="22">
        <v>4</v>
      </c>
      <c r="E22" s="22">
        <v>5</v>
      </c>
      <c r="F22" s="110">
        <v>6</v>
      </c>
    </row>
    <row r="23" spans="1:6" ht="21.6" customHeight="1" x14ac:dyDescent="0.3">
      <c r="A23" s="817" t="s">
        <v>301</v>
      </c>
      <c r="B23" s="818"/>
      <c r="C23" s="818"/>
      <c r="D23" s="818"/>
      <c r="E23" s="818"/>
      <c r="F23" s="819"/>
    </row>
    <row r="24" spans="1:6" ht="22.95" customHeight="1" x14ac:dyDescent="0.3">
      <c r="A24" s="111" t="s">
        <v>302</v>
      </c>
      <c r="B24" s="112" t="s">
        <v>303</v>
      </c>
      <c r="C24" s="107">
        <f>C25</f>
        <v>130026687</v>
      </c>
      <c r="D24" s="107">
        <f>D25</f>
        <v>-66970254</v>
      </c>
      <c r="E24" s="107">
        <f>E25</f>
        <v>196996941</v>
      </c>
      <c r="F24" s="113">
        <f>F25</f>
        <v>196996941</v>
      </c>
    </row>
    <row r="25" spans="1:6" ht="31.2" x14ac:dyDescent="0.3">
      <c r="A25" s="114" t="s">
        <v>304</v>
      </c>
      <c r="B25" s="115" t="s">
        <v>305</v>
      </c>
      <c r="C25" s="8">
        <f>C26-C27+C28</f>
        <v>130026687</v>
      </c>
      <c r="D25" s="8">
        <f>D26-D27+D28</f>
        <v>-66970254</v>
      </c>
      <c r="E25" s="8">
        <f>E28</f>
        <v>196996941</v>
      </c>
      <c r="F25" s="116">
        <f>F28</f>
        <v>196996941</v>
      </c>
    </row>
    <row r="26" spans="1:6" ht="15.6" x14ac:dyDescent="0.3">
      <c r="A26" s="114" t="s">
        <v>306</v>
      </c>
      <c r="B26" s="115" t="s">
        <v>307</v>
      </c>
      <c r="C26" s="8">
        <f>D26</f>
        <v>135026687</v>
      </c>
      <c r="D26" s="8">
        <f>1000000+25340511+40131417+20498000+18379851+16761523+2915385+10000000</f>
        <v>135026687</v>
      </c>
      <c r="E26" s="8">
        <v>0</v>
      </c>
      <c r="F26" s="117">
        <v>0</v>
      </c>
    </row>
    <row r="27" spans="1:6" ht="15.6" x14ac:dyDescent="0.3">
      <c r="A27" s="114" t="s">
        <v>308</v>
      </c>
      <c r="B27" s="115" t="s">
        <v>309</v>
      </c>
      <c r="C27" s="8">
        <f>D27</f>
        <v>5000000</v>
      </c>
      <c r="D27" s="8">
        <f>1000000+4000000</f>
        <v>5000000</v>
      </c>
      <c r="E27" s="8">
        <v>0</v>
      </c>
      <c r="F27" s="117">
        <v>0</v>
      </c>
    </row>
    <row r="28" spans="1:6" ht="46.8" x14ac:dyDescent="0.3">
      <c r="A28" s="114" t="s">
        <v>310</v>
      </c>
      <c r="B28" s="115" t="s">
        <v>311</v>
      </c>
      <c r="C28" s="8">
        <v>0</v>
      </c>
      <c r="D28" s="8">
        <f>-883500-26657365-56092284-4572000-2164782-32518042-17846380-8981071-64500-6145168-1543351-6968100+9000000-9000000-10000000-22560398</f>
        <v>-196996941</v>
      </c>
      <c r="E28" s="8">
        <f>883500+26657365+56092284+4572000+2164782+32518042+17846380+8981071+64500+6145168+1543351+6968100-9000000+9000000+10000000+22560398</f>
        <v>196996941</v>
      </c>
      <c r="F28" s="117">
        <f>E28</f>
        <v>196996941</v>
      </c>
    </row>
    <row r="29" spans="1:6" ht="16.2" x14ac:dyDescent="0.35">
      <c r="A29" s="118" t="s">
        <v>6</v>
      </c>
      <c r="B29" s="119" t="s">
        <v>312</v>
      </c>
      <c r="C29" s="120">
        <f>C24</f>
        <v>130026687</v>
      </c>
      <c r="D29" s="120">
        <f>D24</f>
        <v>-66970254</v>
      </c>
      <c r="E29" s="120">
        <f>E24</f>
        <v>196996941</v>
      </c>
      <c r="F29" s="121">
        <f>F24</f>
        <v>196996941</v>
      </c>
    </row>
    <row r="30" spans="1:6" ht="22.95" customHeight="1" x14ac:dyDescent="0.3">
      <c r="A30" s="820" t="s">
        <v>313</v>
      </c>
      <c r="B30" s="821"/>
      <c r="C30" s="821"/>
      <c r="D30" s="821"/>
      <c r="E30" s="821"/>
      <c r="F30" s="822"/>
    </row>
    <row r="31" spans="1:6" ht="31.2" x14ac:dyDescent="0.3">
      <c r="A31" s="111" t="s">
        <v>314</v>
      </c>
      <c r="B31" s="112" t="s">
        <v>315</v>
      </c>
      <c r="C31" s="107">
        <f>C24</f>
        <v>130026687</v>
      </c>
      <c r="D31" s="107">
        <f>D24</f>
        <v>-66970254</v>
      </c>
      <c r="E31" s="107">
        <f>E24</f>
        <v>196996941</v>
      </c>
      <c r="F31" s="122">
        <f>F24</f>
        <v>196996941</v>
      </c>
    </row>
    <row r="32" spans="1:6" ht="15.6" x14ac:dyDescent="0.3">
      <c r="A32" s="114" t="s">
        <v>316</v>
      </c>
      <c r="B32" s="115" t="s">
        <v>317</v>
      </c>
      <c r="C32" s="8">
        <f>C25</f>
        <v>130026687</v>
      </c>
      <c r="D32" s="8">
        <f>D25</f>
        <v>-66970254</v>
      </c>
      <c r="E32" s="8">
        <f>E35</f>
        <v>196996941</v>
      </c>
      <c r="F32" s="117">
        <f>F35</f>
        <v>196996941</v>
      </c>
    </row>
    <row r="33" spans="1:16" ht="15.6" x14ac:dyDescent="0.3">
      <c r="A33" s="114" t="s">
        <v>318</v>
      </c>
      <c r="B33" s="115" t="s">
        <v>307</v>
      </c>
      <c r="C33" s="8">
        <f>D33</f>
        <v>135026687</v>
      </c>
      <c r="D33" s="8">
        <f>D26</f>
        <v>135026687</v>
      </c>
      <c r="E33" s="8">
        <v>0</v>
      </c>
      <c r="F33" s="117">
        <v>0</v>
      </c>
      <c r="I33" s="123"/>
    </row>
    <row r="34" spans="1:16" ht="15.6" x14ac:dyDescent="0.3">
      <c r="A34" s="114" t="s">
        <v>319</v>
      </c>
      <c r="B34" s="115" t="s">
        <v>309</v>
      </c>
      <c r="C34" s="8">
        <f>C27</f>
        <v>5000000</v>
      </c>
      <c r="D34" s="8">
        <f>D27</f>
        <v>5000000</v>
      </c>
      <c r="E34" s="8">
        <v>0</v>
      </c>
      <c r="F34" s="117">
        <v>0</v>
      </c>
    </row>
    <row r="35" spans="1:16" ht="51.6" customHeight="1" thickBot="1" x14ac:dyDescent="0.35">
      <c r="A35" s="124" t="s">
        <v>320</v>
      </c>
      <c r="B35" s="125" t="s">
        <v>311</v>
      </c>
      <c r="C35" s="12">
        <v>0</v>
      </c>
      <c r="D35" s="12">
        <f t="shared" ref="D35:F36" si="0">D28</f>
        <v>-196996941</v>
      </c>
      <c r="E35" s="12">
        <f>E28</f>
        <v>196996941</v>
      </c>
      <c r="F35" s="126">
        <f>F28</f>
        <v>196996941</v>
      </c>
    </row>
    <row r="36" spans="1:16" ht="19.2" customHeight="1" thickBot="1" x14ac:dyDescent="0.4">
      <c r="A36" s="127" t="s">
        <v>6</v>
      </c>
      <c r="B36" s="128" t="s">
        <v>312</v>
      </c>
      <c r="C36" s="129">
        <f>C29</f>
        <v>130026687</v>
      </c>
      <c r="D36" s="129">
        <f t="shared" si="0"/>
        <v>-66970254</v>
      </c>
      <c r="E36" s="129">
        <f t="shared" si="0"/>
        <v>196996941</v>
      </c>
      <c r="F36" s="130">
        <f t="shared" si="0"/>
        <v>196996941</v>
      </c>
    </row>
    <row r="38" spans="1:16" ht="13.5" customHeight="1" x14ac:dyDescent="0.3"/>
    <row r="39" spans="1:16" s="5" customFormat="1" ht="42.6" customHeight="1" x14ac:dyDescent="0.3">
      <c r="A39" s="823" t="s">
        <v>559</v>
      </c>
      <c r="B39" s="823"/>
      <c r="C39" s="131"/>
      <c r="D39" s="131"/>
      <c r="E39" s="824" t="s">
        <v>365</v>
      </c>
      <c r="F39" s="824"/>
      <c r="G39" s="3"/>
      <c r="H39" s="3"/>
      <c r="I39" s="3"/>
      <c r="K39" s="3"/>
      <c r="L39" s="132"/>
      <c r="M39" s="3"/>
      <c r="N39" s="133"/>
      <c r="O39" s="134"/>
      <c r="P39" s="135"/>
    </row>
    <row r="40" spans="1:16" s="18" customFormat="1" ht="21" x14ac:dyDescent="0.4">
      <c r="A40" s="17"/>
      <c r="B40" s="17"/>
      <c r="F40" s="19"/>
    </row>
    <row r="41" spans="1:16" ht="15.6" x14ac:dyDescent="0.3">
      <c r="A41" s="20"/>
      <c r="B41" s="20"/>
    </row>
    <row r="42" spans="1:16" ht="15.6" x14ac:dyDescent="0.3">
      <c r="A42" s="825"/>
      <c r="B42" s="825"/>
    </row>
    <row r="43" spans="1:16" ht="15.6" x14ac:dyDescent="0.3">
      <c r="A43" s="1"/>
    </row>
  </sheetData>
  <mergeCells count="15">
    <mergeCell ref="D5:E5"/>
    <mergeCell ref="D13:E13"/>
    <mergeCell ref="A15:F15"/>
    <mergeCell ref="A19:A21"/>
    <mergeCell ref="B19:B21"/>
    <mergeCell ref="C19:C21"/>
    <mergeCell ref="D19:D21"/>
    <mergeCell ref="E19:F19"/>
    <mergeCell ref="E20:E21"/>
    <mergeCell ref="F20:F21"/>
    <mergeCell ref="A23:F23"/>
    <mergeCell ref="A30:F30"/>
    <mergeCell ref="A39:B39"/>
    <mergeCell ref="E39:F39"/>
    <mergeCell ref="A42:B42"/>
  </mergeCells>
  <pageMargins left="1.1811023622047245" right="0.39370078740157483" top="0.78740157480314965" bottom="0.78740157480314965"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153"/>
  <sheetViews>
    <sheetView view="pageBreakPreview" zoomScale="81" zoomScaleNormal="100" zoomScaleSheetLayoutView="81" workbookViewId="0">
      <selection activeCell="N3" sqref="N3:N4"/>
    </sheetView>
  </sheetViews>
  <sheetFormatPr defaultColWidth="8.88671875" defaultRowHeight="15.6" x14ac:dyDescent="0.3"/>
  <cols>
    <col min="1" max="1" width="15.109375" style="50" customWidth="1"/>
    <col min="2" max="2" width="13.109375" style="50" customWidth="1"/>
    <col min="3" max="3" width="14" style="50" customWidth="1"/>
    <col min="4" max="4" width="47.33203125" style="51" customWidth="1"/>
    <col min="5" max="8" width="15.6640625" style="51" customWidth="1"/>
    <col min="9" max="15" width="15.6640625" style="52" customWidth="1"/>
    <col min="16" max="16" width="15.6640625" style="51" customWidth="1"/>
    <col min="17" max="17" width="10.109375" style="1" bestFit="1" customWidth="1"/>
    <col min="18" max="18" width="8.88671875" style="1"/>
    <col min="19" max="19" width="10.5546875" style="1" bestFit="1" customWidth="1"/>
    <col min="20" max="16384" width="8.88671875" style="1"/>
  </cols>
  <sheetData>
    <row r="1" spans="1:17" x14ac:dyDescent="0.3">
      <c r="N1" s="95" t="s">
        <v>672</v>
      </c>
      <c r="O1" s="4"/>
    </row>
    <row r="2" spans="1:17" x14ac:dyDescent="0.3">
      <c r="N2" s="95" t="s">
        <v>558</v>
      </c>
      <c r="O2" s="4"/>
    </row>
    <row r="3" spans="1:17" x14ac:dyDescent="0.3">
      <c r="N3" s="96" t="s">
        <v>680</v>
      </c>
      <c r="O3" s="7"/>
    </row>
    <row r="4" spans="1:17" x14ac:dyDescent="0.3">
      <c r="N4" s="97" t="s">
        <v>681</v>
      </c>
      <c r="O4" s="98"/>
    </row>
    <row r="5" spans="1:17" x14ac:dyDescent="0.3">
      <c r="N5" s="815" t="s">
        <v>366</v>
      </c>
      <c r="O5" s="815"/>
    </row>
    <row r="7" spans="1:17" ht="29.25" customHeight="1" x14ac:dyDescent="0.3">
      <c r="K7" s="51"/>
      <c r="L7" s="51"/>
      <c r="M7" s="51"/>
      <c r="N7" s="848" t="s">
        <v>279</v>
      </c>
      <c r="O7" s="848"/>
      <c r="P7" s="848"/>
      <c r="Q7" s="2"/>
    </row>
    <row r="8" spans="1:17" x14ac:dyDescent="0.3">
      <c r="K8" s="51"/>
      <c r="L8" s="51"/>
      <c r="M8" s="51"/>
      <c r="N8" s="849" t="s">
        <v>7</v>
      </c>
      <c r="O8" s="849"/>
      <c r="P8" s="849"/>
      <c r="Q8" s="28"/>
    </row>
    <row r="9" spans="1:17" x14ac:dyDescent="0.3">
      <c r="K9" s="51"/>
      <c r="L9" s="51"/>
      <c r="M9" s="51"/>
      <c r="N9" s="849" t="s">
        <v>8</v>
      </c>
      <c r="O9" s="849"/>
      <c r="P9" s="849"/>
      <c r="Q9" s="28"/>
    </row>
    <row r="10" spans="1:17" x14ac:dyDescent="0.3">
      <c r="K10" s="51"/>
      <c r="L10" s="51"/>
      <c r="M10" s="51"/>
      <c r="N10" s="849" t="s">
        <v>227</v>
      </c>
      <c r="O10" s="849"/>
      <c r="P10" s="849"/>
      <c r="Q10" s="28"/>
    </row>
    <row r="11" spans="1:17" x14ac:dyDescent="0.3">
      <c r="K11" s="51"/>
      <c r="L11" s="51"/>
      <c r="M11" s="51"/>
      <c r="N11" s="846" t="s">
        <v>363</v>
      </c>
      <c r="O11" s="846"/>
      <c r="P11" s="103"/>
      <c r="Q11" s="28"/>
    </row>
    <row r="12" spans="1:17" x14ac:dyDescent="0.3">
      <c r="K12" s="51"/>
      <c r="L12" s="51"/>
      <c r="M12" s="51"/>
      <c r="N12" s="846" t="s">
        <v>369</v>
      </c>
      <c r="O12" s="846"/>
      <c r="P12" s="103"/>
      <c r="Q12" s="28"/>
    </row>
    <row r="13" spans="1:17" x14ac:dyDescent="0.3">
      <c r="K13" s="51"/>
      <c r="L13" s="51"/>
      <c r="M13" s="51"/>
      <c r="N13" s="849" t="s">
        <v>368</v>
      </c>
      <c r="O13" s="849"/>
      <c r="P13" s="849"/>
      <c r="Q13" s="19"/>
    </row>
    <row r="14" spans="1:17" x14ac:dyDescent="0.3">
      <c r="A14" s="838" t="s">
        <v>167</v>
      </c>
      <c r="B14" s="839"/>
      <c r="C14" s="839"/>
      <c r="D14" s="839"/>
      <c r="E14" s="839"/>
      <c r="F14" s="839"/>
      <c r="G14" s="839"/>
      <c r="H14" s="839"/>
      <c r="I14" s="839"/>
      <c r="J14" s="839"/>
      <c r="K14" s="839"/>
      <c r="L14" s="839"/>
      <c r="M14" s="839"/>
      <c r="N14" s="839"/>
      <c r="O14" s="839"/>
      <c r="P14" s="839"/>
    </row>
    <row r="15" spans="1:17" x14ac:dyDescent="0.3">
      <c r="A15" s="838" t="s">
        <v>252</v>
      </c>
      <c r="B15" s="839"/>
      <c r="C15" s="839"/>
      <c r="D15" s="839"/>
      <c r="E15" s="839"/>
      <c r="F15" s="839"/>
      <c r="G15" s="839"/>
      <c r="H15" s="839"/>
      <c r="I15" s="839"/>
      <c r="J15" s="839"/>
      <c r="K15" s="839"/>
      <c r="L15" s="839"/>
      <c r="M15" s="839"/>
      <c r="N15" s="839"/>
      <c r="O15" s="839"/>
      <c r="P15" s="839"/>
    </row>
    <row r="16" spans="1:17" x14ac:dyDescent="0.3">
      <c r="A16" s="53" t="s">
        <v>165</v>
      </c>
    </row>
    <row r="17" spans="1:16" ht="17.399999999999999" customHeight="1" thickBot="1" x14ac:dyDescent="0.35">
      <c r="A17" s="50" t="s">
        <v>0</v>
      </c>
      <c r="P17" s="52" t="s">
        <v>9</v>
      </c>
    </row>
    <row r="18" spans="1:16" s="29" customFormat="1" ht="13.2" x14ac:dyDescent="0.25">
      <c r="A18" s="840" t="s">
        <v>10</v>
      </c>
      <c r="B18" s="842" t="s">
        <v>11</v>
      </c>
      <c r="C18" s="842" t="s">
        <v>12</v>
      </c>
      <c r="D18" s="842" t="s">
        <v>13</v>
      </c>
      <c r="E18" s="842" t="s">
        <v>2</v>
      </c>
      <c r="F18" s="842"/>
      <c r="G18" s="842"/>
      <c r="H18" s="842"/>
      <c r="I18" s="842"/>
      <c r="J18" s="842" t="s">
        <v>3</v>
      </c>
      <c r="K18" s="842"/>
      <c r="L18" s="842"/>
      <c r="M18" s="842"/>
      <c r="N18" s="842"/>
      <c r="O18" s="842"/>
      <c r="P18" s="844" t="s">
        <v>168</v>
      </c>
    </row>
    <row r="19" spans="1:16" s="29" customFormat="1" ht="13.2" x14ac:dyDescent="0.25">
      <c r="A19" s="841"/>
      <c r="B19" s="843"/>
      <c r="C19" s="843"/>
      <c r="D19" s="843"/>
      <c r="E19" s="843" t="s">
        <v>4</v>
      </c>
      <c r="F19" s="843" t="s">
        <v>14</v>
      </c>
      <c r="G19" s="843" t="s">
        <v>169</v>
      </c>
      <c r="H19" s="843"/>
      <c r="I19" s="847" t="s">
        <v>170</v>
      </c>
      <c r="J19" s="843" t="s">
        <v>4</v>
      </c>
      <c r="K19" s="843" t="s">
        <v>5</v>
      </c>
      <c r="L19" s="843" t="s">
        <v>14</v>
      </c>
      <c r="M19" s="843" t="s">
        <v>169</v>
      </c>
      <c r="N19" s="843"/>
      <c r="O19" s="843" t="s">
        <v>170</v>
      </c>
      <c r="P19" s="845"/>
    </row>
    <row r="20" spans="1:16" s="29" customFormat="1" ht="13.2" x14ac:dyDescent="0.25">
      <c r="A20" s="841"/>
      <c r="B20" s="843"/>
      <c r="C20" s="843"/>
      <c r="D20" s="843"/>
      <c r="E20" s="843"/>
      <c r="F20" s="843"/>
      <c r="G20" s="843" t="s">
        <v>226</v>
      </c>
      <c r="H20" s="843" t="s">
        <v>171</v>
      </c>
      <c r="I20" s="847"/>
      <c r="J20" s="843"/>
      <c r="K20" s="843"/>
      <c r="L20" s="843"/>
      <c r="M20" s="843" t="s">
        <v>226</v>
      </c>
      <c r="N20" s="843" t="s">
        <v>171</v>
      </c>
      <c r="O20" s="843"/>
      <c r="P20" s="845"/>
    </row>
    <row r="21" spans="1:16" s="29" customFormat="1" ht="51" customHeight="1" x14ac:dyDescent="0.25">
      <c r="A21" s="841"/>
      <c r="B21" s="843"/>
      <c r="C21" s="843"/>
      <c r="D21" s="843"/>
      <c r="E21" s="843"/>
      <c r="F21" s="843"/>
      <c r="G21" s="843"/>
      <c r="H21" s="843"/>
      <c r="I21" s="847"/>
      <c r="J21" s="843"/>
      <c r="K21" s="843"/>
      <c r="L21" s="843"/>
      <c r="M21" s="843"/>
      <c r="N21" s="843"/>
      <c r="O21" s="843"/>
      <c r="P21" s="845"/>
    </row>
    <row r="22" spans="1:16" ht="12" customHeight="1" thickBot="1" x14ac:dyDescent="0.35">
      <c r="A22" s="42">
        <v>1</v>
      </c>
      <c r="B22" s="43">
        <v>2</v>
      </c>
      <c r="C22" s="43">
        <v>3</v>
      </c>
      <c r="D22" s="43">
        <v>4</v>
      </c>
      <c r="E22" s="43">
        <v>5</v>
      </c>
      <c r="F22" s="43">
        <v>6</v>
      </c>
      <c r="G22" s="43">
        <v>7</v>
      </c>
      <c r="H22" s="43">
        <v>8</v>
      </c>
      <c r="I22" s="54">
        <v>9</v>
      </c>
      <c r="J22" s="54">
        <v>10</v>
      </c>
      <c r="K22" s="54">
        <v>11</v>
      </c>
      <c r="L22" s="54">
        <v>12</v>
      </c>
      <c r="M22" s="54">
        <v>13</v>
      </c>
      <c r="N22" s="54">
        <v>14</v>
      </c>
      <c r="O22" s="54">
        <v>15</v>
      </c>
      <c r="P22" s="55">
        <v>16</v>
      </c>
    </row>
    <row r="23" spans="1:16" ht="45.75" customHeight="1" thickBot="1" x14ac:dyDescent="0.35">
      <c r="A23" s="39" t="s">
        <v>15</v>
      </c>
      <c r="B23" s="40" t="s">
        <v>16</v>
      </c>
      <c r="C23" s="40" t="s">
        <v>16</v>
      </c>
      <c r="D23" s="41" t="s">
        <v>677</v>
      </c>
      <c r="E23" s="56">
        <f>E24</f>
        <v>126651259</v>
      </c>
      <c r="F23" s="56">
        <f>F24</f>
        <v>126651259</v>
      </c>
      <c r="G23" s="56">
        <f t="shared" ref="G23:I23" si="0">G24</f>
        <v>23566881</v>
      </c>
      <c r="H23" s="56">
        <f t="shared" si="0"/>
        <v>2835579</v>
      </c>
      <c r="I23" s="57">
        <f t="shared" si="0"/>
        <v>0</v>
      </c>
      <c r="J23" s="57">
        <f>J24</f>
        <v>59189664</v>
      </c>
      <c r="K23" s="57">
        <f>K24</f>
        <v>59189664</v>
      </c>
      <c r="L23" s="57">
        <f t="shared" ref="L23:O23" si="1">L24</f>
        <v>0</v>
      </c>
      <c r="M23" s="57">
        <f t="shared" si="1"/>
        <v>0</v>
      </c>
      <c r="N23" s="57">
        <f t="shared" si="1"/>
        <v>0</v>
      </c>
      <c r="O23" s="57">
        <f t="shared" si="1"/>
        <v>59189664</v>
      </c>
      <c r="P23" s="58">
        <f>E23+J23</f>
        <v>185840923</v>
      </c>
    </row>
    <row r="24" spans="1:16" ht="31.2" x14ac:dyDescent="0.3">
      <c r="A24" s="59" t="s">
        <v>17</v>
      </c>
      <c r="B24" s="60" t="s">
        <v>16</v>
      </c>
      <c r="C24" s="60" t="s">
        <v>16</v>
      </c>
      <c r="D24" s="61" t="s">
        <v>677</v>
      </c>
      <c r="E24" s="62">
        <f>E25+E27+E28+E30+E33+E35+E36+E38+E26+E29+E39+E34+E37</f>
        <v>126651259</v>
      </c>
      <c r="F24" s="62">
        <f>F25+F27+F28+F30+F33+F35+F36+F38+F26+F29+F39+F34+F37</f>
        <v>126651259</v>
      </c>
      <c r="G24" s="62">
        <f>G25+G27+G28+G30+G33+G35+G36+G38+G26+G29</f>
        <v>23566881</v>
      </c>
      <c r="H24" s="62">
        <f>H25+H27+H28+H30+H33+H35+H36+H38+H26+H29</f>
        <v>2835579</v>
      </c>
      <c r="I24" s="63">
        <f>I25+I27+I28+I30+I33+I35+I36+I38+I26+I29</f>
        <v>0</v>
      </c>
      <c r="J24" s="63">
        <f>J25+J26+J27+J28+J29+J30+J31+J32+J33+J34+J35+J36+J38+J39</f>
        <v>59189664</v>
      </c>
      <c r="K24" s="63">
        <f>K25+K26+K27+K28+K29+K30+K31+K32+K33+K34+K35+K36+K38+K39</f>
        <v>59189664</v>
      </c>
      <c r="L24" s="63">
        <f t="shared" ref="L24:N24" si="2">L25+L26+L27+L29+L30+L31+L32+L33+L35+L36+L36+L38+L28</f>
        <v>0</v>
      </c>
      <c r="M24" s="63">
        <f t="shared" si="2"/>
        <v>0</v>
      </c>
      <c r="N24" s="63">
        <f t="shared" si="2"/>
        <v>0</v>
      </c>
      <c r="O24" s="63">
        <f>O25+O26+O27+O28+O29+O30+O31+O32+O33+O34+O35+O36+O38+O39</f>
        <v>59189664</v>
      </c>
      <c r="P24" s="64">
        <f>E24+J24</f>
        <v>185840923</v>
      </c>
    </row>
    <row r="25" spans="1:16" ht="78" x14ac:dyDescent="0.3">
      <c r="A25" s="712" t="s">
        <v>172</v>
      </c>
      <c r="B25" s="714" t="s">
        <v>173</v>
      </c>
      <c r="C25" s="714" t="s">
        <v>18</v>
      </c>
      <c r="D25" s="27" t="s">
        <v>174</v>
      </c>
      <c r="E25" s="45">
        <f>F25+I25</f>
        <v>30404221</v>
      </c>
      <c r="F25" s="45">
        <f>25894260-83000+3781712+294042+500000+17207</f>
        <v>30404221</v>
      </c>
      <c r="G25" s="45">
        <f>19785169+3781712</f>
        <v>23566881</v>
      </c>
      <c r="H25" s="45">
        <v>2835579</v>
      </c>
      <c r="I25" s="8">
        <v>0</v>
      </c>
      <c r="J25" s="63">
        <f>L25+O25</f>
        <v>338000</v>
      </c>
      <c r="K25" s="8">
        <f>338000</f>
        <v>338000</v>
      </c>
      <c r="L25" s="8"/>
      <c r="M25" s="8">
        <v>0</v>
      </c>
      <c r="N25" s="8">
        <v>0</v>
      </c>
      <c r="O25" s="8">
        <f>338000</f>
        <v>338000</v>
      </c>
      <c r="P25" s="91">
        <f>E25+J25</f>
        <v>30742221</v>
      </c>
    </row>
    <row r="26" spans="1:16" x14ac:dyDescent="0.3">
      <c r="A26" s="66" t="s">
        <v>354</v>
      </c>
      <c r="B26" s="65" t="s">
        <v>225</v>
      </c>
      <c r="C26" s="65" t="s">
        <v>223</v>
      </c>
      <c r="D26" s="27" t="s">
        <v>373</v>
      </c>
      <c r="E26" s="45">
        <f>F26+I26</f>
        <v>109000</v>
      </c>
      <c r="F26" s="45">
        <f>141000-32000</f>
        <v>109000</v>
      </c>
      <c r="G26" s="45">
        <v>0</v>
      </c>
      <c r="H26" s="45">
        <v>0</v>
      </c>
      <c r="I26" s="45">
        <v>0</v>
      </c>
      <c r="J26" s="63">
        <f t="shared" ref="J26:J27" si="3">L26+O26</f>
        <v>0</v>
      </c>
      <c r="K26" s="45">
        <v>0</v>
      </c>
      <c r="L26" s="45">
        <v>0</v>
      </c>
      <c r="M26" s="45">
        <v>0</v>
      </c>
      <c r="N26" s="45">
        <v>0</v>
      </c>
      <c r="O26" s="45">
        <v>0</v>
      </c>
      <c r="P26" s="91">
        <f t="shared" ref="P26:P35" si="4">E26+J26</f>
        <v>109000</v>
      </c>
    </row>
    <row r="27" spans="1:16" ht="31.2" x14ac:dyDescent="0.3">
      <c r="A27" s="712" t="s">
        <v>19</v>
      </c>
      <c r="B27" s="714" t="s">
        <v>20</v>
      </c>
      <c r="C27" s="714" t="s">
        <v>21</v>
      </c>
      <c r="D27" s="27" t="s">
        <v>22</v>
      </c>
      <c r="E27" s="45">
        <f t="shared" ref="E27:E37" si="5">F27+I27</f>
        <v>27331824</v>
      </c>
      <c r="F27" s="45">
        <f>22925874+4405950</f>
        <v>27331824</v>
      </c>
      <c r="G27" s="45">
        <v>0</v>
      </c>
      <c r="H27" s="45">
        <v>0</v>
      </c>
      <c r="I27" s="8">
        <v>0</v>
      </c>
      <c r="J27" s="63">
        <f t="shared" si="3"/>
        <v>2173600</v>
      </c>
      <c r="K27" s="8">
        <f>0+2173600</f>
        <v>2173600</v>
      </c>
      <c r="L27" s="8">
        <v>0</v>
      </c>
      <c r="M27" s="8">
        <v>0</v>
      </c>
      <c r="N27" s="8">
        <v>0</v>
      </c>
      <c r="O27" s="8">
        <v>2173600</v>
      </c>
      <c r="P27" s="91">
        <f t="shared" si="4"/>
        <v>29505424</v>
      </c>
    </row>
    <row r="28" spans="1:16" ht="46.8" x14ac:dyDescent="0.3">
      <c r="A28" s="712" t="s">
        <v>23</v>
      </c>
      <c r="B28" s="714" t="s">
        <v>24</v>
      </c>
      <c r="C28" s="714" t="s">
        <v>25</v>
      </c>
      <c r="D28" s="27" t="s">
        <v>26</v>
      </c>
      <c r="E28" s="45">
        <f t="shared" si="5"/>
        <v>619449</v>
      </c>
      <c r="F28" s="45">
        <f>556580+62869</f>
        <v>619449</v>
      </c>
      <c r="G28" s="45">
        <v>0</v>
      </c>
      <c r="H28" s="45">
        <v>0</v>
      </c>
      <c r="I28" s="8">
        <v>0</v>
      </c>
      <c r="J28" s="63">
        <f>L28+O28</f>
        <v>372400</v>
      </c>
      <c r="K28" s="8">
        <v>372400</v>
      </c>
      <c r="L28" s="8">
        <v>0</v>
      </c>
      <c r="M28" s="8">
        <v>0</v>
      </c>
      <c r="N28" s="8">
        <v>0</v>
      </c>
      <c r="O28" s="8">
        <v>372400</v>
      </c>
      <c r="P28" s="91">
        <f t="shared" si="4"/>
        <v>991849</v>
      </c>
    </row>
    <row r="29" spans="1:16" ht="31.2" x14ac:dyDescent="0.3">
      <c r="A29" s="66" t="s">
        <v>235</v>
      </c>
      <c r="B29" s="714">
        <v>2152</v>
      </c>
      <c r="C29" s="65" t="s">
        <v>236</v>
      </c>
      <c r="D29" s="27" t="s">
        <v>253</v>
      </c>
      <c r="E29" s="45">
        <f t="shared" si="5"/>
        <v>3407103</v>
      </c>
      <c r="F29" s="45">
        <f>2810623+596480</f>
        <v>3407103</v>
      </c>
      <c r="G29" s="45">
        <v>0</v>
      </c>
      <c r="H29" s="45">
        <v>0</v>
      </c>
      <c r="I29" s="45">
        <v>0</v>
      </c>
      <c r="J29" s="63">
        <f t="shared" ref="J29:J31" si="6">L29+O29</f>
        <v>0</v>
      </c>
      <c r="K29" s="45">
        <v>0</v>
      </c>
      <c r="L29" s="45">
        <v>0</v>
      </c>
      <c r="M29" s="45">
        <v>0</v>
      </c>
      <c r="N29" s="45">
        <v>0</v>
      </c>
      <c r="O29" s="45">
        <v>0</v>
      </c>
      <c r="P29" s="91">
        <f t="shared" si="4"/>
        <v>3407103</v>
      </c>
    </row>
    <row r="30" spans="1:16" ht="31.2" x14ac:dyDescent="0.3">
      <c r="A30" s="712" t="s">
        <v>30</v>
      </c>
      <c r="B30" s="714" t="s">
        <v>31</v>
      </c>
      <c r="C30" s="714" t="s">
        <v>32</v>
      </c>
      <c r="D30" s="27" t="s">
        <v>33</v>
      </c>
      <c r="E30" s="45">
        <f t="shared" si="5"/>
        <v>356546</v>
      </c>
      <c r="F30" s="45">
        <f>72000+284546</f>
        <v>356546</v>
      </c>
      <c r="G30" s="45">
        <v>0</v>
      </c>
      <c r="H30" s="45">
        <v>0</v>
      </c>
      <c r="I30" s="8">
        <v>0</v>
      </c>
      <c r="J30" s="63">
        <f>L30+O30</f>
        <v>53364</v>
      </c>
      <c r="K30" s="8">
        <f>0+53364</f>
        <v>53364</v>
      </c>
      <c r="L30" s="8">
        <v>0</v>
      </c>
      <c r="M30" s="8">
        <v>0</v>
      </c>
      <c r="N30" s="8">
        <v>0</v>
      </c>
      <c r="O30" s="8">
        <f>K30</f>
        <v>53364</v>
      </c>
      <c r="P30" s="91">
        <f>E30+J30</f>
        <v>409910</v>
      </c>
    </row>
    <row r="31" spans="1:16" ht="32.25" customHeight="1" x14ac:dyDescent="0.3">
      <c r="A31" s="66" t="s">
        <v>254</v>
      </c>
      <c r="B31" s="65">
        <v>7650</v>
      </c>
      <c r="C31" s="65" t="s">
        <v>177</v>
      </c>
      <c r="D31" s="27" t="s">
        <v>255</v>
      </c>
      <c r="E31" s="45">
        <f t="shared" si="5"/>
        <v>0</v>
      </c>
      <c r="F31" s="45">
        <v>0</v>
      </c>
      <c r="G31" s="45">
        <v>0</v>
      </c>
      <c r="H31" s="45">
        <v>0</v>
      </c>
      <c r="I31" s="8">
        <v>0</v>
      </c>
      <c r="J31" s="63">
        <f t="shared" si="6"/>
        <v>57000</v>
      </c>
      <c r="K31" s="8">
        <v>57000</v>
      </c>
      <c r="L31" s="8">
        <v>0</v>
      </c>
      <c r="M31" s="45">
        <v>0</v>
      </c>
      <c r="N31" s="45">
        <v>0</v>
      </c>
      <c r="O31" s="8">
        <v>57000</v>
      </c>
      <c r="P31" s="91">
        <f t="shared" si="4"/>
        <v>57000</v>
      </c>
    </row>
    <row r="32" spans="1:16" ht="78" x14ac:dyDescent="0.3">
      <c r="A32" s="66" t="s">
        <v>256</v>
      </c>
      <c r="B32" s="65" t="s">
        <v>257</v>
      </c>
      <c r="C32" s="65" t="s">
        <v>177</v>
      </c>
      <c r="D32" s="27" t="s">
        <v>258</v>
      </c>
      <c r="E32" s="45">
        <f t="shared" si="5"/>
        <v>0</v>
      </c>
      <c r="F32" s="45">
        <v>0</v>
      </c>
      <c r="G32" s="45">
        <v>0</v>
      </c>
      <c r="H32" s="45">
        <v>0</v>
      </c>
      <c r="I32" s="8">
        <v>0</v>
      </c>
      <c r="J32" s="207">
        <f>L32+O32</f>
        <v>16900</v>
      </c>
      <c r="K32" s="8">
        <v>16900</v>
      </c>
      <c r="L32" s="8">
        <v>0</v>
      </c>
      <c r="M32" s="45">
        <v>0</v>
      </c>
      <c r="N32" s="45">
        <v>0</v>
      </c>
      <c r="O32" s="8">
        <v>16900</v>
      </c>
      <c r="P32" s="208">
        <f t="shared" si="4"/>
        <v>16900</v>
      </c>
    </row>
    <row r="33" spans="1:16" ht="31.2" x14ac:dyDescent="0.3">
      <c r="A33" s="712" t="s">
        <v>175</v>
      </c>
      <c r="B33" s="714" t="s">
        <v>176</v>
      </c>
      <c r="C33" s="714" t="s">
        <v>177</v>
      </c>
      <c r="D33" s="27" t="s">
        <v>178</v>
      </c>
      <c r="E33" s="45">
        <f t="shared" si="5"/>
        <v>39188</v>
      </c>
      <c r="F33" s="45">
        <v>39188</v>
      </c>
      <c r="G33" s="45">
        <v>0</v>
      </c>
      <c r="H33" s="45">
        <v>0</v>
      </c>
      <c r="I33" s="8">
        <v>0</v>
      </c>
      <c r="J33" s="207">
        <f t="shared" ref="J33:J38" si="7">L33+O33</f>
        <v>0</v>
      </c>
      <c r="K33" s="8">
        <v>0</v>
      </c>
      <c r="L33" s="8">
        <v>0</v>
      </c>
      <c r="M33" s="8">
        <v>0</v>
      </c>
      <c r="N33" s="8">
        <v>0</v>
      </c>
      <c r="O33" s="8">
        <v>0</v>
      </c>
      <c r="P33" s="208">
        <f t="shared" si="4"/>
        <v>39188</v>
      </c>
    </row>
    <row r="34" spans="1:16" ht="46.8" x14ac:dyDescent="0.3">
      <c r="A34" s="66" t="s">
        <v>481</v>
      </c>
      <c r="B34" s="714">
        <v>8110</v>
      </c>
      <c r="C34" s="65" t="s">
        <v>238</v>
      </c>
      <c r="D34" s="27" t="s">
        <v>239</v>
      </c>
      <c r="E34" s="45">
        <f>F34+I34</f>
        <v>1789685</v>
      </c>
      <c r="F34" s="45">
        <f>0+111980+1045320+632385</f>
        <v>1789685</v>
      </c>
      <c r="G34" s="45"/>
      <c r="H34" s="45"/>
      <c r="I34" s="8"/>
      <c r="J34" s="63">
        <f t="shared" si="7"/>
        <v>0</v>
      </c>
      <c r="K34" s="8">
        <v>0</v>
      </c>
      <c r="L34" s="8"/>
      <c r="M34" s="8"/>
      <c r="N34" s="8"/>
      <c r="O34" s="8">
        <v>0</v>
      </c>
      <c r="P34" s="91">
        <f t="shared" si="4"/>
        <v>1789685</v>
      </c>
    </row>
    <row r="35" spans="1:16" ht="31.2" x14ac:dyDescent="0.3">
      <c r="A35" s="712" t="s">
        <v>34</v>
      </c>
      <c r="B35" s="714" t="s">
        <v>35</v>
      </c>
      <c r="C35" s="714" t="s">
        <v>36</v>
      </c>
      <c r="D35" s="27" t="s">
        <v>37</v>
      </c>
      <c r="E35" s="45">
        <f t="shared" si="5"/>
        <v>6000</v>
      </c>
      <c r="F35" s="45">
        <v>6000</v>
      </c>
      <c r="G35" s="45">
        <v>0</v>
      </c>
      <c r="H35" s="45">
        <v>0</v>
      </c>
      <c r="I35" s="8">
        <v>0</v>
      </c>
      <c r="J35" s="207">
        <f t="shared" si="7"/>
        <v>0</v>
      </c>
      <c r="K35" s="8">
        <v>0</v>
      </c>
      <c r="L35" s="8">
        <v>0</v>
      </c>
      <c r="M35" s="8">
        <v>0</v>
      </c>
      <c r="N35" s="8">
        <v>0</v>
      </c>
      <c r="O35" s="8">
        <v>0</v>
      </c>
      <c r="P35" s="208">
        <f t="shared" si="4"/>
        <v>6000</v>
      </c>
    </row>
    <row r="36" spans="1:16" ht="36" customHeight="1" x14ac:dyDescent="0.3">
      <c r="A36" s="712" t="s">
        <v>158</v>
      </c>
      <c r="B36" s="714" t="s">
        <v>179</v>
      </c>
      <c r="C36" s="714" t="s">
        <v>36</v>
      </c>
      <c r="D36" s="27" t="s">
        <v>159</v>
      </c>
      <c r="E36" s="45">
        <f t="shared" si="5"/>
        <v>18132201</v>
      </c>
      <c r="F36" s="45">
        <f>20061160-228060-2039391+338492</f>
        <v>18132201</v>
      </c>
      <c r="G36" s="45">
        <v>0</v>
      </c>
      <c r="H36" s="45">
        <v>0</v>
      </c>
      <c r="I36" s="8">
        <v>0</v>
      </c>
      <c r="J36" s="63">
        <f>K36</f>
        <v>900000</v>
      </c>
      <c r="K36" s="8">
        <f>0+900000</f>
        <v>900000</v>
      </c>
      <c r="L36" s="8">
        <v>0</v>
      </c>
      <c r="M36" s="8">
        <v>0</v>
      </c>
      <c r="N36" s="8">
        <v>0</v>
      </c>
      <c r="O36" s="8">
        <f>K36</f>
        <v>900000</v>
      </c>
      <c r="P36" s="91">
        <f t="shared" ref="P36:P40" si="8">E36+J36</f>
        <v>19032201</v>
      </c>
    </row>
    <row r="37" spans="1:16" ht="36" customHeight="1" x14ac:dyDescent="0.3">
      <c r="A37" s="712"/>
      <c r="B37" s="714">
        <v>8240</v>
      </c>
      <c r="C37" s="714" t="s">
        <v>36</v>
      </c>
      <c r="D37" s="27" t="s">
        <v>543</v>
      </c>
      <c r="E37" s="45">
        <f t="shared" si="5"/>
        <v>183976</v>
      </c>
      <c r="F37" s="45">
        <f>126880+57096</f>
        <v>183976</v>
      </c>
      <c r="G37" s="45"/>
      <c r="H37" s="45"/>
      <c r="I37" s="8"/>
      <c r="J37" s="63"/>
      <c r="K37" s="8"/>
      <c r="L37" s="8"/>
      <c r="M37" s="8"/>
      <c r="N37" s="8"/>
      <c r="O37" s="8"/>
      <c r="P37" s="91">
        <f t="shared" si="8"/>
        <v>183976</v>
      </c>
    </row>
    <row r="38" spans="1:16" ht="31.2" x14ac:dyDescent="0.3">
      <c r="A38" s="712" t="s">
        <v>38</v>
      </c>
      <c r="B38" s="714" t="s">
        <v>39</v>
      </c>
      <c r="C38" s="714" t="s">
        <v>40</v>
      </c>
      <c r="D38" s="27" t="s">
        <v>41</v>
      </c>
      <c r="E38" s="45">
        <f>F38+I38</f>
        <v>3379702</v>
      </c>
      <c r="F38" s="45">
        <v>3379702</v>
      </c>
      <c r="G38" s="45">
        <v>0</v>
      </c>
      <c r="H38" s="45">
        <v>0</v>
      </c>
      <c r="I38" s="8">
        <v>0</v>
      </c>
      <c r="J38" s="63">
        <f t="shared" si="7"/>
        <v>0</v>
      </c>
      <c r="K38" s="8">
        <v>0</v>
      </c>
      <c r="L38" s="8">
        <v>0</v>
      </c>
      <c r="M38" s="8">
        <v>0</v>
      </c>
      <c r="N38" s="8">
        <v>0</v>
      </c>
      <c r="O38" s="8">
        <v>0</v>
      </c>
      <c r="P38" s="91">
        <f t="shared" si="8"/>
        <v>3379702</v>
      </c>
    </row>
    <row r="39" spans="1:16" ht="47.4" thickBot="1" x14ac:dyDescent="0.35">
      <c r="A39" s="199" t="s">
        <v>343</v>
      </c>
      <c r="B39" s="9">
        <v>9800</v>
      </c>
      <c r="C39" s="65" t="s">
        <v>225</v>
      </c>
      <c r="D39" s="195" t="s">
        <v>344</v>
      </c>
      <c r="E39" s="45">
        <f>F39+I39</f>
        <v>40892364</v>
      </c>
      <c r="F39" s="196">
        <f>5000000+1500000+521164+850000+63000+30300+14500000-1300000+428000+10000000+1000000+4000000+1299900+2000000+1000000</f>
        <v>40892364</v>
      </c>
      <c r="G39" s="196">
        <v>0</v>
      </c>
      <c r="H39" s="196">
        <v>0</v>
      </c>
      <c r="I39" s="197">
        <v>0</v>
      </c>
      <c r="J39" s="63">
        <f>L39+O39</f>
        <v>55278400</v>
      </c>
      <c r="K39" s="198">
        <f>0+1000000+150000+2937000+26000+310400+13500000+1300000+4572000+4000000-4000000+5000000+3000000+1000000+2500000+900000+1000000+3000000+5000000+1083000+9000000</f>
        <v>55278400</v>
      </c>
      <c r="L39" s="198">
        <v>0</v>
      </c>
      <c r="M39" s="198">
        <v>0</v>
      </c>
      <c r="N39" s="198">
        <v>0</v>
      </c>
      <c r="O39" s="198">
        <f>K39</f>
        <v>55278400</v>
      </c>
      <c r="P39" s="91">
        <f t="shared" si="8"/>
        <v>96170764</v>
      </c>
    </row>
    <row r="40" spans="1:16" ht="31.8" thickBot="1" x14ac:dyDescent="0.35">
      <c r="A40" s="39" t="s">
        <v>42</v>
      </c>
      <c r="B40" s="40" t="s">
        <v>16</v>
      </c>
      <c r="C40" s="40" t="s">
        <v>16</v>
      </c>
      <c r="D40" s="41" t="s">
        <v>43</v>
      </c>
      <c r="E40" s="67">
        <f>E41</f>
        <v>242903673</v>
      </c>
      <c r="F40" s="67">
        <f>F41</f>
        <v>242903673</v>
      </c>
      <c r="G40" s="67">
        <f t="shared" ref="G40:I40" si="9">G41</f>
        <v>179639834</v>
      </c>
      <c r="H40" s="67">
        <f t="shared" si="9"/>
        <v>26485120</v>
      </c>
      <c r="I40" s="67">
        <f t="shared" si="9"/>
        <v>0</v>
      </c>
      <c r="J40" s="67">
        <f>J41</f>
        <v>15622324</v>
      </c>
      <c r="K40" s="67">
        <f>K41</f>
        <v>1537216</v>
      </c>
      <c r="L40" s="67">
        <f t="shared" ref="L40:N40" si="10">L41</f>
        <v>12948778</v>
      </c>
      <c r="M40" s="67">
        <f>M41</f>
        <v>1183367</v>
      </c>
      <c r="N40" s="67">
        <f t="shared" si="10"/>
        <v>55353</v>
      </c>
      <c r="O40" s="67">
        <f>O41</f>
        <v>2673546</v>
      </c>
      <c r="P40" s="68">
        <f t="shared" si="8"/>
        <v>258525997</v>
      </c>
    </row>
    <row r="41" spans="1:16" s="30" customFormat="1" ht="31.2" x14ac:dyDescent="0.3">
      <c r="A41" s="59" t="s">
        <v>44</v>
      </c>
      <c r="B41" s="60" t="s">
        <v>16</v>
      </c>
      <c r="C41" s="60" t="s">
        <v>16</v>
      </c>
      <c r="D41" s="61" t="s">
        <v>43</v>
      </c>
      <c r="E41" s="47">
        <f>E42+E43+E44+E45+E46+E47+E48+E50+E51+E53+E54+E55+E57+E56+E49+E60+E58+E59+E52</f>
        <v>242903673</v>
      </c>
      <c r="F41" s="47">
        <f>F42+F43+F44+F45+F46+F47+F48+F50+F51+F53+F54+F55+F57+F56+F49+F60+F58+F59+F52</f>
        <v>242903673</v>
      </c>
      <c r="G41" s="47">
        <f>G42+G43+G44+G45+G46+G47+G48+G50+G51+G53+G54+G55+G57+G56+G49+G60+G58+G59</f>
        <v>179639834</v>
      </c>
      <c r="H41" s="47">
        <f>H42+H43+H44+H45+H46+H47+H48+H50+H51+H53+H54+H55+H57+H56+H49+H60+H58+H59</f>
        <v>26485120</v>
      </c>
      <c r="I41" s="47">
        <f t="shared" ref="I41:N41" si="11">I42+I43+I44+I45+I46+I53+I54+I55+I57</f>
        <v>0</v>
      </c>
      <c r="J41" s="47">
        <f>J42+J43+J44+J45+J46+J50+J51+J53+J54+J55+J57+J59+J52</f>
        <v>15622324</v>
      </c>
      <c r="K41" s="47">
        <f>K42+K43+K44+K45+K46+K50+K51+K53+K54+K55+K57+K59</f>
        <v>1537216</v>
      </c>
      <c r="L41" s="47">
        <f>L42+L43+L44+L45+L46+L53+L54+L55+L57+L51+L52</f>
        <v>12948778</v>
      </c>
      <c r="M41" s="47">
        <f>M42+M43+M44+M45+M46+M53+M54+M55+M57</f>
        <v>1183367</v>
      </c>
      <c r="N41" s="47">
        <f t="shared" si="11"/>
        <v>55353</v>
      </c>
      <c r="O41" s="47">
        <f>O42+O43+O44+O45+O46+O50+O51+O53+O54+O55+O57+O59</f>
        <v>2673546</v>
      </c>
      <c r="P41" s="69">
        <f>E41+J41</f>
        <v>258525997</v>
      </c>
    </row>
    <row r="42" spans="1:16" ht="55.5" customHeight="1" x14ac:dyDescent="0.3">
      <c r="A42" s="712" t="s">
        <v>180</v>
      </c>
      <c r="B42" s="714" t="s">
        <v>45</v>
      </c>
      <c r="C42" s="714" t="s">
        <v>18</v>
      </c>
      <c r="D42" s="27" t="s">
        <v>181</v>
      </c>
      <c r="E42" s="45">
        <f>F42+I42</f>
        <v>4306803</v>
      </c>
      <c r="F42" s="45">
        <f>3424257+709486+96770+46676+29614</f>
        <v>4306803</v>
      </c>
      <c r="G42" s="45">
        <f>2882617+709486</f>
        <v>3592103</v>
      </c>
      <c r="H42" s="45">
        <f>140633+17100</f>
        <v>157733</v>
      </c>
      <c r="I42" s="8">
        <v>0</v>
      </c>
      <c r="J42" s="8">
        <f>L42+O42</f>
        <v>0</v>
      </c>
      <c r="K42" s="8">
        <v>0</v>
      </c>
      <c r="L42" s="8">
        <v>0</v>
      </c>
      <c r="M42" s="8">
        <v>0</v>
      </c>
      <c r="N42" s="8">
        <v>0</v>
      </c>
      <c r="O42" s="8">
        <v>0</v>
      </c>
      <c r="P42" s="70">
        <f t="shared" ref="P42:P60" si="12">E42+J42</f>
        <v>4306803</v>
      </c>
    </row>
    <row r="43" spans="1:16" ht="24" customHeight="1" x14ac:dyDescent="0.3">
      <c r="A43" s="712" t="s">
        <v>46</v>
      </c>
      <c r="B43" s="714" t="s">
        <v>47</v>
      </c>
      <c r="C43" s="714" t="s">
        <v>48</v>
      </c>
      <c r="D43" s="27" t="s">
        <v>49</v>
      </c>
      <c r="E43" s="45">
        <f t="shared" ref="E43:E60" si="13">F43+I43</f>
        <v>76597717</v>
      </c>
      <c r="F43" s="45">
        <f>80978471-119222-4459-997112-2735805+721263-1683000+752594-315013</f>
        <v>76597717</v>
      </c>
      <c r="G43" s="45">
        <f>62483112-85683-997112-2735805-1683000-315013</f>
        <v>56666499</v>
      </c>
      <c r="H43" s="45">
        <f>8498224+81917+355423</f>
        <v>8935564</v>
      </c>
      <c r="I43" s="8">
        <v>0</v>
      </c>
      <c r="J43" s="8">
        <f>L43+O43</f>
        <v>2882033</v>
      </c>
      <c r="K43" s="8">
        <f>0+499750</f>
        <v>499750</v>
      </c>
      <c r="L43" s="8">
        <v>2382283</v>
      </c>
      <c r="M43" s="8"/>
      <c r="N43" s="8">
        <v>0</v>
      </c>
      <c r="O43" s="8">
        <f>K43</f>
        <v>499750</v>
      </c>
      <c r="P43" s="70">
        <f>E43+J43</f>
        <v>79479750</v>
      </c>
    </row>
    <row r="44" spans="1:16" ht="46.8" x14ac:dyDescent="0.3">
      <c r="A44" s="712" t="s">
        <v>50</v>
      </c>
      <c r="B44" s="714" t="s">
        <v>51</v>
      </c>
      <c r="C44" s="714" t="s">
        <v>52</v>
      </c>
      <c r="D44" s="27" t="s">
        <v>351</v>
      </c>
      <c r="E44" s="45">
        <f t="shared" si="13"/>
        <v>67153871</v>
      </c>
      <c r="F44" s="45">
        <f>63503220+499070+72600-179398-47847-30000+30000+47847+498000+175000-4823568+330058+3964258+2211161+618071+285399-290222+290222</f>
        <v>67153871</v>
      </c>
      <c r="G44" s="45">
        <f>31257988+4214390-4823568-315996-109389</f>
        <v>30223425</v>
      </c>
      <c r="H44" s="45">
        <f>15409909+47847+1237554-209330</f>
        <v>16485980</v>
      </c>
      <c r="I44" s="8">
        <v>0</v>
      </c>
      <c r="J44" s="8">
        <f>L44+O44</f>
        <v>6581445</v>
      </c>
      <c r="K44" s="8">
        <v>0</v>
      </c>
      <c r="L44" s="8">
        <v>6581445</v>
      </c>
      <c r="M44" s="8">
        <v>1183367</v>
      </c>
      <c r="N44" s="8">
        <v>55353</v>
      </c>
      <c r="O44" s="8">
        <v>0</v>
      </c>
      <c r="P44" s="70">
        <f>E44+J44</f>
        <v>73735316</v>
      </c>
    </row>
    <row r="45" spans="1:16" ht="60.6" customHeight="1" x14ac:dyDescent="0.3">
      <c r="A45" s="86" t="s">
        <v>182</v>
      </c>
      <c r="B45" s="87" t="s">
        <v>183</v>
      </c>
      <c r="C45" s="87" t="s">
        <v>52</v>
      </c>
      <c r="D45" s="27" t="s">
        <v>352</v>
      </c>
      <c r="E45" s="45">
        <f t="shared" si="13"/>
        <v>75510600</v>
      </c>
      <c r="F45" s="8">
        <v>75510600</v>
      </c>
      <c r="G45" s="8">
        <v>75510600</v>
      </c>
      <c r="H45" s="8">
        <v>0</v>
      </c>
      <c r="I45" s="8">
        <v>0</v>
      </c>
      <c r="J45" s="8">
        <f t="shared" ref="J45:J52" si="14">L45+O45</f>
        <v>0</v>
      </c>
      <c r="K45" s="8">
        <v>0</v>
      </c>
      <c r="L45" s="8">
        <v>0</v>
      </c>
      <c r="M45" s="8">
        <v>0</v>
      </c>
      <c r="N45" s="8">
        <v>0</v>
      </c>
      <c r="O45" s="8">
        <v>0</v>
      </c>
      <c r="P45" s="70">
        <f t="shared" si="12"/>
        <v>75510600</v>
      </c>
    </row>
    <row r="46" spans="1:16" ht="46.8" x14ac:dyDescent="0.3">
      <c r="A46" s="712" t="s">
        <v>54</v>
      </c>
      <c r="B46" s="714" t="s">
        <v>55</v>
      </c>
      <c r="C46" s="714" t="s">
        <v>56</v>
      </c>
      <c r="D46" s="27" t="s">
        <v>57</v>
      </c>
      <c r="E46" s="45">
        <f>F46+I46</f>
        <v>5555685</v>
      </c>
      <c r="F46" s="45">
        <f>5329432+140441+85812</f>
        <v>5555685</v>
      </c>
      <c r="G46" s="45">
        <v>4804311</v>
      </c>
      <c r="H46" s="45">
        <f>244601+85812</f>
        <v>330413</v>
      </c>
      <c r="I46" s="8">
        <v>0</v>
      </c>
      <c r="J46" s="8">
        <f t="shared" si="14"/>
        <v>0</v>
      </c>
      <c r="K46" s="8">
        <v>0</v>
      </c>
      <c r="L46" s="8">
        <v>0</v>
      </c>
      <c r="M46" s="8">
        <v>0</v>
      </c>
      <c r="N46" s="8">
        <v>0</v>
      </c>
      <c r="O46" s="8">
        <v>0</v>
      </c>
      <c r="P46" s="70">
        <f t="shared" si="12"/>
        <v>5555685</v>
      </c>
    </row>
    <row r="47" spans="1:16" ht="124.8" x14ac:dyDescent="0.3">
      <c r="A47" s="219" t="s">
        <v>400</v>
      </c>
      <c r="B47" s="220" t="s">
        <v>401</v>
      </c>
      <c r="C47" s="220" t="s">
        <v>58</v>
      </c>
      <c r="D47" s="221" t="s">
        <v>402</v>
      </c>
      <c r="E47" s="45">
        <f t="shared" ref="E47:E49" si="15">F47+I47</f>
        <v>161725</v>
      </c>
      <c r="F47" s="45">
        <f>104325+57400</f>
        <v>161725</v>
      </c>
      <c r="G47" s="45">
        <f>104325+57400</f>
        <v>161725</v>
      </c>
      <c r="H47" s="45"/>
      <c r="I47" s="8"/>
      <c r="J47" s="8"/>
      <c r="K47" s="8"/>
      <c r="L47" s="8"/>
      <c r="M47" s="8"/>
      <c r="N47" s="8"/>
      <c r="O47" s="8"/>
      <c r="P47" s="70">
        <f t="shared" si="12"/>
        <v>161725</v>
      </c>
    </row>
    <row r="48" spans="1:16" ht="124.8" x14ac:dyDescent="0.3">
      <c r="A48" s="222" t="s">
        <v>400</v>
      </c>
      <c r="B48" s="223" t="s">
        <v>401</v>
      </c>
      <c r="C48" s="223" t="s">
        <v>58</v>
      </c>
      <c r="D48" s="224" t="s">
        <v>403</v>
      </c>
      <c r="E48" s="45">
        <f t="shared" si="15"/>
        <v>239625</v>
      </c>
      <c r="F48" s="45">
        <f>187785+51840</f>
        <v>239625</v>
      </c>
      <c r="G48" s="45">
        <f>F48</f>
        <v>239625</v>
      </c>
      <c r="H48" s="45"/>
      <c r="I48" s="8"/>
      <c r="J48" s="8"/>
      <c r="K48" s="8"/>
      <c r="L48" s="8"/>
      <c r="M48" s="8"/>
      <c r="N48" s="8"/>
      <c r="O48" s="8"/>
      <c r="P48" s="70">
        <f t="shared" si="12"/>
        <v>239625</v>
      </c>
    </row>
    <row r="49" spans="1:16" ht="78" x14ac:dyDescent="0.3">
      <c r="A49" s="66" t="s">
        <v>379</v>
      </c>
      <c r="B49" s="714">
        <v>1210</v>
      </c>
      <c r="C49" s="65" t="s">
        <v>58</v>
      </c>
      <c r="D49" s="27" t="s">
        <v>380</v>
      </c>
      <c r="E49" s="45">
        <f t="shared" si="15"/>
        <v>323630</v>
      </c>
      <c r="F49" s="45">
        <f>110550+213080</f>
        <v>323630</v>
      </c>
      <c r="G49" s="45">
        <f>F49</f>
        <v>323630</v>
      </c>
      <c r="H49" s="45"/>
      <c r="I49" s="8"/>
      <c r="J49" s="8"/>
      <c r="K49" s="8"/>
      <c r="L49" s="8"/>
      <c r="M49" s="8"/>
      <c r="N49" s="8"/>
      <c r="O49" s="8"/>
      <c r="P49" s="70">
        <f t="shared" si="12"/>
        <v>323630</v>
      </c>
    </row>
    <row r="50" spans="1:16" ht="109.2" x14ac:dyDescent="0.3">
      <c r="A50" s="66" t="s">
        <v>347</v>
      </c>
      <c r="B50" s="65" t="s">
        <v>349</v>
      </c>
      <c r="C50" s="65" t="s">
        <v>58</v>
      </c>
      <c r="D50" s="27" t="s">
        <v>345</v>
      </c>
      <c r="E50" s="45">
        <f>F50+I50</f>
        <v>694620</v>
      </c>
      <c r="F50" s="45">
        <f>0+298620+396000</f>
        <v>694620</v>
      </c>
      <c r="G50" s="45">
        <v>0</v>
      </c>
      <c r="H50" s="45">
        <v>0</v>
      </c>
      <c r="I50" s="45">
        <v>0</v>
      </c>
      <c r="J50" s="8">
        <f t="shared" si="14"/>
        <v>0</v>
      </c>
      <c r="K50" s="8">
        <v>0</v>
      </c>
      <c r="L50" s="8">
        <v>0</v>
      </c>
      <c r="M50" s="8">
        <v>0</v>
      </c>
      <c r="N50" s="8">
        <v>0</v>
      </c>
      <c r="O50" s="8">
        <v>0</v>
      </c>
      <c r="P50" s="70">
        <f t="shared" si="12"/>
        <v>694620</v>
      </c>
    </row>
    <row r="51" spans="1:16" ht="109.2" x14ac:dyDescent="0.3">
      <c r="A51" s="66" t="s">
        <v>348</v>
      </c>
      <c r="B51" s="65" t="s">
        <v>350</v>
      </c>
      <c r="C51" s="65" t="s">
        <v>58</v>
      </c>
      <c r="D51" s="27" t="s">
        <v>346</v>
      </c>
      <c r="E51" s="45">
        <f t="shared" ref="E51:E52" si="16">F51+I51</f>
        <v>0</v>
      </c>
      <c r="F51" s="45">
        <v>0</v>
      </c>
      <c r="G51" s="45">
        <v>0</v>
      </c>
      <c r="H51" s="45">
        <v>0</v>
      </c>
      <c r="I51" s="45">
        <v>0</v>
      </c>
      <c r="J51" s="8">
        <f t="shared" si="14"/>
        <v>1620780</v>
      </c>
      <c r="K51" s="8">
        <v>0</v>
      </c>
      <c r="L51" s="8">
        <f>301938+182512</f>
        <v>484450</v>
      </c>
      <c r="M51" s="8">
        <v>0</v>
      </c>
      <c r="N51" s="8">
        <v>0</v>
      </c>
      <c r="O51" s="8">
        <f>696780-301938+741488</f>
        <v>1136330</v>
      </c>
      <c r="P51" s="70">
        <f t="shared" si="12"/>
        <v>1620780</v>
      </c>
    </row>
    <row r="52" spans="1:16" ht="62.4" x14ac:dyDescent="0.3">
      <c r="A52" s="66" t="s">
        <v>531</v>
      </c>
      <c r="B52" s="65" t="s">
        <v>533</v>
      </c>
      <c r="C52" s="65" t="s">
        <v>58</v>
      </c>
      <c r="D52" s="27" t="s">
        <v>532</v>
      </c>
      <c r="E52" s="45">
        <f t="shared" si="16"/>
        <v>2289800</v>
      </c>
      <c r="F52" s="45">
        <f>2278000+11800</f>
        <v>2289800</v>
      </c>
      <c r="G52" s="45"/>
      <c r="H52" s="45"/>
      <c r="I52" s="45"/>
      <c r="J52" s="8">
        <f t="shared" si="14"/>
        <v>3500600</v>
      </c>
      <c r="K52" s="8"/>
      <c r="L52" s="8">
        <v>3500600</v>
      </c>
      <c r="M52" s="8"/>
      <c r="N52" s="8"/>
      <c r="O52" s="8"/>
      <c r="P52" s="70">
        <f>E52+J52</f>
        <v>5790400</v>
      </c>
    </row>
    <row r="53" spans="1:16" ht="31.2" x14ac:dyDescent="0.3">
      <c r="A53" s="712" t="s">
        <v>184</v>
      </c>
      <c r="B53" s="714" t="s">
        <v>185</v>
      </c>
      <c r="C53" s="714" t="s">
        <v>58</v>
      </c>
      <c r="D53" s="27" t="s">
        <v>186</v>
      </c>
      <c r="E53" s="45">
        <f t="shared" si="13"/>
        <v>4258888</v>
      </c>
      <c r="F53" s="45">
        <v>4258888</v>
      </c>
      <c r="G53" s="45">
        <v>3899966</v>
      </c>
      <c r="H53" s="45">
        <v>170008</v>
      </c>
      <c r="I53" s="8">
        <v>0</v>
      </c>
      <c r="J53" s="8">
        <v>0</v>
      </c>
      <c r="K53" s="8">
        <v>0</v>
      </c>
      <c r="L53" s="8">
        <v>0</v>
      </c>
      <c r="M53" s="8">
        <v>0</v>
      </c>
      <c r="N53" s="8">
        <v>0</v>
      </c>
      <c r="O53" s="8">
        <v>0</v>
      </c>
      <c r="P53" s="70">
        <f t="shared" si="12"/>
        <v>4258888</v>
      </c>
    </row>
    <row r="54" spans="1:16" x14ac:dyDescent="0.3">
      <c r="A54" s="712" t="s">
        <v>59</v>
      </c>
      <c r="B54" s="714" t="s">
        <v>60</v>
      </c>
      <c r="C54" s="714" t="s">
        <v>58</v>
      </c>
      <c r="D54" s="27" t="s">
        <v>61</v>
      </c>
      <c r="E54" s="45">
        <f t="shared" si="13"/>
        <v>69480</v>
      </c>
      <c r="F54" s="45">
        <f>14480+55000</f>
        <v>69480</v>
      </c>
      <c r="G54" s="45">
        <v>0</v>
      </c>
      <c r="H54" s="45">
        <v>0</v>
      </c>
      <c r="I54" s="8">
        <v>0</v>
      </c>
      <c r="J54" s="8">
        <v>0</v>
      </c>
      <c r="K54" s="8">
        <v>0</v>
      </c>
      <c r="L54" s="8">
        <v>0</v>
      </c>
      <c r="M54" s="8">
        <v>0</v>
      </c>
      <c r="N54" s="8">
        <v>0</v>
      </c>
      <c r="O54" s="8">
        <v>0</v>
      </c>
      <c r="P54" s="70">
        <f t="shared" si="12"/>
        <v>69480</v>
      </c>
    </row>
    <row r="55" spans="1:16" ht="46.8" x14ac:dyDescent="0.3">
      <c r="A55" s="712" t="s">
        <v>62</v>
      </c>
      <c r="B55" s="714" t="s">
        <v>63</v>
      </c>
      <c r="C55" s="714" t="s">
        <v>58</v>
      </c>
      <c r="D55" s="27" t="s">
        <v>64</v>
      </c>
      <c r="E55" s="45">
        <f t="shared" si="13"/>
        <v>1102208</v>
      </c>
      <c r="F55" s="45">
        <f>1183561+4459-85812</f>
        <v>1102208</v>
      </c>
      <c r="G55" s="45">
        <v>690594</v>
      </c>
      <c r="H55" s="45">
        <f>443408-85812</f>
        <v>357596</v>
      </c>
      <c r="I55" s="8">
        <v>0</v>
      </c>
      <c r="J55" s="8">
        <v>0</v>
      </c>
      <c r="K55" s="8">
        <v>0</v>
      </c>
      <c r="L55" s="8">
        <v>0</v>
      </c>
      <c r="M55" s="8">
        <v>0</v>
      </c>
      <c r="N55" s="8">
        <v>0</v>
      </c>
      <c r="O55" s="8">
        <v>0</v>
      </c>
      <c r="P55" s="70">
        <f t="shared" si="12"/>
        <v>1102208</v>
      </c>
    </row>
    <row r="56" spans="1:16" ht="46.8" x14ac:dyDescent="0.3">
      <c r="A56" s="710" t="s">
        <v>263</v>
      </c>
      <c r="B56" s="711" t="s">
        <v>264</v>
      </c>
      <c r="C56" s="711" t="s">
        <v>58</v>
      </c>
      <c r="D56" s="11" t="s">
        <v>265</v>
      </c>
      <c r="E56" s="45">
        <f t="shared" si="13"/>
        <v>1766200</v>
      </c>
      <c r="F56" s="45">
        <v>1766200</v>
      </c>
      <c r="G56" s="45">
        <v>1766200</v>
      </c>
      <c r="H56" s="45"/>
      <c r="I56" s="8"/>
      <c r="J56" s="8"/>
      <c r="K56" s="8"/>
      <c r="L56" s="8"/>
      <c r="M56" s="8"/>
      <c r="N56" s="8"/>
      <c r="O56" s="8"/>
      <c r="P56" s="70">
        <f t="shared" si="12"/>
        <v>1766200</v>
      </c>
    </row>
    <row r="57" spans="1:16" ht="31.2" x14ac:dyDescent="0.3">
      <c r="A57" s="712" t="s">
        <v>65</v>
      </c>
      <c r="B57" s="714" t="s">
        <v>66</v>
      </c>
      <c r="C57" s="714" t="s">
        <v>58</v>
      </c>
      <c r="D57" s="27" t="s">
        <v>67</v>
      </c>
      <c r="E57" s="45">
        <f t="shared" si="13"/>
        <v>1558497</v>
      </c>
      <c r="F57" s="45">
        <v>1558497</v>
      </c>
      <c r="G57" s="45">
        <v>1452012</v>
      </c>
      <c r="H57" s="45">
        <v>38669</v>
      </c>
      <c r="I57" s="8">
        <v>0</v>
      </c>
      <c r="J57" s="8">
        <v>0</v>
      </c>
      <c r="K57" s="8">
        <v>0</v>
      </c>
      <c r="L57" s="8">
        <v>0</v>
      </c>
      <c r="M57" s="8">
        <v>0</v>
      </c>
      <c r="N57" s="8">
        <v>0</v>
      </c>
      <c r="O57" s="8">
        <v>0</v>
      </c>
      <c r="P57" s="70">
        <f t="shared" si="12"/>
        <v>1558497</v>
      </c>
    </row>
    <row r="58" spans="1:16" ht="78" x14ac:dyDescent="0.3">
      <c r="A58" s="66" t="s">
        <v>517</v>
      </c>
      <c r="B58" s="714">
        <v>1181</v>
      </c>
      <c r="C58" s="714" t="s">
        <v>58</v>
      </c>
      <c r="D58" s="27" t="s">
        <v>518</v>
      </c>
      <c r="E58" s="45">
        <f t="shared" si="13"/>
        <v>449824</v>
      </c>
      <c r="F58" s="45">
        <v>449824</v>
      </c>
      <c r="G58" s="45"/>
      <c r="H58" s="45"/>
      <c r="I58" s="8"/>
      <c r="J58" s="8"/>
      <c r="K58" s="8"/>
      <c r="L58" s="8"/>
      <c r="M58" s="8"/>
      <c r="N58" s="8"/>
      <c r="O58" s="8"/>
      <c r="P58" s="70">
        <f t="shared" si="12"/>
        <v>449824</v>
      </c>
    </row>
    <row r="59" spans="1:16" ht="78" x14ac:dyDescent="0.3">
      <c r="A59" s="66" t="s">
        <v>519</v>
      </c>
      <c r="B59" s="714">
        <v>1182</v>
      </c>
      <c r="C59" s="714" t="s">
        <v>58</v>
      </c>
      <c r="D59" s="27" t="s">
        <v>521</v>
      </c>
      <c r="E59" s="45">
        <f t="shared" si="13"/>
        <v>0</v>
      </c>
      <c r="F59" s="45"/>
      <c r="G59" s="45"/>
      <c r="H59" s="45"/>
      <c r="I59" s="8"/>
      <c r="J59" s="8">
        <f>K59</f>
        <v>1037466</v>
      </c>
      <c r="K59" s="8">
        <f>1049568-12102</f>
        <v>1037466</v>
      </c>
      <c r="L59" s="8"/>
      <c r="M59" s="8"/>
      <c r="N59" s="8"/>
      <c r="O59" s="8">
        <f>K59</f>
        <v>1037466</v>
      </c>
      <c r="P59" s="70">
        <f t="shared" si="12"/>
        <v>1037466</v>
      </c>
    </row>
    <row r="60" spans="1:16" ht="78.599999999999994" thickBot="1" x14ac:dyDescent="0.35">
      <c r="A60" s="199" t="s">
        <v>381</v>
      </c>
      <c r="B60" s="9">
        <v>3140</v>
      </c>
      <c r="C60" s="9">
        <v>1040</v>
      </c>
      <c r="D60" s="218" t="s">
        <v>382</v>
      </c>
      <c r="E60" s="48">
        <f t="shared" si="13"/>
        <v>864500</v>
      </c>
      <c r="F60" s="196">
        <f>1300000-230000-205500</f>
        <v>864500</v>
      </c>
      <c r="G60" s="196">
        <f>464878-66683-14670-60968-13413</f>
        <v>309144</v>
      </c>
      <c r="H60" s="196">
        <f>13770-687-1181-542-629-1080-494</f>
        <v>9157</v>
      </c>
      <c r="I60" s="197"/>
      <c r="J60" s="197"/>
      <c r="K60" s="197"/>
      <c r="L60" s="197"/>
      <c r="M60" s="197"/>
      <c r="N60" s="197"/>
      <c r="O60" s="197"/>
      <c r="P60" s="568">
        <f t="shared" si="12"/>
        <v>864500</v>
      </c>
    </row>
    <row r="61" spans="1:16" ht="47.4" thickBot="1" x14ac:dyDescent="0.35">
      <c r="A61" s="39" t="s">
        <v>69</v>
      </c>
      <c r="B61" s="40" t="s">
        <v>16</v>
      </c>
      <c r="C61" s="40" t="s">
        <v>16</v>
      </c>
      <c r="D61" s="41" t="s">
        <v>70</v>
      </c>
      <c r="E61" s="67">
        <f>E62</f>
        <v>41897125</v>
      </c>
      <c r="F61" s="67">
        <f>F62</f>
        <v>41897125</v>
      </c>
      <c r="G61" s="67">
        <f t="shared" ref="G61:I61" si="17">G62</f>
        <v>17732544</v>
      </c>
      <c r="H61" s="67">
        <f t="shared" si="17"/>
        <v>365021</v>
      </c>
      <c r="I61" s="67">
        <f t="shared" si="17"/>
        <v>0</v>
      </c>
      <c r="J61" s="67">
        <f>J62</f>
        <v>3847633</v>
      </c>
      <c r="K61" s="67">
        <f>K62</f>
        <v>3834633</v>
      </c>
      <c r="L61" s="67">
        <f t="shared" ref="L61:O61" si="18">L62</f>
        <v>13000</v>
      </c>
      <c r="M61" s="67">
        <f t="shared" si="18"/>
        <v>0</v>
      </c>
      <c r="N61" s="67">
        <f t="shared" si="18"/>
        <v>0</v>
      </c>
      <c r="O61" s="67">
        <f t="shared" si="18"/>
        <v>3834633</v>
      </c>
      <c r="P61" s="68">
        <f>E61+J61</f>
        <v>45744758</v>
      </c>
    </row>
    <row r="62" spans="1:16" ht="47.4" thickBot="1" x14ac:dyDescent="0.35">
      <c r="A62" s="716" t="s">
        <v>71</v>
      </c>
      <c r="B62" s="717" t="s">
        <v>16</v>
      </c>
      <c r="C62" s="717" t="s">
        <v>16</v>
      </c>
      <c r="D62" s="718" t="s">
        <v>70</v>
      </c>
      <c r="E62" s="719">
        <f>E63+E64+E65+E66+E69+E72+E73+E67+E68+E70+E71</f>
        <v>41897125</v>
      </c>
      <c r="F62" s="719">
        <f>F63+F64+F65+F66+F69+F72+F73+F67+F68+F70+F71</f>
        <v>41897125</v>
      </c>
      <c r="G62" s="719">
        <f>G63+G64+G65+G66+G69+G72+G73+G67+G68+G70+G71</f>
        <v>17732544</v>
      </c>
      <c r="H62" s="719">
        <f t="shared" ref="H62:N62" si="19">H63+H64+H65+H66+H69+H72+H73+H67+H68+H70+H71</f>
        <v>365021</v>
      </c>
      <c r="I62" s="719">
        <f t="shared" si="19"/>
        <v>0</v>
      </c>
      <c r="J62" s="719">
        <f>J63+J64+J65+J66+J69+J72+J73+J67+J68+J70+J71</f>
        <v>3847633</v>
      </c>
      <c r="K62" s="719">
        <f>K63+K64+K65+K66+K69+K72+K73+K67+K68+K70+K71</f>
        <v>3834633</v>
      </c>
      <c r="L62" s="719">
        <f t="shared" si="19"/>
        <v>13000</v>
      </c>
      <c r="M62" s="719">
        <f t="shared" si="19"/>
        <v>0</v>
      </c>
      <c r="N62" s="719">
        <f t="shared" si="19"/>
        <v>0</v>
      </c>
      <c r="O62" s="719">
        <f>O63+O64+O65+O66+O69+O72+O73+O67+O68+O70+O71</f>
        <v>3834633</v>
      </c>
      <c r="P62" s="720">
        <f>E62+J62</f>
        <v>45744758</v>
      </c>
    </row>
    <row r="63" spans="1:16" ht="46.8" x14ac:dyDescent="0.3">
      <c r="A63" s="21" t="s">
        <v>187</v>
      </c>
      <c r="B63" s="22" t="s">
        <v>45</v>
      </c>
      <c r="C63" s="22" t="s">
        <v>18</v>
      </c>
      <c r="D63" s="218" t="s">
        <v>181</v>
      </c>
      <c r="E63" s="48">
        <f>F63+I63</f>
        <v>8297992</v>
      </c>
      <c r="F63" s="48">
        <f>6900686+1397306</f>
        <v>8297992</v>
      </c>
      <c r="G63" s="48">
        <f>6491282+1397306</f>
        <v>7888588</v>
      </c>
      <c r="H63" s="48">
        <v>175849</v>
      </c>
      <c r="I63" s="548">
        <v>0</v>
      </c>
      <c r="J63" s="548">
        <f>L63+O63</f>
        <v>46000</v>
      </c>
      <c r="K63" s="548">
        <v>46000</v>
      </c>
      <c r="L63" s="548">
        <v>0</v>
      </c>
      <c r="M63" s="548">
        <v>0</v>
      </c>
      <c r="N63" s="548">
        <v>0</v>
      </c>
      <c r="O63" s="548">
        <v>46000</v>
      </c>
      <c r="P63" s="568">
        <f>E63+J63</f>
        <v>8343992</v>
      </c>
    </row>
    <row r="64" spans="1:16" ht="31.2" x14ac:dyDescent="0.3">
      <c r="A64" s="712" t="s">
        <v>72</v>
      </c>
      <c r="B64" s="714" t="s">
        <v>73</v>
      </c>
      <c r="C64" s="714" t="s">
        <v>74</v>
      </c>
      <c r="D64" s="27" t="s">
        <v>75</v>
      </c>
      <c r="E64" s="45">
        <f t="shared" ref="E64:E73" si="20">F64+I64</f>
        <v>12750</v>
      </c>
      <c r="F64" s="45">
        <v>12750</v>
      </c>
      <c r="G64" s="45">
        <v>0</v>
      </c>
      <c r="H64" s="45">
        <v>0</v>
      </c>
      <c r="I64" s="8">
        <v>0</v>
      </c>
      <c r="J64" s="8">
        <f t="shared" ref="J64:J72" si="21">L64+O64</f>
        <v>0</v>
      </c>
      <c r="K64" s="8">
        <v>0</v>
      </c>
      <c r="L64" s="8">
        <v>0</v>
      </c>
      <c r="M64" s="8">
        <v>0</v>
      </c>
      <c r="N64" s="8">
        <v>0</v>
      </c>
      <c r="O64" s="8">
        <v>0</v>
      </c>
      <c r="P64" s="70">
        <f t="shared" ref="P64:P142" si="22">E64+J64</f>
        <v>12750</v>
      </c>
    </row>
    <row r="65" spans="1:16" ht="31.2" x14ac:dyDescent="0.3">
      <c r="A65" s="712" t="s">
        <v>76</v>
      </c>
      <c r="B65" s="714" t="s">
        <v>77</v>
      </c>
      <c r="C65" s="714" t="s">
        <v>55</v>
      </c>
      <c r="D65" s="27" t="s">
        <v>78</v>
      </c>
      <c r="E65" s="45">
        <f t="shared" si="20"/>
        <v>8400</v>
      </c>
      <c r="F65" s="45">
        <v>8400</v>
      </c>
      <c r="G65" s="45">
        <v>0</v>
      </c>
      <c r="H65" s="45">
        <v>0</v>
      </c>
      <c r="I65" s="8">
        <v>0</v>
      </c>
      <c r="J65" s="8">
        <f t="shared" si="21"/>
        <v>0</v>
      </c>
      <c r="K65" s="8">
        <v>0</v>
      </c>
      <c r="L65" s="8">
        <v>0</v>
      </c>
      <c r="M65" s="8">
        <v>0</v>
      </c>
      <c r="N65" s="8">
        <v>0</v>
      </c>
      <c r="O65" s="8">
        <v>0</v>
      </c>
      <c r="P65" s="70">
        <f t="shared" si="22"/>
        <v>8400</v>
      </c>
    </row>
    <row r="66" spans="1:16" ht="31.2" x14ac:dyDescent="0.3">
      <c r="A66" s="712" t="s">
        <v>188</v>
      </c>
      <c r="B66" s="714" t="s">
        <v>189</v>
      </c>
      <c r="C66" s="714" t="s">
        <v>47</v>
      </c>
      <c r="D66" s="27" t="s">
        <v>190</v>
      </c>
      <c r="E66" s="45">
        <f t="shared" si="20"/>
        <v>4376131</v>
      </c>
      <c r="F66" s="45">
        <f>4324257+51874</f>
        <v>4376131</v>
      </c>
      <c r="G66" s="45">
        <v>4118841</v>
      </c>
      <c r="H66" s="45">
        <v>88416</v>
      </c>
      <c r="I66" s="8">
        <v>0</v>
      </c>
      <c r="J66" s="8">
        <f t="shared" si="21"/>
        <v>80500</v>
      </c>
      <c r="K66" s="8">
        <v>80500</v>
      </c>
      <c r="L66" s="8">
        <v>0</v>
      </c>
      <c r="M66" s="8">
        <v>0</v>
      </c>
      <c r="N66" s="8">
        <v>0</v>
      </c>
      <c r="O66" s="8">
        <v>80500</v>
      </c>
      <c r="P66" s="70">
        <f t="shared" si="22"/>
        <v>4456631</v>
      </c>
    </row>
    <row r="67" spans="1:16" ht="46.8" x14ac:dyDescent="0.3">
      <c r="A67" s="93" t="s">
        <v>266</v>
      </c>
      <c r="B67" s="34" t="s">
        <v>267</v>
      </c>
      <c r="C67" s="711" t="s">
        <v>55</v>
      </c>
      <c r="D67" s="11" t="s">
        <v>268</v>
      </c>
      <c r="E67" s="45">
        <f t="shared" si="20"/>
        <v>57773</v>
      </c>
      <c r="F67" s="45">
        <f>28193+29580</f>
        <v>57773</v>
      </c>
      <c r="G67" s="45"/>
      <c r="H67" s="45"/>
      <c r="I67" s="8"/>
      <c r="J67" s="8"/>
      <c r="K67" s="8"/>
      <c r="L67" s="8"/>
      <c r="M67" s="8"/>
      <c r="N67" s="8"/>
      <c r="O67" s="8"/>
      <c r="P67" s="70">
        <f t="shared" si="22"/>
        <v>57773</v>
      </c>
    </row>
    <row r="68" spans="1:16" ht="31.2" x14ac:dyDescent="0.3">
      <c r="A68" s="93" t="s">
        <v>269</v>
      </c>
      <c r="B68" s="34" t="s">
        <v>270</v>
      </c>
      <c r="C68" s="34" t="s">
        <v>74</v>
      </c>
      <c r="D68" s="35" t="s">
        <v>271</v>
      </c>
      <c r="E68" s="45">
        <f t="shared" si="20"/>
        <v>164690</v>
      </c>
      <c r="F68" s="45">
        <f>91319+73371</f>
        <v>164690</v>
      </c>
      <c r="G68" s="45"/>
      <c r="H68" s="45"/>
      <c r="I68" s="8"/>
      <c r="J68" s="8"/>
      <c r="K68" s="8"/>
      <c r="L68" s="8"/>
      <c r="M68" s="8"/>
      <c r="N68" s="8"/>
      <c r="O68" s="8"/>
      <c r="P68" s="70">
        <f t="shared" si="22"/>
        <v>164690</v>
      </c>
    </row>
    <row r="69" spans="1:16" ht="93.6" x14ac:dyDescent="0.3">
      <c r="A69" s="712" t="s">
        <v>191</v>
      </c>
      <c r="B69" s="714" t="s">
        <v>192</v>
      </c>
      <c r="C69" s="714" t="s">
        <v>47</v>
      </c>
      <c r="D69" s="27" t="s">
        <v>193</v>
      </c>
      <c r="E69" s="45">
        <f t="shared" si="20"/>
        <v>230280</v>
      </c>
      <c r="F69" s="45">
        <v>230280</v>
      </c>
      <c r="G69" s="45">
        <v>0</v>
      </c>
      <c r="H69" s="45">
        <v>0</v>
      </c>
      <c r="I69" s="8">
        <v>0</v>
      </c>
      <c r="J69" s="8">
        <f t="shared" si="21"/>
        <v>0</v>
      </c>
      <c r="K69" s="8">
        <v>0</v>
      </c>
      <c r="L69" s="8">
        <v>0</v>
      </c>
      <c r="M69" s="8">
        <v>0</v>
      </c>
      <c r="N69" s="8">
        <v>0</v>
      </c>
      <c r="O69" s="8">
        <v>0</v>
      </c>
      <c r="P69" s="70">
        <f t="shared" si="22"/>
        <v>230280</v>
      </c>
    </row>
    <row r="70" spans="1:16" ht="62.4" x14ac:dyDescent="0.3">
      <c r="A70" s="93" t="s">
        <v>272</v>
      </c>
      <c r="B70" s="34" t="s">
        <v>273</v>
      </c>
      <c r="C70" s="34" t="s">
        <v>47</v>
      </c>
      <c r="D70" s="94" t="s">
        <v>274</v>
      </c>
      <c r="E70" s="45">
        <f t="shared" si="20"/>
        <v>17623</v>
      </c>
      <c r="F70" s="45">
        <v>17623</v>
      </c>
      <c r="G70" s="45"/>
      <c r="H70" s="45"/>
      <c r="I70" s="8"/>
      <c r="J70" s="8"/>
      <c r="K70" s="8"/>
      <c r="L70" s="8"/>
      <c r="M70" s="8"/>
      <c r="N70" s="8"/>
      <c r="O70" s="8"/>
      <c r="P70" s="70">
        <f t="shared" si="22"/>
        <v>17623</v>
      </c>
    </row>
    <row r="71" spans="1:16" ht="350.25" customHeight="1" x14ac:dyDescent="0.3">
      <c r="A71" s="410" t="s">
        <v>476</v>
      </c>
      <c r="B71" s="411" t="s">
        <v>477</v>
      </c>
      <c r="C71" s="411" t="s">
        <v>478</v>
      </c>
      <c r="D71" s="412" t="s">
        <v>479</v>
      </c>
      <c r="E71" s="45">
        <f t="shared" si="20"/>
        <v>0</v>
      </c>
      <c r="F71" s="45"/>
      <c r="G71" s="45"/>
      <c r="H71" s="45"/>
      <c r="I71" s="8"/>
      <c r="J71" s="8">
        <f>L71+O71</f>
        <v>3708133</v>
      </c>
      <c r="K71" s="8">
        <f>2164782+1543351</f>
        <v>3708133</v>
      </c>
      <c r="L71" s="8"/>
      <c r="M71" s="8"/>
      <c r="N71" s="8"/>
      <c r="O71" s="8">
        <f>K71</f>
        <v>3708133</v>
      </c>
      <c r="P71" s="70">
        <f t="shared" si="22"/>
        <v>3708133</v>
      </c>
    </row>
    <row r="72" spans="1:16" ht="46.8" x14ac:dyDescent="0.3">
      <c r="A72" s="712" t="s">
        <v>194</v>
      </c>
      <c r="B72" s="714" t="s">
        <v>195</v>
      </c>
      <c r="C72" s="714" t="s">
        <v>79</v>
      </c>
      <c r="D72" s="27" t="s">
        <v>196</v>
      </c>
      <c r="E72" s="45">
        <f t="shared" si="20"/>
        <v>6023586</v>
      </c>
      <c r="F72" s="45">
        <v>6023586</v>
      </c>
      <c r="G72" s="45">
        <v>5725115</v>
      </c>
      <c r="H72" s="45">
        <v>100756</v>
      </c>
      <c r="I72" s="8">
        <v>0</v>
      </c>
      <c r="J72" s="8">
        <f t="shared" si="21"/>
        <v>13000</v>
      </c>
      <c r="K72" s="8"/>
      <c r="L72" s="8">
        <v>13000</v>
      </c>
      <c r="M72" s="8">
        <v>0</v>
      </c>
      <c r="N72" s="8">
        <v>0</v>
      </c>
      <c r="O72" s="8"/>
      <c r="P72" s="70">
        <f>E72+J72</f>
        <v>6036586</v>
      </c>
    </row>
    <row r="73" spans="1:16" ht="31.8" thickBot="1" x14ac:dyDescent="0.35">
      <c r="A73" s="713" t="s">
        <v>80</v>
      </c>
      <c r="B73" s="715" t="s">
        <v>81</v>
      </c>
      <c r="C73" s="715" t="s">
        <v>79</v>
      </c>
      <c r="D73" s="44" t="s">
        <v>82</v>
      </c>
      <c r="E73" s="49">
        <f t="shared" si="20"/>
        <v>22707900</v>
      </c>
      <c r="F73" s="49">
        <f>18407900+1500000+1600000+1200000</f>
        <v>22707900</v>
      </c>
      <c r="G73" s="49">
        <v>0</v>
      </c>
      <c r="H73" s="49">
        <v>0</v>
      </c>
      <c r="I73" s="32">
        <v>0</v>
      </c>
      <c r="J73" s="32">
        <f>L73+O73</f>
        <v>0</v>
      </c>
      <c r="K73" s="32">
        <v>0</v>
      </c>
      <c r="L73" s="32">
        <v>0</v>
      </c>
      <c r="M73" s="32">
        <v>0</v>
      </c>
      <c r="N73" s="32">
        <v>0</v>
      </c>
      <c r="O73" s="32">
        <v>0</v>
      </c>
      <c r="P73" s="72">
        <f t="shared" si="22"/>
        <v>22707900</v>
      </c>
    </row>
    <row r="74" spans="1:16" ht="51.6" customHeight="1" thickBot="1" x14ac:dyDescent="0.35">
      <c r="A74" s="39" t="s">
        <v>83</v>
      </c>
      <c r="B74" s="40" t="s">
        <v>16</v>
      </c>
      <c r="C74" s="40" t="s">
        <v>16</v>
      </c>
      <c r="D74" s="41" t="s">
        <v>84</v>
      </c>
      <c r="E74" s="67">
        <f>E75</f>
        <v>1997047</v>
      </c>
      <c r="F74" s="67">
        <f>F75</f>
        <v>1997047</v>
      </c>
      <c r="G74" s="67">
        <f t="shared" ref="G74:I74" si="23">G75</f>
        <v>1919735</v>
      </c>
      <c r="H74" s="67">
        <f t="shared" si="23"/>
        <v>0</v>
      </c>
      <c r="I74" s="67">
        <f t="shared" si="23"/>
        <v>0</v>
      </c>
      <c r="J74" s="67">
        <f>J75</f>
        <v>0</v>
      </c>
      <c r="K74" s="67">
        <f>K75</f>
        <v>0</v>
      </c>
      <c r="L74" s="67">
        <f t="shared" ref="L74:O74" si="24">L75</f>
        <v>0</v>
      </c>
      <c r="M74" s="67">
        <f t="shared" si="24"/>
        <v>0</v>
      </c>
      <c r="N74" s="67">
        <f t="shared" si="24"/>
        <v>0</v>
      </c>
      <c r="O74" s="67">
        <f t="shared" si="24"/>
        <v>0</v>
      </c>
      <c r="P74" s="68">
        <f t="shared" si="22"/>
        <v>1997047</v>
      </c>
    </row>
    <row r="75" spans="1:16" ht="31.2" x14ac:dyDescent="0.3">
      <c r="A75" s="59" t="s">
        <v>85</v>
      </c>
      <c r="B75" s="60" t="s">
        <v>16</v>
      </c>
      <c r="C75" s="60" t="s">
        <v>16</v>
      </c>
      <c r="D75" s="61" t="s">
        <v>84</v>
      </c>
      <c r="E75" s="47">
        <f>E76+E77</f>
        <v>1997047</v>
      </c>
      <c r="F75" s="47">
        <f>F76+F77</f>
        <v>1997047</v>
      </c>
      <c r="G75" s="47">
        <f t="shared" ref="G75:I75" si="25">G76+G77</f>
        <v>1919735</v>
      </c>
      <c r="H75" s="47">
        <f t="shared" si="25"/>
        <v>0</v>
      </c>
      <c r="I75" s="47">
        <f t="shared" si="25"/>
        <v>0</v>
      </c>
      <c r="J75" s="47">
        <f>J76+J77</f>
        <v>0</v>
      </c>
      <c r="K75" s="47">
        <f>K76+K77</f>
        <v>0</v>
      </c>
      <c r="L75" s="47">
        <f t="shared" ref="L75:O75" si="26">L76+L77</f>
        <v>0</v>
      </c>
      <c r="M75" s="47">
        <f t="shared" si="26"/>
        <v>0</v>
      </c>
      <c r="N75" s="47">
        <f t="shared" si="26"/>
        <v>0</v>
      </c>
      <c r="O75" s="47">
        <f t="shared" si="26"/>
        <v>0</v>
      </c>
      <c r="P75" s="69">
        <f t="shared" si="22"/>
        <v>1997047</v>
      </c>
    </row>
    <row r="76" spans="1:16" ht="46.8" x14ac:dyDescent="0.3">
      <c r="A76" s="712" t="s">
        <v>197</v>
      </c>
      <c r="B76" s="714" t="s">
        <v>45</v>
      </c>
      <c r="C76" s="714" t="s">
        <v>18</v>
      </c>
      <c r="D76" s="27" t="s">
        <v>181</v>
      </c>
      <c r="E76" s="45">
        <f>F76+I76</f>
        <v>1965047</v>
      </c>
      <c r="F76" s="45">
        <f>1538613+426434</f>
        <v>1965047</v>
      </c>
      <c r="G76" s="45">
        <f>1493301+426434</f>
        <v>1919735</v>
      </c>
      <c r="H76" s="45">
        <v>0</v>
      </c>
      <c r="I76" s="8">
        <v>0</v>
      </c>
      <c r="J76" s="8">
        <f>L76+O76</f>
        <v>0</v>
      </c>
      <c r="K76" s="8">
        <v>0</v>
      </c>
      <c r="L76" s="8">
        <v>0</v>
      </c>
      <c r="M76" s="8">
        <v>0</v>
      </c>
      <c r="N76" s="8">
        <v>0</v>
      </c>
      <c r="O76" s="8">
        <v>0</v>
      </c>
      <c r="P76" s="70">
        <f t="shared" si="22"/>
        <v>1965047</v>
      </c>
    </row>
    <row r="77" spans="1:16" ht="31.8" thickBot="1" x14ac:dyDescent="0.35">
      <c r="A77" s="42" t="s">
        <v>86</v>
      </c>
      <c r="B77" s="43" t="s">
        <v>87</v>
      </c>
      <c r="C77" s="43" t="s">
        <v>68</v>
      </c>
      <c r="D77" s="38" t="s">
        <v>88</v>
      </c>
      <c r="E77" s="45">
        <f>F77+I77</f>
        <v>32000</v>
      </c>
      <c r="F77" s="46">
        <v>32000</v>
      </c>
      <c r="G77" s="46">
        <v>0</v>
      </c>
      <c r="H77" s="46">
        <v>0</v>
      </c>
      <c r="I77" s="12">
        <v>0</v>
      </c>
      <c r="J77" s="12">
        <f>L77+O77</f>
        <v>0</v>
      </c>
      <c r="K77" s="12">
        <v>0</v>
      </c>
      <c r="L77" s="12">
        <v>0</v>
      </c>
      <c r="M77" s="12">
        <v>0</v>
      </c>
      <c r="N77" s="12">
        <v>0</v>
      </c>
      <c r="O77" s="12">
        <v>0</v>
      </c>
      <c r="P77" s="71">
        <f t="shared" si="22"/>
        <v>32000</v>
      </c>
    </row>
    <row r="78" spans="1:16" s="31" customFormat="1" ht="64.5" customHeight="1" thickBot="1" x14ac:dyDescent="0.35">
      <c r="A78" s="39" t="s">
        <v>89</v>
      </c>
      <c r="B78" s="40" t="s">
        <v>16</v>
      </c>
      <c r="C78" s="40" t="s">
        <v>16</v>
      </c>
      <c r="D78" s="41" t="s">
        <v>90</v>
      </c>
      <c r="E78" s="67">
        <f>E79</f>
        <v>91456718</v>
      </c>
      <c r="F78" s="67">
        <f>F79</f>
        <v>91456718</v>
      </c>
      <c r="G78" s="67">
        <f t="shared" ref="G78:I78" si="27">G79</f>
        <v>50718252</v>
      </c>
      <c r="H78" s="67">
        <f t="shared" si="27"/>
        <v>6230466</v>
      </c>
      <c r="I78" s="67">
        <f t="shared" si="27"/>
        <v>0</v>
      </c>
      <c r="J78" s="67">
        <f>J79</f>
        <v>2869769</v>
      </c>
      <c r="K78" s="67">
        <f>K79</f>
        <v>1884997</v>
      </c>
      <c r="L78" s="67">
        <f t="shared" ref="L78:O78" si="28">L79</f>
        <v>984772</v>
      </c>
      <c r="M78" s="67">
        <f t="shared" si="28"/>
        <v>850986</v>
      </c>
      <c r="N78" s="67">
        <f t="shared" si="28"/>
        <v>0</v>
      </c>
      <c r="O78" s="67">
        <f t="shared" si="28"/>
        <v>1884997</v>
      </c>
      <c r="P78" s="68">
        <f t="shared" si="22"/>
        <v>94326487</v>
      </c>
    </row>
    <row r="79" spans="1:16" s="30" customFormat="1" ht="46.8" x14ac:dyDescent="0.3">
      <c r="A79" s="59" t="s">
        <v>91</v>
      </c>
      <c r="B79" s="60" t="s">
        <v>16</v>
      </c>
      <c r="C79" s="60" t="s">
        <v>16</v>
      </c>
      <c r="D79" s="61" t="s">
        <v>90</v>
      </c>
      <c r="E79" s="47">
        <f>E80+E81+E82+E83+E84+E85+E86+E87+E88+E89+E90+E92+E93+E94+E91</f>
        <v>91456718</v>
      </c>
      <c r="F79" s="47">
        <f>F80+F81+F82+F83+F84+F85+F86+F87+F88+F89+F90+F92+F93+F94+F91</f>
        <v>91456718</v>
      </c>
      <c r="G79" s="47">
        <f>G80+G81+G82+G83+G84+G85+G86+G87+G88+G89+G90+G92+G93+G94+G91</f>
        <v>50718252</v>
      </c>
      <c r="H79" s="47">
        <f>H80+H81+H82+H83+H84+H85+H86+H87+H88+H89+H90+H92+H93+H94</f>
        <v>6230466</v>
      </c>
      <c r="I79" s="47">
        <f t="shared" ref="I79" si="29">I80+I81+I82+I83+I84+I85+I86+I87+I88+I89+I90+I92+I93+I94</f>
        <v>0</v>
      </c>
      <c r="J79" s="47">
        <f>J80+J81+J82+J83+J84+J85+J86+J87+J88+J89+J90+J92+J93+J94</f>
        <v>2869769</v>
      </c>
      <c r="K79" s="47">
        <f t="shared" ref="K79:L79" si="30">K80+K81+K82+K83+K84+K85+K86+K87+K88+K89+K90+K92+K93+K94</f>
        <v>1884997</v>
      </c>
      <c r="L79" s="47">
        <f t="shared" si="30"/>
        <v>984772</v>
      </c>
      <c r="M79" s="47">
        <f>M80+M81+M82+M83+M84+M85+M86+M87+M88+M89+M90+M92+M93+M94</f>
        <v>850986</v>
      </c>
      <c r="N79" s="47">
        <f t="shared" ref="N79" si="31">N80+N81+N82+N83+N84+N85+N86+N87+N88+N89+N90+N92+N93+N94</f>
        <v>0</v>
      </c>
      <c r="O79" s="47">
        <f>O80+O81+O82+O83+O84+O85+O86+O87+O88+O89+O90+O92+O93+O94</f>
        <v>1884997</v>
      </c>
      <c r="P79" s="69">
        <f>P80+P81+P82+P83+P84+P85+P86+P87+P88+P89+P90+P92+P93+P94+P91</f>
        <v>94326487</v>
      </c>
    </row>
    <row r="80" spans="1:16" ht="50.25" customHeight="1" x14ac:dyDescent="0.3">
      <c r="A80" s="712" t="s">
        <v>198</v>
      </c>
      <c r="B80" s="714" t="s">
        <v>45</v>
      </c>
      <c r="C80" s="714" t="s">
        <v>18</v>
      </c>
      <c r="D80" s="27" t="s">
        <v>181</v>
      </c>
      <c r="E80" s="45">
        <f>F80+I80</f>
        <v>2735743</v>
      </c>
      <c r="F80" s="45">
        <f>2310745+424998</f>
        <v>2735743</v>
      </c>
      <c r="G80" s="45">
        <f>2259433+424998</f>
        <v>2684431</v>
      </c>
      <c r="H80" s="45">
        <v>0</v>
      </c>
      <c r="I80" s="8">
        <v>0</v>
      </c>
      <c r="J80" s="8">
        <f>L80+O80</f>
        <v>0</v>
      </c>
      <c r="K80" s="8">
        <v>0</v>
      </c>
      <c r="L80" s="8">
        <v>0</v>
      </c>
      <c r="M80" s="8">
        <v>0</v>
      </c>
      <c r="N80" s="8">
        <v>0</v>
      </c>
      <c r="O80" s="8">
        <v>0</v>
      </c>
      <c r="P80" s="70">
        <f t="shared" si="22"/>
        <v>2735743</v>
      </c>
    </row>
    <row r="81" spans="1:16" ht="31.2" x14ac:dyDescent="0.3">
      <c r="A81" s="712" t="s">
        <v>92</v>
      </c>
      <c r="B81" s="714" t="s">
        <v>93</v>
      </c>
      <c r="C81" s="714" t="s">
        <v>56</v>
      </c>
      <c r="D81" s="27" t="s">
        <v>94</v>
      </c>
      <c r="E81" s="45">
        <f>F81+I81</f>
        <v>14526837</v>
      </c>
      <c r="F81" s="45">
        <f>14795535-268698</f>
        <v>14526837</v>
      </c>
      <c r="G81" s="45">
        <f>14259107-268698</f>
        <v>13990409</v>
      </c>
      <c r="H81" s="45">
        <v>410204</v>
      </c>
      <c r="I81" s="8">
        <v>0</v>
      </c>
      <c r="J81" s="8">
        <f t="shared" ref="J81:J94" si="32">L81+O81</f>
        <v>904685</v>
      </c>
      <c r="K81" s="8">
        <f>O81</f>
        <v>53699</v>
      </c>
      <c r="L81" s="8">
        <v>850986</v>
      </c>
      <c r="M81" s="8">
        <v>850986</v>
      </c>
      <c r="N81" s="8">
        <v>0</v>
      </c>
      <c r="O81" s="8">
        <f>27000+26699</f>
        <v>53699</v>
      </c>
      <c r="P81" s="70">
        <f t="shared" si="22"/>
        <v>15431522</v>
      </c>
    </row>
    <row r="82" spans="1:16" x14ac:dyDescent="0.3">
      <c r="A82" s="712" t="s">
        <v>95</v>
      </c>
      <c r="B82" s="714" t="s">
        <v>96</v>
      </c>
      <c r="C82" s="714" t="s">
        <v>68</v>
      </c>
      <c r="D82" s="27" t="s">
        <v>97</v>
      </c>
      <c r="E82" s="45">
        <f t="shared" ref="E82:E94" si="33">F82+I82</f>
        <v>240526</v>
      </c>
      <c r="F82" s="45">
        <v>240526</v>
      </c>
      <c r="G82" s="45">
        <v>0</v>
      </c>
      <c r="H82" s="45">
        <v>0</v>
      </c>
      <c r="I82" s="8">
        <v>0</v>
      </c>
      <c r="J82" s="8">
        <f t="shared" si="32"/>
        <v>0</v>
      </c>
      <c r="K82" s="8">
        <v>0</v>
      </c>
      <c r="L82" s="8">
        <v>0</v>
      </c>
      <c r="M82" s="8">
        <v>0</v>
      </c>
      <c r="N82" s="8">
        <v>0</v>
      </c>
      <c r="O82" s="8">
        <v>0</v>
      </c>
      <c r="P82" s="70">
        <f t="shared" si="22"/>
        <v>240526</v>
      </c>
    </row>
    <row r="83" spans="1:16" ht="21.75" customHeight="1" x14ac:dyDescent="0.3">
      <c r="A83" s="712" t="s">
        <v>98</v>
      </c>
      <c r="B83" s="714" t="s">
        <v>99</v>
      </c>
      <c r="C83" s="714" t="s">
        <v>100</v>
      </c>
      <c r="D83" s="27" t="s">
        <v>101</v>
      </c>
      <c r="E83" s="45">
        <f t="shared" si="33"/>
        <v>4819279</v>
      </c>
      <c r="F83" s="45">
        <f>4760466+58813</f>
        <v>4819279</v>
      </c>
      <c r="G83" s="45">
        <v>4315718</v>
      </c>
      <c r="H83" s="45">
        <f>246246+58813</f>
        <v>305059</v>
      </c>
      <c r="I83" s="8">
        <v>0</v>
      </c>
      <c r="J83" s="8">
        <f t="shared" si="32"/>
        <v>117999</v>
      </c>
      <c r="K83" s="8">
        <f t="shared" ref="K83:K84" si="34">O83</f>
        <v>117999</v>
      </c>
      <c r="L83" s="8">
        <v>0</v>
      </c>
      <c r="M83" s="8">
        <v>0</v>
      </c>
      <c r="N83" s="8">
        <v>0</v>
      </c>
      <c r="O83" s="8">
        <f>50000+67999</f>
        <v>117999</v>
      </c>
      <c r="P83" s="70">
        <f t="shared" si="22"/>
        <v>4937278</v>
      </c>
    </row>
    <row r="84" spans="1:16" ht="19.5" customHeight="1" x14ac:dyDescent="0.3">
      <c r="A84" s="712" t="s">
        <v>102</v>
      </c>
      <c r="B84" s="714" t="s">
        <v>103</v>
      </c>
      <c r="C84" s="714" t="s">
        <v>100</v>
      </c>
      <c r="D84" s="27" t="s">
        <v>104</v>
      </c>
      <c r="E84" s="45">
        <f>F84+I84</f>
        <v>1300972</v>
      </c>
      <c r="F84" s="45">
        <f>1287949+13023</f>
        <v>1300972</v>
      </c>
      <c r="G84" s="45">
        <v>1112147</v>
      </c>
      <c r="H84" s="45">
        <f>94304+13023</f>
        <v>107327</v>
      </c>
      <c r="I84" s="8">
        <v>0</v>
      </c>
      <c r="J84" s="8">
        <f t="shared" si="32"/>
        <v>50299</v>
      </c>
      <c r="K84" s="8">
        <f t="shared" si="34"/>
        <v>50299</v>
      </c>
      <c r="L84" s="8">
        <v>0</v>
      </c>
      <c r="M84" s="8">
        <v>0</v>
      </c>
      <c r="N84" s="8">
        <v>0</v>
      </c>
      <c r="O84" s="8">
        <v>50299</v>
      </c>
      <c r="P84" s="70">
        <f t="shared" si="22"/>
        <v>1351271</v>
      </c>
    </row>
    <row r="85" spans="1:16" ht="45.75" customHeight="1" x14ac:dyDescent="0.3">
      <c r="A85" s="712" t="s">
        <v>105</v>
      </c>
      <c r="B85" s="714" t="s">
        <v>106</v>
      </c>
      <c r="C85" s="714" t="s">
        <v>107</v>
      </c>
      <c r="D85" s="27" t="s">
        <v>108</v>
      </c>
      <c r="E85" s="45">
        <f t="shared" si="33"/>
        <v>23095620</v>
      </c>
      <c r="F85" s="45">
        <f>23959997-23550-1027554+186727-367168-80776+447944-19600+19600</f>
        <v>23095620</v>
      </c>
      <c r="G85" s="45">
        <f>18713009-1027554-367168-80776</f>
        <v>17237511</v>
      </c>
      <c r="H85" s="45">
        <f>4152748-23550+69155+447944+19600</f>
        <v>4665897</v>
      </c>
      <c r="I85" s="8">
        <v>0</v>
      </c>
      <c r="J85" s="8">
        <f t="shared" si="32"/>
        <v>133786</v>
      </c>
      <c r="K85" s="8">
        <v>0</v>
      </c>
      <c r="L85" s="8">
        <v>133786</v>
      </c>
      <c r="M85" s="8">
        <v>0</v>
      </c>
      <c r="N85" s="8">
        <v>0</v>
      </c>
      <c r="O85" s="8">
        <v>0</v>
      </c>
      <c r="P85" s="70">
        <f t="shared" si="22"/>
        <v>23229406</v>
      </c>
    </row>
    <row r="86" spans="1:16" ht="31.2" x14ac:dyDescent="0.3">
      <c r="A86" s="712" t="s">
        <v>199</v>
      </c>
      <c r="B86" s="714" t="s">
        <v>200</v>
      </c>
      <c r="C86" s="714" t="s">
        <v>109</v>
      </c>
      <c r="D86" s="27" t="s">
        <v>201</v>
      </c>
      <c r="E86" s="45">
        <f t="shared" si="33"/>
        <v>1826056</v>
      </c>
      <c r="F86" s="45">
        <v>1826056</v>
      </c>
      <c r="G86" s="45">
        <v>1735698</v>
      </c>
      <c r="H86" s="45">
        <v>0</v>
      </c>
      <c r="I86" s="8">
        <v>0</v>
      </c>
      <c r="J86" s="8">
        <f t="shared" si="32"/>
        <v>23000</v>
      </c>
      <c r="K86" s="8">
        <f>O86</f>
        <v>23000</v>
      </c>
      <c r="L86" s="8">
        <v>0</v>
      </c>
      <c r="M86" s="8">
        <v>0</v>
      </c>
      <c r="N86" s="8">
        <v>0</v>
      </c>
      <c r="O86" s="8">
        <v>23000</v>
      </c>
      <c r="P86" s="70">
        <f t="shared" si="22"/>
        <v>1849056</v>
      </c>
    </row>
    <row r="87" spans="1:16" x14ac:dyDescent="0.3">
      <c r="A87" s="712" t="s">
        <v>110</v>
      </c>
      <c r="B87" s="714" t="s">
        <v>111</v>
      </c>
      <c r="C87" s="714" t="s">
        <v>109</v>
      </c>
      <c r="D87" s="27" t="s">
        <v>112</v>
      </c>
      <c r="E87" s="45">
        <f t="shared" si="33"/>
        <v>194000</v>
      </c>
      <c r="F87" s="45">
        <v>194000</v>
      </c>
      <c r="G87" s="45">
        <v>0</v>
      </c>
      <c r="H87" s="45">
        <v>0</v>
      </c>
      <c r="I87" s="8">
        <v>0</v>
      </c>
      <c r="J87" s="8">
        <f t="shared" si="32"/>
        <v>0</v>
      </c>
      <c r="K87" s="8">
        <v>0</v>
      </c>
      <c r="L87" s="8">
        <v>0</v>
      </c>
      <c r="M87" s="8">
        <v>0</v>
      </c>
      <c r="N87" s="8">
        <v>0</v>
      </c>
      <c r="O87" s="8">
        <v>0</v>
      </c>
      <c r="P87" s="70">
        <f t="shared" si="22"/>
        <v>194000</v>
      </c>
    </row>
    <row r="88" spans="1:16" ht="31.2" x14ac:dyDescent="0.3">
      <c r="A88" s="712" t="s">
        <v>113</v>
      </c>
      <c r="B88" s="714" t="s">
        <v>114</v>
      </c>
      <c r="C88" s="714" t="s">
        <v>115</v>
      </c>
      <c r="D88" s="27" t="s">
        <v>116</v>
      </c>
      <c r="E88" s="45">
        <f t="shared" si="33"/>
        <v>32750</v>
      </c>
      <c r="F88" s="45">
        <v>32750</v>
      </c>
      <c r="G88" s="45">
        <v>0</v>
      </c>
      <c r="H88" s="45">
        <v>0</v>
      </c>
      <c r="I88" s="8">
        <v>0</v>
      </c>
      <c r="J88" s="8">
        <f t="shared" si="32"/>
        <v>0</v>
      </c>
      <c r="K88" s="8">
        <v>0</v>
      </c>
      <c r="L88" s="8">
        <v>0</v>
      </c>
      <c r="M88" s="8">
        <v>0</v>
      </c>
      <c r="N88" s="8">
        <v>0</v>
      </c>
      <c r="O88" s="8">
        <v>0</v>
      </c>
      <c r="P88" s="70">
        <f t="shared" si="22"/>
        <v>32750</v>
      </c>
    </row>
    <row r="89" spans="1:16" ht="46.8" x14ac:dyDescent="0.3">
      <c r="A89" s="712" t="s">
        <v>117</v>
      </c>
      <c r="B89" s="714" t="s">
        <v>118</v>
      </c>
      <c r="C89" s="714" t="s">
        <v>115</v>
      </c>
      <c r="D89" s="27" t="s">
        <v>119</v>
      </c>
      <c r="E89" s="45">
        <f t="shared" si="33"/>
        <v>8128835</v>
      </c>
      <c r="F89" s="45">
        <f>8007751+500000+162399-469479-119304-26247+73715</f>
        <v>8128835</v>
      </c>
      <c r="G89" s="45">
        <f>6310703-469479-119304-26247</f>
        <v>5695673</v>
      </c>
      <c r="H89" s="45">
        <f>452628+73715</f>
        <v>526343</v>
      </c>
      <c r="I89" s="8">
        <v>0</v>
      </c>
      <c r="J89" s="8">
        <f t="shared" si="32"/>
        <v>0</v>
      </c>
      <c r="K89" s="8">
        <v>0</v>
      </c>
      <c r="L89" s="8">
        <v>0</v>
      </c>
      <c r="M89" s="8">
        <v>0</v>
      </c>
      <c r="N89" s="8">
        <v>0</v>
      </c>
      <c r="O89" s="8">
        <v>0</v>
      </c>
      <c r="P89" s="70">
        <f t="shared" si="22"/>
        <v>8128835</v>
      </c>
    </row>
    <row r="90" spans="1:16" ht="31.2" x14ac:dyDescent="0.3">
      <c r="A90" s="712" t="s">
        <v>202</v>
      </c>
      <c r="B90" s="714" t="s">
        <v>203</v>
      </c>
      <c r="C90" s="714" t="s">
        <v>115</v>
      </c>
      <c r="D90" s="27" t="s">
        <v>160</v>
      </c>
      <c r="E90" s="45">
        <f t="shared" si="33"/>
        <v>28448040</v>
      </c>
      <c r="F90" s="45">
        <f>25268036+3180004</f>
        <v>28448040</v>
      </c>
      <c r="G90" s="45">
        <v>0</v>
      </c>
      <c r="H90" s="45">
        <v>0</v>
      </c>
      <c r="I90" s="8">
        <v>0</v>
      </c>
      <c r="J90" s="8">
        <f>L90+O90</f>
        <v>1594000</v>
      </c>
      <c r="K90" s="8">
        <f>0+1594000</f>
        <v>1594000</v>
      </c>
      <c r="L90" s="8">
        <v>0</v>
      </c>
      <c r="M90" s="8">
        <v>0</v>
      </c>
      <c r="N90" s="8">
        <v>0</v>
      </c>
      <c r="O90" s="8">
        <v>1594000</v>
      </c>
      <c r="P90" s="70">
        <f>E90+J90</f>
        <v>30042040</v>
      </c>
    </row>
    <row r="91" spans="1:16" ht="46.8" x14ac:dyDescent="0.3">
      <c r="A91" s="712">
        <v>1015049</v>
      </c>
      <c r="B91" s="714">
        <v>5049</v>
      </c>
      <c r="C91" s="65" t="s">
        <v>115</v>
      </c>
      <c r="D91" s="27" t="s">
        <v>383</v>
      </c>
      <c r="E91" s="45">
        <f t="shared" si="33"/>
        <v>166311</v>
      </c>
      <c r="F91" s="45">
        <v>166311</v>
      </c>
      <c r="G91" s="45">
        <v>166311</v>
      </c>
      <c r="H91" s="45"/>
      <c r="I91" s="8"/>
      <c r="J91" s="8"/>
      <c r="K91" s="8"/>
      <c r="L91" s="8"/>
      <c r="M91" s="8"/>
      <c r="N91" s="8"/>
      <c r="O91" s="8"/>
      <c r="P91" s="70">
        <f t="shared" si="22"/>
        <v>166311</v>
      </c>
    </row>
    <row r="92" spans="1:16" ht="69.75" customHeight="1" x14ac:dyDescent="0.3">
      <c r="A92" s="712" t="s">
        <v>120</v>
      </c>
      <c r="B92" s="714" t="s">
        <v>121</v>
      </c>
      <c r="C92" s="714" t="s">
        <v>115</v>
      </c>
      <c r="D92" s="27" t="s">
        <v>122</v>
      </c>
      <c r="E92" s="45">
        <f t="shared" si="33"/>
        <v>5273449</v>
      </c>
      <c r="F92" s="45">
        <f>5129899+143550</f>
        <v>5273449</v>
      </c>
      <c r="G92" s="45">
        <v>3780354</v>
      </c>
      <c r="H92" s="45">
        <v>114836</v>
      </c>
      <c r="I92" s="8">
        <v>0</v>
      </c>
      <c r="J92" s="8">
        <f t="shared" si="32"/>
        <v>46000</v>
      </c>
      <c r="K92" s="8">
        <f>O92</f>
        <v>46000</v>
      </c>
      <c r="L92" s="8">
        <v>0</v>
      </c>
      <c r="M92" s="8">
        <v>0</v>
      </c>
      <c r="N92" s="8">
        <v>0</v>
      </c>
      <c r="O92" s="8">
        <f>0+46000</f>
        <v>46000</v>
      </c>
      <c r="P92" s="70">
        <f t="shared" si="22"/>
        <v>5319449</v>
      </c>
    </row>
    <row r="93" spans="1:16" ht="57" customHeight="1" x14ac:dyDescent="0.3">
      <c r="A93" s="712" t="s">
        <v>123</v>
      </c>
      <c r="B93" s="714" t="s">
        <v>124</v>
      </c>
      <c r="C93" s="714" t="s">
        <v>115</v>
      </c>
      <c r="D93" s="27" t="s">
        <v>125</v>
      </c>
      <c r="E93" s="45">
        <f t="shared" si="33"/>
        <v>566000</v>
      </c>
      <c r="F93" s="45">
        <f>558000-120000+128000</f>
        <v>566000</v>
      </c>
      <c r="G93" s="45">
        <v>0</v>
      </c>
      <c r="H93" s="45">
        <v>0</v>
      </c>
      <c r="I93" s="8">
        <v>0</v>
      </c>
      <c r="J93" s="8">
        <f t="shared" si="32"/>
        <v>0</v>
      </c>
      <c r="K93" s="8">
        <v>0</v>
      </c>
      <c r="L93" s="8">
        <v>0</v>
      </c>
      <c r="M93" s="8">
        <v>0</v>
      </c>
      <c r="N93" s="8">
        <v>0</v>
      </c>
      <c r="O93" s="8">
        <v>0</v>
      </c>
      <c r="P93" s="70">
        <f t="shared" si="22"/>
        <v>566000</v>
      </c>
    </row>
    <row r="94" spans="1:16" ht="47.4" thickBot="1" x14ac:dyDescent="0.35">
      <c r="A94" s="73">
        <v>1018110</v>
      </c>
      <c r="B94" s="74">
        <v>8110</v>
      </c>
      <c r="C94" s="75" t="s">
        <v>238</v>
      </c>
      <c r="D94" s="76" t="s">
        <v>239</v>
      </c>
      <c r="E94" s="628">
        <f t="shared" si="33"/>
        <v>102300</v>
      </c>
      <c r="F94" s="628">
        <f>102300-100800+100800</f>
        <v>102300</v>
      </c>
      <c r="G94" s="628">
        <v>0</v>
      </c>
      <c r="H94" s="628">
        <v>100800</v>
      </c>
      <c r="I94" s="629">
        <v>0</v>
      </c>
      <c r="J94" s="629">
        <f t="shared" si="32"/>
        <v>0</v>
      </c>
      <c r="K94" s="629">
        <v>0</v>
      </c>
      <c r="L94" s="629">
        <v>0</v>
      </c>
      <c r="M94" s="629">
        <v>0</v>
      </c>
      <c r="N94" s="629">
        <v>0</v>
      </c>
      <c r="O94" s="629">
        <v>0</v>
      </c>
      <c r="P94" s="630">
        <f t="shared" si="22"/>
        <v>102300</v>
      </c>
    </row>
    <row r="95" spans="1:16" s="31" customFormat="1" ht="64.2" customHeight="1" thickBot="1" x14ac:dyDescent="0.35">
      <c r="A95" s="39" t="s">
        <v>126</v>
      </c>
      <c r="B95" s="40" t="s">
        <v>16</v>
      </c>
      <c r="C95" s="40" t="s">
        <v>16</v>
      </c>
      <c r="D95" s="41" t="s">
        <v>127</v>
      </c>
      <c r="E95" s="67">
        <f>E96</f>
        <v>70090167</v>
      </c>
      <c r="F95" s="67">
        <f>F96</f>
        <v>70090167</v>
      </c>
      <c r="G95" s="67">
        <f t="shared" ref="G95:I95" si="35">G96</f>
        <v>3989655</v>
      </c>
      <c r="H95" s="67">
        <f t="shared" si="35"/>
        <v>0</v>
      </c>
      <c r="I95" s="67">
        <f t="shared" si="35"/>
        <v>0</v>
      </c>
      <c r="J95" s="10">
        <f>J96</f>
        <v>10830100</v>
      </c>
      <c r="K95" s="67">
        <f t="shared" ref="K95:O95" si="36">K96</f>
        <v>10470500</v>
      </c>
      <c r="L95" s="67">
        <f t="shared" si="36"/>
        <v>264650</v>
      </c>
      <c r="M95" s="67">
        <f t="shared" si="36"/>
        <v>0</v>
      </c>
      <c r="N95" s="67">
        <f t="shared" si="36"/>
        <v>0</v>
      </c>
      <c r="O95" s="67">
        <f t="shared" si="36"/>
        <v>10565450</v>
      </c>
      <c r="P95" s="68">
        <f>E95+J95</f>
        <v>80920267</v>
      </c>
    </row>
    <row r="96" spans="1:16" s="30" customFormat="1" ht="46.5" customHeight="1" x14ac:dyDescent="0.3">
      <c r="A96" s="59" t="s">
        <v>128</v>
      </c>
      <c r="B96" s="60" t="s">
        <v>16</v>
      </c>
      <c r="C96" s="60" t="s">
        <v>16</v>
      </c>
      <c r="D96" s="61" t="s">
        <v>127</v>
      </c>
      <c r="E96" s="47">
        <f>E97+E98+E100+E102+E103+E104+E107+E99+E105+E106</f>
        <v>70090167</v>
      </c>
      <c r="F96" s="47">
        <f>F97+F98+F100+F102+F103+F104+F107+F99+F105+F106</f>
        <v>70090167</v>
      </c>
      <c r="G96" s="47">
        <f t="shared" ref="G96:N96" si="37">G97+G98+G100+G102+G104+G107+G99</f>
        <v>3989655</v>
      </c>
      <c r="H96" s="47">
        <f t="shared" si="37"/>
        <v>0</v>
      </c>
      <c r="I96" s="47">
        <f t="shared" si="37"/>
        <v>0</v>
      </c>
      <c r="J96" s="47">
        <f>J97+J98+J100+J102+J104+J107+J99+J101</f>
        <v>10830100</v>
      </c>
      <c r="K96" s="47">
        <f>K97+K98+K100+K102+K104+K107+K99+K101</f>
        <v>10470500</v>
      </c>
      <c r="L96" s="47">
        <f t="shared" si="37"/>
        <v>264650</v>
      </c>
      <c r="M96" s="47">
        <f t="shared" si="37"/>
        <v>0</v>
      </c>
      <c r="N96" s="47">
        <f t="shared" si="37"/>
        <v>0</v>
      </c>
      <c r="O96" s="47">
        <f>O97+O98+O100+O102+O104+O107+O99+O101</f>
        <v>10565450</v>
      </c>
      <c r="P96" s="69">
        <f>P97+P98+P100+P102+P103+P104+P107+P99+P105+P101+P106</f>
        <v>80920267</v>
      </c>
    </row>
    <row r="97" spans="1:16" ht="46.8" x14ac:dyDescent="0.3">
      <c r="A97" s="712" t="s">
        <v>129</v>
      </c>
      <c r="B97" s="714" t="s">
        <v>45</v>
      </c>
      <c r="C97" s="714" t="s">
        <v>18</v>
      </c>
      <c r="D97" s="27" t="s">
        <v>181</v>
      </c>
      <c r="E97" s="45">
        <f>F97</f>
        <v>4092162</v>
      </c>
      <c r="F97" s="45">
        <f>3359091+723071+10000</f>
        <v>4092162</v>
      </c>
      <c r="G97" s="45">
        <f>3266584+723071</f>
        <v>3989655</v>
      </c>
      <c r="H97" s="45">
        <v>0</v>
      </c>
      <c r="I97" s="8">
        <v>0</v>
      </c>
      <c r="J97" s="8">
        <f>L97+O97</f>
        <v>46000</v>
      </c>
      <c r="K97" s="8">
        <f>O97</f>
        <v>46000</v>
      </c>
      <c r="L97" s="8">
        <v>0</v>
      </c>
      <c r="M97" s="8">
        <v>0</v>
      </c>
      <c r="N97" s="8">
        <v>0</v>
      </c>
      <c r="O97" s="8">
        <f>23000+23000</f>
        <v>46000</v>
      </c>
      <c r="P97" s="70">
        <f t="shared" si="22"/>
        <v>4138162</v>
      </c>
    </row>
    <row r="98" spans="1:16" x14ac:dyDescent="0.3">
      <c r="A98" s="712" t="s">
        <v>130</v>
      </c>
      <c r="B98" s="714" t="s">
        <v>131</v>
      </c>
      <c r="C98" s="714" t="s">
        <v>132</v>
      </c>
      <c r="D98" s="27" t="s">
        <v>133</v>
      </c>
      <c r="E98" s="45">
        <f t="shared" ref="E98:E107" si="38">F98</f>
        <v>8474</v>
      </c>
      <c r="F98" s="45">
        <v>8474</v>
      </c>
      <c r="G98" s="45">
        <v>0</v>
      </c>
      <c r="H98" s="45">
        <v>0</v>
      </c>
      <c r="I98" s="8">
        <v>0</v>
      </c>
      <c r="J98" s="8">
        <f t="shared" ref="J98:J104" si="39">L98+O98</f>
        <v>0</v>
      </c>
      <c r="K98" s="8">
        <v>0</v>
      </c>
      <c r="L98" s="8">
        <v>0</v>
      </c>
      <c r="M98" s="8">
        <v>0</v>
      </c>
      <c r="N98" s="8">
        <v>0</v>
      </c>
      <c r="O98" s="8">
        <v>0</v>
      </c>
      <c r="P98" s="70">
        <f t="shared" si="22"/>
        <v>8474</v>
      </c>
    </row>
    <row r="99" spans="1:16" ht="31.2" x14ac:dyDescent="0.3">
      <c r="A99" s="712">
        <v>1216012</v>
      </c>
      <c r="B99" s="714">
        <v>6012</v>
      </c>
      <c r="C99" s="65" t="s">
        <v>28</v>
      </c>
      <c r="D99" s="27" t="s">
        <v>243</v>
      </c>
      <c r="E99" s="45">
        <f t="shared" si="38"/>
        <v>5671150</v>
      </c>
      <c r="F99" s="45">
        <f>13000000-7328850</f>
        <v>5671150</v>
      </c>
      <c r="G99" s="45">
        <v>0</v>
      </c>
      <c r="H99" s="45">
        <v>0</v>
      </c>
      <c r="I99" s="8">
        <v>0</v>
      </c>
      <c r="J99" s="8">
        <f t="shared" si="39"/>
        <v>0</v>
      </c>
      <c r="K99" s="8">
        <v>0</v>
      </c>
      <c r="L99" s="8">
        <v>0</v>
      </c>
      <c r="M99" s="8">
        <v>0</v>
      </c>
      <c r="N99" s="8">
        <v>0</v>
      </c>
      <c r="O99" s="8">
        <v>0</v>
      </c>
      <c r="P99" s="70">
        <f t="shared" si="22"/>
        <v>5671150</v>
      </c>
    </row>
    <row r="100" spans="1:16" ht="31.2" x14ac:dyDescent="0.3">
      <c r="A100" s="712" t="s">
        <v>134</v>
      </c>
      <c r="B100" s="714" t="s">
        <v>135</v>
      </c>
      <c r="C100" s="714" t="s">
        <v>28</v>
      </c>
      <c r="D100" s="27" t="s">
        <v>136</v>
      </c>
      <c r="E100" s="45">
        <f t="shared" si="38"/>
        <v>1231641</v>
      </c>
      <c r="F100" s="45">
        <v>1231641</v>
      </c>
      <c r="G100" s="45">
        <v>0</v>
      </c>
      <c r="H100" s="45">
        <v>0</v>
      </c>
      <c r="I100" s="8">
        <v>0</v>
      </c>
      <c r="J100" s="8">
        <f t="shared" si="39"/>
        <v>0</v>
      </c>
      <c r="K100" s="8">
        <v>0</v>
      </c>
      <c r="L100" s="8">
        <v>0</v>
      </c>
      <c r="M100" s="8">
        <v>0</v>
      </c>
      <c r="N100" s="8">
        <v>0</v>
      </c>
      <c r="O100" s="8">
        <v>0</v>
      </c>
      <c r="P100" s="70">
        <f t="shared" si="22"/>
        <v>1231641</v>
      </c>
    </row>
    <row r="101" spans="1:16" ht="31.2" x14ac:dyDescent="0.3">
      <c r="A101" s="712">
        <v>1216014</v>
      </c>
      <c r="B101" s="714">
        <v>6014</v>
      </c>
      <c r="C101" s="714" t="s">
        <v>28</v>
      </c>
      <c r="D101" s="27" t="s">
        <v>356</v>
      </c>
      <c r="E101" s="45"/>
      <c r="F101" s="45"/>
      <c r="G101" s="45"/>
      <c r="H101" s="45"/>
      <c r="I101" s="8"/>
      <c r="J101" s="8">
        <f t="shared" si="39"/>
        <v>5400000</v>
      </c>
      <c r="K101" s="8">
        <f>O101</f>
        <v>5400000</v>
      </c>
      <c r="L101" s="8"/>
      <c r="M101" s="8"/>
      <c r="N101" s="8"/>
      <c r="O101" s="8">
        <v>5400000</v>
      </c>
      <c r="P101" s="70">
        <f t="shared" si="22"/>
        <v>5400000</v>
      </c>
    </row>
    <row r="102" spans="1:16" ht="24" customHeight="1" x14ac:dyDescent="0.3">
      <c r="A102" s="712" t="s">
        <v>137</v>
      </c>
      <c r="B102" s="714" t="s">
        <v>27</v>
      </c>
      <c r="C102" s="714" t="s">
        <v>28</v>
      </c>
      <c r="D102" s="27" t="s">
        <v>29</v>
      </c>
      <c r="E102" s="45">
        <f t="shared" si="38"/>
        <v>47548657</v>
      </c>
      <c r="F102" s="45">
        <f>35374609+45564+6418944-6418944+478735+692416+1808000+721500+127967+8364366-64500</f>
        <v>47548657</v>
      </c>
      <c r="G102" s="45">
        <v>0</v>
      </c>
      <c r="H102" s="45">
        <v>0</v>
      </c>
      <c r="I102" s="8">
        <v>0</v>
      </c>
      <c r="J102" s="8">
        <f t="shared" si="39"/>
        <v>5024500</v>
      </c>
      <c r="K102" s="8">
        <f>4960000+64500</f>
        <v>5024500</v>
      </c>
      <c r="L102" s="8">
        <v>0</v>
      </c>
      <c r="M102" s="8">
        <v>0</v>
      </c>
      <c r="N102" s="8">
        <v>0</v>
      </c>
      <c r="O102" s="8">
        <f>4960000+64500</f>
        <v>5024500</v>
      </c>
      <c r="P102" s="70">
        <f>E102+J102</f>
        <v>52573157</v>
      </c>
    </row>
    <row r="103" spans="1:16" ht="154.19999999999999" customHeight="1" x14ac:dyDescent="0.3">
      <c r="A103" s="712">
        <v>1216071</v>
      </c>
      <c r="B103" s="714">
        <v>6071</v>
      </c>
      <c r="C103" s="65" t="s">
        <v>278</v>
      </c>
      <c r="D103" s="27" t="s">
        <v>276</v>
      </c>
      <c r="E103" s="45">
        <f t="shared" si="38"/>
        <v>7164584</v>
      </c>
      <c r="F103" s="45">
        <f>7328850+956519-1120785</f>
        <v>7164584</v>
      </c>
      <c r="G103" s="45">
        <f>-H103</f>
        <v>0</v>
      </c>
      <c r="H103" s="45">
        <v>0</v>
      </c>
      <c r="I103" s="8">
        <v>0</v>
      </c>
      <c r="J103" s="8">
        <f t="shared" si="39"/>
        <v>0</v>
      </c>
      <c r="K103" s="8">
        <v>0</v>
      </c>
      <c r="L103" s="8">
        <v>0</v>
      </c>
      <c r="M103" s="8">
        <v>0</v>
      </c>
      <c r="N103" s="8">
        <v>0</v>
      </c>
      <c r="O103" s="8">
        <v>0</v>
      </c>
      <c r="P103" s="70">
        <f t="shared" si="22"/>
        <v>7164584</v>
      </c>
    </row>
    <row r="104" spans="1:16" ht="55.2" customHeight="1" x14ac:dyDescent="0.3">
      <c r="A104" s="712" t="s">
        <v>138</v>
      </c>
      <c r="B104" s="714" t="s">
        <v>139</v>
      </c>
      <c r="C104" s="714" t="s">
        <v>140</v>
      </c>
      <c r="D104" s="27" t="s">
        <v>141</v>
      </c>
      <c r="E104" s="45">
        <f t="shared" si="38"/>
        <v>2980221</v>
      </c>
      <c r="F104" s="45">
        <f>2286103+347845+379273-33000</f>
        <v>2980221</v>
      </c>
      <c r="G104" s="45">
        <v>0</v>
      </c>
      <c r="H104" s="45">
        <v>0</v>
      </c>
      <c r="I104" s="8">
        <v>0</v>
      </c>
      <c r="J104" s="8">
        <f t="shared" si="39"/>
        <v>0</v>
      </c>
      <c r="K104" s="8">
        <v>0</v>
      </c>
      <c r="L104" s="8">
        <v>0</v>
      </c>
      <c r="M104" s="8">
        <v>0</v>
      </c>
      <c r="N104" s="8">
        <v>0</v>
      </c>
      <c r="O104" s="8">
        <v>0</v>
      </c>
      <c r="P104" s="70">
        <f t="shared" si="22"/>
        <v>2980221</v>
      </c>
    </row>
    <row r="105" spans="1:16" ht="45.75" customHeight="1" x14ac:dyDescent="0.3">
      <c r="A105" s="42">
        <v>1217693</v>
      </c>
      <c r="B105" s="43">
        <v>7693</v>
      </c>
      <c r="C105" s="102" t="s">
        <v>177</v>
      </c>
      <c r="D105" s="37" t="s">
        <v>353</v>
      </c>
      <c r="E105" s="46">
        <f t="shared" si="38"/>
        <v>1309220</v>
      </c>
      <c r="F105" s="46">
        <f>1236594+38667+26774+23331+24056-98269+21083+10477+26507</f>
        <v>1309220</v>
      </c>
      <c r="G105" s="46"/>
      <c r="H105" s="46"/>
      <c r="I105" s="12"/>
      <c r="J105" s="8"/>
      <c r="K105" s="12"/>
      <c r="L105" s="12"/>
      <c r="M105" s="12"/>
      <c r="N105" s="12"/>
      <c r="O105" s="12"/>
      <c r="P105" s="70">
        <f t="shared" si="22"/>
        <v>1309220</v>
      </c>
    </row>
    <row r="106" spans="1:16" ht="45.75" customHeight="1" x14ac:dyDescent="0.3">
      <c r="A106" s="42">
        <v>1218240</v>
      </c>
      <c r="B106" s="714">
        <v>8240</v>
      </c>
      <c r="C106" s="65" t="s">
        <v>36</v>
      </c>
      <c r="D106" s="27" t="s">
        <v>543</v>
      </c>
      <c r="E106" s="46">
        <f t="shared" si="38"/>
        <v>84058</v>
      </c>
      <c r="F106" s="46">
        <f>58682+25376</f>
        <v>84058</v>
      </c>
      <c r="G106" s="46"/>
      <c r="H106" s="46"/>
      <c r="I106" s="12"/>
      <c r="J106" s="8"/>
      <c r="K106" s="12"/>
      <c r="L106" s="12"/>
      <c r="M106" s="12"/>
      <c r="N106" s="12"/>
      <c r="O106" s="12"/>
      <c r="P106" s="70">
        <f t="shared" si="22"/>
        <v>84058</v>
      </c>
    </row>
    <row r="107" spans="1:16" ht="40.950000000000003" customHeight="1" thickBot="1" x14ac:dyDescent="0.35">
      <c r="A107" s="42" t="s">
        <v>142</v>
      </c>
      <c r="B107" s="43" t="s">
        <v>143</v>
      </c>
      <c r="C107" s="43" t="s">
        <v>144</v>
      </c>
      <c r="D107" s="38" t="s">
        <v>145</v>
      </c>
      <c r="E107" s="46">
        <f t="shared" si="38"/>
        <v>0</v>
      </c>
      <c r="F107" s="46">
        <v>0</v>
      </c>
      <c r="G107" s="46">
        <v>0</v>
      </c>
      <c r="H107" s="46">
        <v>0</v>
      </c>
      <c r="I107" s="12">
        <v>0</v>
      </c>
      <c r="J107" s="8">
        <f>L107+O107</f>
        <v>359600</v>
      </c>
      <c r="K107" s="12">
        <v>0</v>
      </c>
      <c r="L107" s="12">
        <v>264650</v>
      </c>
      <c r="M107" s="12">
        <v>0</v>
      </c>
      <c r="N107" s="12">
        <v>0</v>
      </c>
      <c r="O107" s="12">
        <v>94950</v>
      </c>
      <c r="P107" s="71">
        <f t="shared" si="22"/>
        <v>359600</v>
      </c>
    </row>
    <row r="108" spans="1:16" s="31" customFormat="1" ht="49.5" customHeight="1" thickBot="1" x14ac:dyDescent="0.35">
      <c r="A108" s="39" t="s">
        <v>146</v>
      </c>
      <c r="B108" s="40" t="s">
        <v>16</v>
      </c>
      <c r="C108" s="40" t="s">
        <v>16</v>
      </c>
      <c r="D108" s="41" t="s">
        <v>147</v>
      </c>
      <c r="E108" s="67">
        <f>E109</f>
        <v>3139784</v>
      </c>
      <c r="F108" s="67">
        <f>E108</f>
        <v>3139784</v>
      </c>
      <c r="G108" s="67">
        <f>G109</f>
        <v>2934416</v>
      </c>
      <c r="H108" s="67">
        <f t="shared" ref="H108:I108" si="40">H109</f>
        <v>91053</v>
      </c>
      <c r="I108" s="67">
        <f t="shared" si="40"/>
        <v>0</v>
      </c>
      <c r="J108" s="67">
        <f>J109</f>
        <v>118308057</v>
      </c>
      <c r="K108" s="67">
        <f>K109</f>
        <v>118308057</v>
      </c>
      <c r="L108" s="67">
        <f t="shared" ref="L108:O108" si="41">L109</f>
        <v>0</v>
      </c>
      <c r="M108" s="67">
        <f t="shared" si="41"/>
        <v>0</v>
      </c>
      <c r="N108" s="67">
        <f t="shared" si="41"/>
        <v>0</v>
      </c>
      <c r="O108" s="67">
        <f t="shared" si="41"/>
        <v>118308057</v>
      </c>
      <c r="P108" s="68">
        <f>E108+J108</f>
        <v>121447841</v>
      </c>
    </row>
    <row r="109" spans="1:16" s="30" customFormat="1" ht="47.4" thickBot="1" x14ac:dyDescent="0.35">
      <c r="A109" s="716" t="s">
        <v>148</v>
      </c>
      <c r="B109" s="717" t="s">
        <v>16</v>
      </c>
      <c r="C109" s="717" t="s">
        <v>16</v>
      </c>
      <c r="D109" s="718" t="s">
        <v>147</v>
      </c>
      <c r="E109" s="721">
        <f>E110+E113+E114+E116</f>
        <v>3139784</v>
      </c>
      <c r="F109" s="721">
        <f t="shared" ref="F109:I109" si="42">F110+F113+F114+F116</f>
        <v>3139784</v>
      </c>
      <c r="G109" s="721">
        <f t="shared" si="42"/>
        <v>2934416</v>
      </c>
      <c r="H109" s="721">
        <f t="shared" si="42"/>
        <v>91053</v>
      </c>
      <c r="I109" s="721">
        <f t="shared" si="42"/>
        <v>0</v>
      </c>
      <c r="J109" s="721">
        <f>J110+J113+J114+J116+J117+J111+J119+J120+J112+J118+J121+J115+J122</f>
        <v>118308057</v>
      </c>
      <c r="K109" s="721">
        <f>K110+K113+K114+K116+K117+K111+K119+K120+K112+K118+K121+K115+K122</f>
        <v>118308057</v>
      </c>
      <c r="L109" s="721">
        <f>L110+L113+L114+L116</f>
        <v>0</v>
      </c>
      <c r="M109" s="721">
        <f>M110+M113+M114+M116</f>
        <v>0</v>
      </c>
      <c r="N109" s="721">
        <f>N110+N113+N114+N116</f>
        <v>0</v>
      </c>
      <c r="O109" s="721">
        <f>O110+O111+O113+O114+O116+O117+O119+O120+O112+O118+O121+O122+O115</f>
        <v>118308057</v>
      </c>
      <c r="P109" s="720">
        <f>E109+J109</f>
        <v>121447841</v>
      </c>
    </row>
    <row r="110" spans="1:16" ht="57.6" customHeight="1" x14ac:dyDescent="0.3">
      <c r="A110" s="21" t="s">
        <v>204</v>
      </c>
      <c r="B110" s="22" t="s">
        <v>45</v>
      </c>
      <c r="C110" s="22" t="s">
        <v>18</v>
      </c>
      <c r="D110" s="218" t="s">
        <v>181</v>
      </c>
      <c r="E110" s="48">
        <f>F110+I110</f>
        <v>3139784</v>
      </c>
      <c r="F110" s="48">
        <f>2834288+17870+287626</f>
        <v>3139784</v>
      </c>
      <c r="G110" s="48">
        <f>2646790+287626</f>
        <v>2934416</v>
      </c>
      <c r="H110" s="48">
        <v>91053</v>
      </c>
      <c r="I110" s="548">
        <v>0</v>
      </c>
      <c r="J110" s="548">
        <f>L110+O110</f>
        <v>248550</v>
      </c>
      <c r="K110" s="548">
        <f>0+198750+49800</f>
        <v>248550</v>
      </c>
      <c r="L110" s="548">
        <v>0</v>
      </c>
      <c r="M110" s="548">
        <v>0</v>
      </c>
      <c r="N110" s="548">
        <v>0</v>
      </c>
      <c r="O110" s="548">
        <f>198750+49800</f>
        <v>248550</v>
      </c>
      <c r="P110" s="568">
        <f>E110+J110</f>
        <v>3388334</v>
      </c>
    </row>
    <row r="111" spans="1:16" ht="60.6" customHeight="1" x14ac:dyDescent="0.3">
      <c r="A111" s="712">
        <v>1511021</v>
      </c>
      <c r="B111" s="714">
        <v>1021</v>
      </c>
      <c r="C111" s="65" t="s">
        <v>52</v>
      </c>
      <c r="D111" s="27" t="s">
        <v>351</v>
      </c>
      <c r="E111" s="45"/>
      <c r="F111" s="45"/>
      <c r="G111" s="45"/>
      <c r="H111" s="45"/>
      <c r="I111" s="8"/>
      <c r="J111" s="8">
        <f>L111+O111</f>
        <v>32434652</v>
      </c>
      <c r="K111" s="8">
        <f>O111</f>
        <v>32434652</v>
      </c>
      <c r="L111" s="8"/>
      <c r="M111" s="8"/>
      <c r="N111" s="8"/>
      <c r="O111" s="8">
        <f>200000+11205842+268825+4384884+874564+12345379-874564+4389729+618654+258243-896882-388420+48398</f>
        <v>32434652</v>
      </c>
      <c r="P111" s="70">
        <f t="shared" si="22"/>
        <v>32434652</v>
      </c>
    </row>
    <row r="112" spans="1:16" ht="43.2" customHeight="1" x14ac:dyDescent="0.3">
      <c r="A112" s="712">
        <v>1512010</v>
      </c>
      <c r="B112" s="714">
        <v>2010</v>
      </c>
      <c r="C112" s="65" t="s">
        <v>21</v>
      </c>
      <c r="D112" s="27" t="s">
        <v>22</v>
      </c>
      <c r="E112" s="45"/>
      <c r="F112" s="45"/>
      <c r="G112" s="45"/>
      <c r="H112" s="45"/>
      <c r="I112" s="8"/>
      <c r="J112" s="8">
        <f>L112+O112</f>
        <v>103135</v>
      </c>
      <c r="K112" s="8">
        <f t="shared" ref="K112:K116" si="43">O112</f>
        <v>103135</v>
      </c>
      <c r="L112" s="8"/>
      <c r="M112" s="8"/>
      <c r="N112" s="8"/>
      <c r="O112" s="8">
        <f>103135</f>
        <v>103135</v>
      </c>
      <c r="P112" s="70">
        <f t="shared" si="22"/>
        <v>103135</v>
      </c>
    </row>
    <row r="113" spans="1:16" ht="54.75" customHeight="1" x14ac:dyDescent="0.3">
      <c r="A113" s="86">
        <v>1514060</v>
      </c>
      <c r="B113" s="87">
        <v>4060</v>
      </c>
      <c r="C113" s="88" t="s">
        <v>107</v>
      </c>
      <c r="D113" s="33" t="s">
        <v>108</v>
      </c>
      <c r="E113" s="45">
        <f t="shared" ref="E113" si="44">F113+I113</f>
        <v>0</v>
      </c>
      <c r="F113" s="45">
        <v>0</v>
      </c>
      <c r="G113" s="45">
        <v>0</v>
      </c>
      <c r="H113" s="45">
        <v>0</v>
      </c>
      <c r="I113" s="8">
        <v>0</v>
      </c>
      <c r="J113" s="8">
        <f>L113+O113</f>
        <v>2478809</v>
      </c>
      <c r="K113" s="8">
        <f t="shared" si="43"/>
        <v>2478809</v>
      </c>
      <c r="L113" s="8">
        <v>0</v>
      </c>
      <c r="M113" s="8">
        <v>0</v>
      </c>
      <c r="N113" s="8">
        <v>0</v>
      </c>
      <c r="O113" s="8">
        <f>2295144-694188+1568308-690455</f>
        <v>2478809</v>
      </c>
      <c r="P113" s="70">
        <f t="shared" si="22"/>
        <v>2478809</v>
      </c>
    </row>
    <row r="114" spans="1:16" ht="46.95" customHeight="1" x14ac:dyDescent="0.3">
      <c r="A114" s="201">
        <v>1516012</v>
      </c>
      <c r="B114" s="89">
        <v>6012</v>
      </c>
      <c r="C114" s="90" t="s">
        <v>28</v>
      </c>
      <c r="D114" s="37" t="s">
        <v>243</v>
      </c>
      <c r="E114" s="12">
        <v>0</v>
      </c>
      <c r="F114" s="8">
        <v>0</v>
      </c>
      <c r="G114" s="8">
        <v>0</v>
      </c>
      <c r="H114" s="8">
        <v>0</v>
      </c>
      <c r="I114" s="8">
        <v>0</v>
      </c>
      <c r="J114" s="8">
        <f t="shared" ref="J114:J127" si="45">L114+O114</f>
        <v>35969517</v>
      </c>
      <c r="K114" s="8">
        <f t="shared" si="43"/>
        <v>35969517</v>
      </c>
      <c r="L114" s="8">
        <v>0</v>
      </c>
      <c r="M114" s="8">
        <v>0</v>
      </c>
      <c r="N114" s="8">
        <v>0</v>
      </c>
      <c r="O114" s="12">
        <f>1497526+752140+1748351+2894056+1183600+182148+8935634+4000000+187450+10000000+98014+2704350+1134373+651875</f>
        <v>35969517</v>
      </c>
      <c r="P114" s="70">
        <f t="shared" si="22"/>
        <v>35969517</v>
      </c>
    </row>
    <row r="115" spans="1:16" ht="39.6" customHeight="1" x14ac:dyDescent="0.3">
      <c r="A115" s="201">
        <v>1516013</v>
      </c>
      <c r="B115" s="89">
        <v>6013</v>
      </c>
      <c r="C115" s="90" t="s">
        <v>28</v>
      </c>
      <c r="D115" s="546" t="s">
        <v>136</v>
      </c>
      <c r="E115" s="549"/>
      <c r="F115" s="547"/>
      <c r="G115" s="8"/>
      <c r="H115" s="8"/>
      <c r="I115" s="8"/>
      <c r="J115" s="8">
        <f t="shared" si="45"/>
        <v>22858722</v>
      </c>
      <c r="K115" s="8">
        <f>O115</f>
        <v>22858722</v>
      </c>
      <c r="L115" s="8"/>
      <c r="M115" s="8"/>
      <c r="N115" s="8"/>
      <c r="O115" s="12">
        <f>0+60000+226222+22572500</f>
        <v>22858722</v>
      </c>
      <c r="P115" s="70">
        <f t="shared" si="22"/>
        <v>22858722</v>
      </c>
    </row>
    <row r="116" spans="1:16" ht="30" customHeight="1" x14ac:dyDescent="0.3">
      <c r="A116" s="42">
        <v>1516030</v>
      </c>
      <c r="B116" s="43" t="s">
        <v>27</v>
      </c>
      <c r="C116" s="43" t="s">
        <v>28</v>
      </c>
      <c r="D116" s="38" t="s">
        <v>29</v>
      </c>
      <c r="E116" s="548">
        <v>0</v>
      </c>
      <c r="F116" s="8">
        <v>0</v>
      </c>
      <c r="G116" s="8">
        <v>0</v>
      </c>
      <c r="H116" s="8">
        <v>0</v>
      </c>
      <c r="I116" s="8">
        <v>0</v>
      </c>
      <c r="J116" s="12">
        <f t="shared" si="45"/>
        <v>7380527</v>
      </c>
      <c r="K116" s="8">
        <f t="shared" si="43"/>
        <v>7380527</v>
      </c>
      <c r="L116" s="8">
        <v>0</v>
      </c>
      <c r="M116" s="8">
        <v>0</v>
      </c>
      <c r="N116" s="8">
        <v>0</v>
      </c>
      <c r="O116" s="12">
        <f>1011118+1104357+4003149+406558-93145+549800+153683+67587+177420</f>
        <v>7380527</v>
      </c>
      <c r="P116" s="71">
        <f>E116+J116</f>
        <v>7380527</v>
      </c>
    </row>
    <row r="117" spans="1:16" ht="35.4" customHeight="1" x14ac:dyDescent="0.3">
      <c r="A117" s="100" t="s">
        <v>284</v>
      </c>
      <c r="B117" s="43" t="s">
        <v>285</v>
      </c>
      <c r="C117" s="101" t="s">
        <v>286</v>
      </c>
      <c r="D117" s="38" t="s">
        <v>287</v>
      </c>
      <c r="E117" s="12">
        <v>0</v>
      </c>
      <c r="F117" s="12">
        <v>0</v>
      </c>
      <c r="G117" s="12">
        <v>0</v>
      </c>
      <c r="H117" s="12">
        <v>0</v>
      </c>
      <c r="I117" s="12">
        <v>0</v>
      </c>
      <c r="J117" s="12">
        <f t="shared" si="45"/>
        <v>3338727</v>
      </c>
      <c r="K117" s="8">
        <f t="shared" ref="K117:K120" si="46">O117</f>
        <v>3338727</v>
      </c>
      <c r="L117" s="12">
        <v>0</v>
      </c>
      <c r="M117" s="12">
        <v>0</v>
      </c>
      <c r="N117" s="12">
        <v>0</v>
      </c>
      <c r="O117" s="12">
        <f>2138727+49800+1550200-400000</f>
        <v>3338727</v>
      </c>
      <c r="P117" s="71">
        <f t="shared" si="22"/>
        <v>3338727</v>
      </c>
    </row>
    <row r="118" spans="1:16" ht="31.2" customHeight="1" x14ac:dyDescent="0.3">
      <c r="A118" s="100">
        <v>1517324</v>
      </c>
      <c r="B118" s="43">
        <v>7324</v>
      </c>
      <c r="C118" s="202" t="s">
        <v>286</v>
      </c>
      <c r="D118" s="38" t="s">
        <v>384</v>
      </c>
      <c r="E118" s="12"/>
      <c r="F118" s="12"/>
      <c r="G118" s="12"/>
      <c r="H118" s="12"/>
      <c r="I118" s="12"/>
      <c r="J118" s="12">
        <f t="shared" si="45"/>
        <v>1909525</v>
      </c>
      <c r="K118" s="8">
        <f t="shared" si="46"/>
        <v>1909525</v>
      </c>
      <c r="L118" s="12"/>
      <c r="M118" s="12"/>
      <c r="N118" s="12"/>
      <c r="O118" s="12">
        <f>0+1501526-183812+49950+541861</f>
        <v>1909525</v>
      </c>
      <c r="P118" s="71">
        <f t="shared" si="22"/>
        <v>1909525</v>
      </c>
    </row>
    <row r="119" spans="1:16" ht="31.2" x14ac:dyDescent="0.3">
      <c r="A119" s="712">
        <v>1517330</v>
      </c>
      <c r="B119" s="714">
        <v>7330</v>
      </c>
      <c r="C119" s="65" t="s">
        <v>286</v>
      </c>
      <c r="D119" s="33" t="s">
        <v>355</v>
      </c>
      <c r="E119" s="8"/>
      <c r="F119" s="8"/>
      <c r="G119" s="8"/>
      <c r="H119" s="8"/>
      <c r="I119" s="8"/>
      <c r="J119" s="8">
        <f t="shared" si="45"/>
        <v>1264018</v>
      </c>
      <c r="K119" s="8">
        <f t="shared" si="46"/>
        <v>1264018</v>
      </c>
      <c r="L119" s="8"/>
      <c r="M119" s="8"/>
      <c r="N119" s="8"/>
      <c r="O119" s="8">
        <f>1477980-213962</f>
        <v>1264018</v>
      </c>
      <c r="P119" s="70">
        <f t="shared" si="22"/>
        <v>1264018</v>
      </c>
    </row>
    <row r="120" spans="1:16" ht="31.2" x14ac:dyDescent="0.3">
      <c r="A120" s="42">
        <v>1517693</v>
      </c>
      <c r="B120" s="43">
        <v>7693</v>
      </c>
      <c r="C120" s="102" t="s">
        <v>177</v>
      </c>
      <c r="D120" s="37" t="s">
        <v>353</v>
      </c>
      <c r="E120" s="12"/>
      <c r="F120" s="12"/>
      <c r="G120" s="12"/>
      <c r="H120" s="12"/>
      <c r="I120" s="12"/>
      <c r="J120" s="12">
        <f t="shared" si="45"/>
        <v>0</v>
      </c>
      <c r="K120" s="12">
        <f t="shared" si="46"/>
        <v>0</v>
      </c>
      <c r="L120" s="12"/>
      <c r="M120" s="12"/>
      <c r="N120" s="12"/>
      <c r="O120" s="12">
        <f>0</f>
        <v>0</v>
      </c>
      <c r="P120" s="71">
        <f t="shared" si="22"/>
        <v>0</v>
      </c>
    </row>
    <row r="121" spans="1:16" ht="48.6" customHeight="1" x14ac:dyDescent="0.3">
      <c r="A121" s="712">
        <v>1517461</v>
      </c>
      <c r="B121" s="714">
        <v>7461</v>
      </c>
      <c r="C121" s="65" t="s">
        <v>140</v>
      </c>
      <c r="D121" s="33" t="s">
        <v>141</v>
      </c>
      <c r="E121" s="8"/>
      <c r="F121" s="8"/>
      <c r="G121" s="8"/>
      <c r="H121" s="8"/>
      <c r="I121" s="8"/>
      <c r="J121" s="8">
        <f t="shared" si="45"/>
        <v>4880223</v>
      </c>
      <c r="K121" s="8">
        <f>O121</f>
        <v>4880223</v>
      </c>
      <c r="L121" s="8"/>
      <c r="M121" s="8"/>
      <c r="N121" s="8"/>
      <c r="O121" s="8">
        <f>0+12000000+6418944-478735+1059791+148634-12000000+531097-2799508</f>
        <v>4880223</v>
      </c>
      <c r="P121" s="70">
        <f t="shared" si="22"/>
        <v>4880223</v>
      </c>
    </row>
    <row r="122" spans="1:16" ht="48.6" customHeight="1" thickBot="1" x14ac:dyDescent="0.35">
      <c r="A122" s="36">
        <v>1518110</v>
      </c>
      <c r="B122" s="9">
        <v>8110</v>
      </c>
      <c r="C122" s="200" t="s">
        <v>238</v>
      </c>
      <c r="D122" s="679" t="s">
        <v>239</v>
      </c>
      <c r="E122" s="197"/>
      <c r="F122" s="197"/>
      <c r="G122" s="197"/>
      <c r="H122" s="197"/>
      <c r="I122" s="197"/>
      <c r="J122" s="12">
        <f t="shared" si="45"/>
        <v>5441652</v>
      </c>
      <c r="K122" s="12">
        <f>O122</f>
        <v>5441652</v>
      </c>
      <c r="L122" s="197"/>
      <c r="M122" s="197"/>
      <c r="N122" s="197"/>
      <c r="O122" s="197">
        <f>2042000+3399652</f>
        <v>5441652</v>
      </c>
      <c r="P122" s="71">
        <f t="shared" si="22"/>
        <v>5441652</v>
      </c>
    </row>
    <row r="123" spans="1:16" s="31" customFormat="1" ht="51" customHeight="1" thickBot="1" x14ac:dyDescent="0.35">
      <c r="A123" s="39" t="s">
        <v>205</v>
      </c>
      <c r="B123" s="40" t="s">
        <v>16</v>
      </c>
      <c r="C123" s="40" t="s">
        <v>16</v>
      </c>
      <c r="D123" s="41" t="s">
        <v>206</v>
      </c>
      <c r="E123" s="67">
        <f>E124</f>
        <v>4060438</v>
      </c>
      <c r="F123" s="67">
        <f t="shared" ref="F123:I123" si="47">F124</f>
        <v>4060438</v>
      </c>
      <c r="G123" s="67">
        <f t="shared" si="47"/>
        <v>3641143</v>
      </c>
      <c r="H123" s="67">
        <f t="shared" si="47"/>
        <v>0</v>
      </c>
      <c r="I123" s="67">
        <f t="shared" si="47"/>
        <v>0</v>
      </c>
      <c r="J123" s="10">
        <f t="shared" si="45"/>
        <v>6968100</v>
      </c>
      <c r="K123" s="10">
        <f>K124</f>
        <v>6968100</v>
      </c>
      <c r="L123" s="10">
        <f t="shared" ref="L123:O124" si="48">L124</f>
        <v>0</v>
      </c>
      <c r="M123" s="10">
        <f t="shared" si="48"/>
        <v>0</v>
      </c>
      <c r="N123" s="10">
        <f t="shared" si="48"/>
        <v>0</v>
      </c>
      <c r="O123" s="10">
        <f t="shared" si="48"/>
        <v>6968100</v>
      </c>
      <c r="P123" s="68">
        <f>E123+J123</f>
        <v>11028538</v>
      </c>
    </row>
    <row r="124" spans="1:16" s="30" customFormat="1" ht="46.8" x14ac:dyDescent="0.3">
      <c r="A124" s="59" t="s">
        <v>207</v>
      </c>
      <c r="B124" s="60" t="s">
        <v>16</v>
      </c>
      <c r="C124" s="60" t="s">
        <v>16</v>
      </c>
      <c r="D124" s="61" t="s">
        <v>206</v>
      </c>
      <c r="E124" s="47">
        <f>E125+E126</f>
        <v>4060438</v>
      </c>
      <c r="F124" s="47">
        <f>F125+F126</f>
        <v>4060438</v>
      </c>
      <c r="G124" s="47">
        <f>G125</f>
        <v>3641143</v>
      </c>
      <c r="H124" s="47">
        <f>H125</f>
        <v>0</v>
      </c>
      <c r="I124" s="13">
        <f>I125</f>
        <v>0</v>
      </c>
      <c r="J124" s="548">
        <f>L124+O124</f>
        <v>6968100</v>
      </c>
      <c r="K124" s="13">
        <f>K125+K126+K127</f>
        <v>6968100</v>
      </c>
      <c r="L124" s="13">
        <f t="shared" si="48"/>
        <v>0</v>
      </c>
      <c r="M124" s="13">
        <f t="shared" si="48"/>
        <v>0</v>
      </c>
      <c r="N124" s="13">
        <f t="shared" si="48"/>
        <v>0</v>
      </c>
      <c r="O124" s="13">
        <f>O125+O126+O127</f>
        <v>6968100</v>
      </c>
      <c r="P124" s="69">
        <f>E124+J124</f>
        <v>11028538</v>
      </c>
    </row>
    <row r="125" spans="1:16" ht="54.6" customHeight="1" x14ac:dyDescent="0.3">
      <c r="A125" s="712" t="s">
        <v>208</v>
      </c>
      <c r="B125" s="714" t="s">
        <v>45</v>
      </c>
      <c r="C125" s="714" t="s">
        <v>18</v>
      </c>
      <c r="D125" s="27" t="s">
        <v>181</v>
      </c>
      <c r="E125" s="45">
        <f>F125+I125</f>
        <v>3915438</v>
      </c>
      <c r="F125" s="45">
        <f>3271714+542231+7069593-6968100</f>
        <v>3915438</v>
      </c>
      <c r="G125" s="45">
        <f>3098912+542231</f>
        <v>3641143</v>
      </c>
      <c r="H125" s="45">
        <v>0</v>
      </c>
      <c r="I125" s="8">
        <v>0</v>
      </c>
      <c r="J125" s="8">
        <f t="shared" si="45"/>
        <v>0</v>
      </c>
      <c r="K125" s="13">
        <f t="shared" ref="K125" si="49">K126</f>
        <v>0</v>
      </c>
      <c r="L125" s="8">
        <v>0</v>
      </c>
      <c r="M125" s="8">
        <v>0</v>
      </c>
      <c r="N125" s="8">
        <v>0</v>
      </c>
      <c r="O125" s="8">
        <v>0</v>
      </c>
      <c r="P125" s="70">
        <f t="shared" si="22"/>
        <v>3915438</v>
      </c>
    </row>
    <row r="126" spans="1:16" ht="29.25" customHeight="1" x14ac:dyDescent="0.3">
      <c r="A126" s="712">
        <v>1616014</v>
      </c>
      <c r="B126" s="714">
        <v>6014</v>
      </c>
      <c r="C126" s="65" t="s">
        <v>28</v>
      </c>
      <c r="D126" s="27" t="s">
        <v>356</v>
      </c>
      <c r="E126" s="45">
        <f>F126+I126</f>
        <v>145000</v>
      </c>
      <c r="F126" s="45">
        <f>0+145000</f>
        <v>145000</v>
      </c>
      <c r="G126" s="45">
        <v>0</v>
      </c>
      <c r="H126" s="45">
        <v>0</v>
      </c>
      <c r="I126" s="8">
        <v>0</v>
      </c>
      <c r="J126" s="8">
        <f t="shared" si="45"/>
        <v>0</v>
      </c>
      <c r="K126" s="678">
        <f>K128</f>
        <v>0</v>
      </c>
      <c r="L126" s="8">
        <v>0</v>
      </c>
      <c r="M126" s="8">
        <v>0</v>
      </c>
      <c r="N126" s="8">
        <v>0</v>
      </c>
      <c r="O126" s="8">
        <v>0</v>
      </c>
      <c r="P126" s="70">
        <f t="shared" si="22"/>
        <v>145000</v>
      </c>
    </row>
    <row r="127" spans="1:16" ht="34.5" customHeight="1" thickBot="1" x14ac:dyDescent="0.35">
      <c r="A127" s="36">
        <v>1617351</v>
      </c>
      <c r="B127" s="9">
        <v>7351</v>
      </c>
      <c r="C127" s="200" t="s">
        <v>286</v>
      </c>
      <c r="D127" s="218" t="s">
        <v>560</v>
      </c>
      <c r="E127" s="196"/>
      <c r="F127" s="196"/>
      <c r="G127" s="196"/>
      <c r="H127" s="196"/>
      <c r="I127" s="197"/>
      <c r="J127" s="8">
        <f t="shared" si="45"/>
        <v>6968100</v>
      </c>
      <c r="K127" s="677">
        <f>O127</f>
        <v>6968100</v>
      </c>
      <c r="L127" s="197"/>
      <c r="M127" s="197"/>
      <c r="N127" s="197"/>
      <c r="O127" s="197">
        <v>6968100</v>
      </c>
      <c r="P127" s="70">
        <f t="shared" si="22"/>
        <v>6968100</v>
      </c>
    </row>
    <row r="128" spans="1:16" s="31" customFormat="1" ht="59.4" customHeight="1" thickBot="1" x14ac:dyDescent="0.35">
      <c r="A128" s="39" t="s">
        <v>209</v>
      </c>
      <c r="B128" s="40" t="s">
        <v>16</v>
      </c>
      <c r="C128" s="40" t="s">
        <v>16</v>
      </c>
      <c r="D128" s="41" t="s">
        <v>210</v>
      </c>
      <c r="E128" s="67">
        <f>E129</f>
        <v>8476135</v>
      </c>
      <c r="F128" s="67">
        <f>F129</f>
        <v>8476135</v>
      </c>
      <c r="G128" s="67">
        <f>G129</f>
        <v>3733629</v>
      </c>
      <c r="H128" s="67">
        <f t="shared" ref="H128:I129" si="50">H129</f>
        <v>0</v>
      </c>
      <c r="I128" s="67">
        <f t="shared" si="50"/>
        <v>0</v>
      </c>
      <c r="J128" s="10">
        <f>J129</f>
        <v>0</v>
      </c>
      <c r="K128" s="10">
        <f>K129</f>
        <v>0</v>
      </c>
      <c r="L128" s="10">
        <f t="shared" ref="L128:O129" si="51">L129</f>
        <v>0</v>
      </c>
      <c r="M128" s="10">
        <f t="shared" si="51"/>
        <v>0</v>
      </c>
      <c r="N128" s="10">
        <f t="shared" si="51"/>
        <v>0</v>
      </c>
      <c r="O128" s="10">
        <f t="shared" si="51"/>
        <v>0</v>
      </c>
      <c r="P128" s="68">
        <f t="shared" si="22"/>
        <v>8476135</v>
      </c>
    </row>
    <row r="129" spans="1:16" s="30" customFormat="1" ht="36" customHeight="1" x14ac:dyDescent="0.3">
      <c r="A129" s="209" t="s">
        <v>211</v>
      </c>
      <c r="B129" s="210" t="s">
        <v>16</v>
      </c>
      <c r="C129" s="210" t="s">
        <v>16</v>
      </c>
      <c r="D129" s="211" t="s">
        <v>210</v>
      </c>
      <c r="E129" s="212">
        <f>E130+E131+E132</f>
        <v>8476135</v>
      </c>
      <c r="F129" s="212">
        <f>F130+F131+F132</f>
        <v>8476135</v>
      </c>
      <c r="G129" s="212">
        <f>G130+G131</f>
        <v>3733629</v>
      </c>
      <c r="H129" s="212">
        <f t="shared" si="50"/>
        <v>0</v>
      </c>
      <c r="I129" s="212">
        <f t="shared" si="50"/>
        <v>0</v>
      </c>
      <c r="J129" s="14">
        <f>J130</f>
        <v>0</v>
      </c>
      <c r="K129" s="14">
        <f>K130</f>
        <v>0</v>
      </c>
      <c r="L129" s="14">
        <f t="shared" si="51"/>
        <v>0</v>
      </c>
      <c r="M129" s="14">
        <f t="shared" si="51"/>
        <v>0</v>
      </c>
      <c r="N129" s="14">
        <f t="shared" si="51"/>
        <v>0</v>
      </c>
      <c r="O129" s="14">
        <f t="shared" si="51"/>
        <v>0</v>
      </c>
      <c r="P129" s="213">
        <f>E129+J129</f>
        <v>8476135</v>
      </c>
    </row>
    <row r="130" spans="1:16" ht="46.8" x14ac:dyDescent="0.3">
      <c r="A130" s="42" t="s">
        <v>212</v>
      </c>
      <c r="B130" s="43" t="s">
        <v>45</v>
      </c>
      <c r="C130" s="43" t="s">
        <v>18</v>
      </c>
      <c r="D130" s="38" t="s">
        <v>181</v>
      </c>
      <c r="E130" s="46">
        <f>F130+I130</f>
        <v>3855475</v>
      </c>
      <c r="F130" s="46">
        <f>3234461+580752+17266+22996-2560+2560</f>
        <v>3855475</v>
      </c>
      <c r="G130" s="46">
        <f>3155437+580752-2560</f>
        <v>3733629</v>
      </c>
      <c r="H130" s="46">
        <v>0</v>
      </c>
      <c r="I130" s="12">
        <v>0</v>
      </c>
      <c r="J130" s="12">
        <f>K130+O130</f>
        <v>0</v>
      </c>
      <c r="K130" s="12">
        <v>0</v>
      </c>
      <c r="L130" s="12">
        <v>0</v>
      </c>
      <c r="M130" s="12">
        <v>0</v>
      </c>
      <c r="N130" s="12">
        <v>0</v>
      </c>
      <c r="O130" s="12">
        <v>0</v>
      </c>
      <c r="P130" s="71">
        <f>E130+J130</f>
        <v>3855475</v>
      </c>
    </row>
    <row r="131" spans="1:16" ht="24" customHeight="1" x14ac:dyDescent="0.3">
      <c r="A131" s="712">
        <v>2717413</v>
      </c>
      <c r="B131" s="714">
        <v>7413</v>
      </c>
      <c r="C131" s="65" t="s">
        <v>246</v>
      </c>
      <c r="D131" s="27" t="s">
        <v>245</v>
      </c>
      <c r="E131" s="45">
        <f>F131+I131</f>
        <v>4440660</v>
      </c>
      <c r="F131" s="45">
        <f>5407680-967020</f>
        <v>4440660</v>
      </c>
      <c r="G131" s="45">
        <v>0</v>
      </c>
      <c r="H131" s="45"/>
      <c r="I131" s="8"/>
      <c r="J131" s="8"/>
      <c r="K131" s="8"/>
      <c r="L131" s="8"/>
      <c r="M131" s="8"/>
      <c r="N131" s="8"/>
      <c r="O131" s="8"/>
      <c r="P131" s="70">
        <f t="shared" si="22"/>
        <v>4440660</v>
      </c>
    </row>
    <row r="132" spans="1:16" ht="24" customHeight="1" thickBot="1" x14ac:dyDescent="0.35">
      <c r="A132" s="36">
        <v>2719770</v>
      </c>
      <c r="B132" s="9">
        <v>9770</v>
      </c>
      <c r="C132" s="200" t="s">
        <v>225</v>
      </c>
      <c r="D132" s="27" t="s">
        <v>482</v>
      </c>
      <c r="E132" s="45">
        <f>F132+I132</f>
        <v>180000</v>
      </c>
      <c r="F132" s="196">
        <f>0+180000</f>
        <v>180000</v>
      </c>
      <c r="G132" s="196"/>
      <c r="H132" s="196"/>
      <c r="I132" s="197"/>
      <c r="J132" s="197"/>
      <c r="K132" s="197"/>
      <c r="L132" s="197"/>
      <c r="M132" s="197"/>
      <c r="N132" s="197"/>
      <c r="O132" s="197"/>
      <c r="P132" s="70">
        <f t="shared" si="22"/>
        <v>180000</v>
      </c>
    </row>
    <row r="133" spans="1:16" s="31" customFormat="1" ht="47.4" thickBot="1" x14ac:dyDescent="0.35">
      <c r="A133" s="39" t="s">
        <v>213</v>
      </c>
      <c r="B133" s="40" t="s">
        <v>16</v>
      </c>
      <c r="C133" s="40" t="s">
        <v>16</v>
      </c>
      <c r="D133" s="41" t="s">
        <v>214</v>
      </c>
      <c r="E133" s="67">
        <f>E134</f>
        <v>4718610</v>
      </c>
      <c r="F133" s="67">
        <f>F134</f>
        <v>4718610</v>
      </c>
      <c r="G133" s="67">
        <f t="shared" ref="G133:I133" si="52">G134</f>
        <v>2833890</v>
      </c>
      <c r="H133" s="67">
        <f t="shared" si="52"/>
        <v>0</v>
      </c>
      <c r="I133" s="67">
        <f t="shared" si="52"/>
        <v>0</v>
      </c>
      <c r="J133" s="10">
        <f>J134</f>
        <v>46000</v>
      </c>
      <c r="K133" s="67">
        <f>K134</f>
        <v>46000</v>
      </c>
      <c r="L133" s="67">
        <f t="shared" ref="L133:O133" si="53">L134</f>
        <v>0</v>
      </c>
      <c r="M133" s="67">
        <f t="shared" si="53"/>
        <v>0</v>
      </c>
      <c r="N133" s="67">
        <f t="shared" si="53"/>
        <v>0</v>
      </c>
      <c r="O133" s="67">
        <f t="shared" si="53"/>
        <v>46000</v>
      </c>
      <c r="P133" s="68">
        <f t="shared" si="22"/>
        <v>4764610</v>
      </c>
    </row>
    <row r="134" spans="1:16" s="30" customFormat="1" ht="46.8" x14ac:dyDescent="0.3">
      <c r="A134" s="59" t="s">
        <v>215</v>
      </c>
      <c r="B134" s="60" t="s">
        <v>16</v>
      </c>
      <c r="C134" s="60" t="s">
        <v>16</v>
      </c>
      <c r="D134" s="61" t="s">
        <v>214</v>
      </c>
      <c r="E134" s="47">
        <f>E135+E136+E137+E138</f>
        <v>4718610</v>
      </c>
      <c r="F134" s="47">
        <f>F135+F136+F137+F138</f>
        <v>4718610</v>
      </c>
      <c r="G134" s="47">
        <f>G135</f>
        <v>2833890</v>
      </c>
      <c r="H134" s="47">
        <f t="shared" ref="H134:N134" si="54">H135+H141</f>
        <v>0</v>
      </c>
      <c r="I134" s="47">
        <f t="shared" si="54"/>
        <v>0</v>
      </c>
      <c r="J134" s="13">
        <f>J135+J136+J137+J138</f>
        <v>46000</v>
      </c>
      <c r="K134" s="13">
        <f>K135+K136+K137+K138</f>
        <v>46000</v>
      </c>
      <c r="L134" s="47">
        <f t="shared" si="54"/>
        <v>0</v>
      </c>
      <c r="M134" s="47">
        <f t="shared" si="54"/>
        <v>0</v>
      </c>
      <c r="N134" s="47">
        <f t="shared" si="54"/>
        <v>0</v>
      </c>
      <c r="O134" s="47">
        <f>O135+O136+O137+O138</f>
        <v>46000</v>
      </c>
      <c r="P134" s="69">
        <f>P135+P136+P137+P138</f>
        <v>4764610</v>
      </c>
    </row>
    <row r="135" spans="1:16" ht="46.8" x14ac:dyDescent="0.3">
      <c r="A135" s="712" t="s">
        <v>216</v>
      </c>
      <c r="B135" s="714" t="s">
        <v>45</v>
      </c>
      <c r="C135" s="714" t="s">
        <v>18</v>
      </c>
      <c r="D135" s="27" t="s">
        <v>181</v>
      </c>
      <c r="E135" s="45">
        <f>F135+I135</f>
        <v>2920245</v>
      </c>
      <c r="F135" s="45">
        <f>2393892+504953+21400</f>
        <v>2920245</v>
      </c>
      <c r="G135" s="45">
        <f>2328937+504953</f>
        <v>2833890</v>
      </c>
      <c r="H135" s="45">
        <v>0</v>
      </c>
      <c r="I135" s="8">
        <v>0</v>
      </c>
      <c r="J135" s="8">
        <f>L135+O135</f>
        <v>46000</v>
      </c>
      <c r="K135" s="8">
        <f>O135</f>
        <v>46000</v>
      </c>
      <c r="L135" s="8">
        <v>0</v>
      </c>
      <c r="M135" s="8">
        <v>0</v>
      </c>
      <c r="N135" s="8">
        <v>0</v>
      </c>
      <c r="O135" s="8">
        <f>23000+23000</f>
        <v>46000</v>
      </c>
      <c r="P135" s="70">
        <f t="shared" si="22"/>
        <v>2966245</v>
      </c>
    </row>
    <row r="136" spans="1:16" ht="31.2" x14ac:dyDescent="0.3">
      <c r="A136" s="712">
        <v>3117693</v>
      </c>
      <c r="B136" s="714">
        <v>7693</v>
      </c>
      <c r="C136" s="65" t="s">
        <v>177</v>
      </c>
      <c r="D136" s="27" t="s">
        <v>353</v>
      </c>
      <c r="E136" s="45">
        <f t="shared" ref="E136:E138" si="55">F136+I136</f>
        <v>160062</v>
      </c>
      <c r="F136" s="45">
        <f>0+6562+153500</f>
        <v>160062</v>
      </c>
      <c r="G136" s="45"/>
      <c r="H136" s="45"/>
      <c r="I136" s="8"/>
      <c r="J136" s="8">
        <f t="shared" ref="J136:J138" si="56">L136+O136</f>
        <v>0</v>
      </c>
      <c r="K136" s="8"/>
      <c r="L136" s="8">
        <v>0</v>
      </c>
      <c r="M136" s="8"/>
      <c r="N136" s="8"/>
      <c r="O136" s="8"/>
      <c r="P136" s="70">
        <f t="shared" si="22"/>
        <v>160062</v>
      </c>
    </row>
    <row r="137" spans="1:16" ht="54.75" customHeight="1" x14ac:dyDescent="0.3">
      <c r="A137" s="712">
        <v>3118110</v>
      </c>
      <c r="B137" s="714">
        <v>8110</v>
      </c>
      <c r="C137" s="65" t="s">
        <v>238</v>
      </c>
      <c r="D137" s="27" t="s">
        <v>239</v>
      </c>
      <c r="E137" s="45">
        <f t="shared" si="55"/>
        <v>1338303</v>
      </c>
      <c r="F137" s="45">
        <f>0+73320+1264983</f>
        <v>1338303</v>
      </c>
      <c r="G137" s="45"/>
      <c r="H137" s="45"/>
      <c r="I137" s="8"/>
      <c r="J137" s="8">
        <f t="shared" si="56"/>
        <v>0</v>
      </c>
      <c r="K137" s="8"/>
      <c r="L137" s="8">
        <v>0</v>
      </c>
      <c r="M137" s="8"/>
      <c r="N137" s="8"/>
      <c r="O137" s="8"/>
      <c r="P137" s="70">
        <f t="shared" si="22"/>
        <v>1338303</v>
      </c>
    </row>
    <row r="138" spans="1:16" ht="46.2" customHeight="1" thickBot="1" x14ac:dyDescent="0.35">
      <c r="A138" s="36">
        <v>3118311</v>
      </c>
      <c r="B138" s="9">
        <v>8311</v>
      </c>
      <c r="C138" s="200" t="s">
        <v>484</v>
      </c>
      <c r="D138" s="218" t="s">
        <v>483</v>
      </c>
      <c r="E138" s="45">
        <f t="shared" si="55"/>
        <v>300000</v>
      </c>
      <c r="F138" s="196">
        <f>0+300000</f>
        <v>300000</v>
      </c>
      <c r="G138" s="196"/>
      <c r="H138" s="196"/>
      <c r="I138" s="197"/>
      <c r="J138" s="8">
        <f t="shared" si="56"/>
        <v>0</v>
      </c>
      <c r="K138" s="197">
        <f>O138</f>
        <v>0</v>
      </c>
      <c r="L138" s="197"/>
      <c r="M138" s="197"/>
      <c r="N138" s="197"/>
      <c r="O138" s="197">
        <f>300000-300000</f>
        <v>0</v>
      </c>
      <c r="P138" s="70">
        <f t="shared" si="22"/>
        <v>300000</v>
      </c>
    </row>
    <row r="139" spans="1:16" s="31" customFormat="1" ht="42" customHeight="1" thickBot="1" x14ac:dyDescent="0.35">
      <c r="A139" s="39" t="s">
        <v>217</v>
      </c>
      <c r="B139" s="40" t="s">
        <v>16</v>
      </c>
      <c r="C139" s="40" t="s">
        <v>16</v>
      </c>
      <c r="D139" s="41" t="s">
        <v>218</v>
      </c>
      <c r="E139" s="67">
        <f>E140</f>
        <v>9846511</v>
      </c>
      <c r="F139" s="67">
        <f>F140</f>
        <v>9846511</v>
      </c>
      <c r="G139" s="67">
        <f t="shared" ref="G139:I139" si="57">G140</f>
        <v>5441736</v>
      </c>
      <c r="H139" s="67">
        <f t="shared" si="57"/>
        <v>0</v>
      </c>
      <c r="I139" s="67">
        <f t="shared" si="57"/>
        <v>0</v>
      </c>
      <c r="J139" s="10">
        <f>J140</f>
        <v>48200</v>
      </c>
      <c r="K139" s="10">
        <f>K140</f>
        <v>48200</v>
      </c>
      <c r="L139" s="10"/>
      <c r="M139" s="10"/>
      <c r="N139" s="10"/>
      <c r="O139" s="10">
        <f>O140</f>
        <v>48200</v>
      </c>
      <c r="P139" s="68">
        <f>E139+J139</f>
        <v>9894711</v>
      </c>
    </row>
    <row r="140" spans="1:16" s="30" customFormat="1" ht="43.2" customHeight="1" x14ac:dyDescent="0.3">
      <c r="A140" s="59" t="s">
        <v>219</v>
      </c>
      <c r="B140" s="60" t="s">
        <v>16</v>
      </c>
      <c r="C140" s="60" t="s">
        <v>16</v>
      </c>
      <c r="D140" s="61" t="s">
        <v>218</v>
      </c>
      <c r="E140" s="47">
        <f>E141+E142</f>
        <v>9846511</v>
      </c>
      <c r="F140" s="47">
        <f>F141+F142</f>
        <v>9846511</v>
      </c>
      <c r="G140" s="47">
        <f>G141+G142</f>
        <v>5441736</v>
      </c>
      <c r="H140" s="47">
        <f>H141+H142</f>
        <v>0</v>
      </c>
      <c r="I140" s="47">
        <f t="shared" ref="I140:O140" si="58">I141+I142</f>
        <v>0</v>
      </c>
      <c r="J140" s="47">
        <f t="shared" si="58"/>
        <v>48200</v>
      </c>
      <c r="K140" s="47">
        <f t="shared" si="58"/>
        <v>48200</v>
      </c>
      <c r="L140" s="47">
        <f t="shared" si="58"/>
        <v>0</v>
      </c>
      <c r="M140" s="47">
        <f t="shared" si="58"/>
        <v>0</v>
      </c>
      <c r="N140" s="47">
        <f t="shared" si="58"/>
        <v>0</v>
      </c>
      <c r="O140" s="47">
        <f t="shared" si="58"/>
        <v>48200</v>
      </c>
      <c r="P140" s="69">
        <f>E140+J140</f>
        <v>9894711</v>
      </c>
    </row>
    <row r="141" spans="1:16" ht="46.8" x14ac:dyDescent="0.3">
      <c r="A141" s="712" t="s">
        <v>220</v>
      </c>
      <c r="B141" s="714" t="s">
        <v>45</v>
      </c>
      <c r="C141" s="714" t="s">
        <v>18</v>
      </c>
      <c r="D141" s="27" t="s">
        <v>181</v>
      </c>
      <c r="E141" s="45">
        <f>F141+I141</f>
        <v>5646511</v>
      </c>
      <c r="F141" s="45">
        <f>4757372+848939+40200</f>
        <v>5646511</v>
      </c>
      <c r="G141" s="45">
        <f>4592797+848939</f>
        <v>5441736</v>
      </c>
      <c r="H141" s="45">
        <v>0</v>
      </c>
      <c r="I141" s="8">
        <v>0</v>
      </c>
      <c r="J141" s="12">
        <f>L141+O141</f>
        <v>48200</v>
      </c>
      <c r="K141" s="8">
        <f>O141</f>
        <v>48200</v>
      </c>
      <c r="L141" s="8">
        <v>0</v>
      </c>
      <c r="M141" s="8">
        <v>0</v>
      </c>
      <c r="N141" s="8">
        <v>0</v>
      </c>
      <c r="O141" s="8">
        <f>0+48200</f>
        <v>48200</v>
      </c>
      <c r="P141" s="70">
        <f t="shared" si="22"/>
        <v>5694711</v>
      </c>
    </row>
    <row r="142" spans="1:16" ht="25.95" customHeight="1" thickBot="1" x14ac:dyDescent="0.35">
      <c r="A142" s="712" t="s">
        <v>221</v>
      </c>
      <c r="B142" s="714" t="s">
        <v>222</v>
      </c>
      <c r="C142" s="714" t="s">
        <v>223</v>
      </c>
      <c r="D142" s="27" t="s">
        <v>224</v>
      </c>
      <c r="E142" s="45">
        <f>F142</f>
        <v>4200000</v>
      </c>
      <c r="F142" s="77">
        <v>4200000</v>
      </c>
      <c r="G142" s="45">
        <v>0</v>
      </c>
      <c r="H142" s="45">
        <v>0</v>
      </c>
      <c r="I142" s="45">
        <v>0</v>
      </c>
      <c r="J142" s="12">
        <f t="shared" ref="J142" si="59">K142+O142</f>
        <v>0</v>
      </c>
      <c r="K142" s="8">
        <v>0</v>
      </c>
      <c r="L142" s="8">
        <v>0</v>
      </c>
      <c r="M142" s="8">
        <v>0</v>
      </c>
      <c r="N142" s="8">
        <v>0</v>
      </c>
      <c r="O142" s="8">
        <v>0</v>
      </c>
      <c r="P142" s="70">
        <f t="shared" si="22"/>
        <v>4200000</v>
      </c>
    </row>
    <row r="143" spans="1:16" ht="16.2" thickBot="1" x14ac:dyDescent="0.35">
      <c r="A143" s="39" t="s">
        <v>6</v>
      </c>
      <c r="B143" s="40" t="s">
        <v>6</v>
      </c>
      <c r="C143" s="40" t="s">
        <v>6</v>
      </c>
      <c r="D143" s="78" t="s">
        <v>149</v>
      </c>
      <c r="E143" s="67">
        <f t="shared" ref="E143:N143" si="60">E23+E40+E61+E74+E78+E95+E108+E123+E128+E133+E139</f>
        <v>605237467</v>
      </c>
      <c r="F143" s="67">
        <f>F23+F40+F61+F74+F78+F95+F108+F123+F128+F133+F139</f>
        <v>605237467</v>
      </c>
      <c r="G143" s="67">
        <f>G23+G40+G61+G74+G78+G95+G108+G123+G128+G133+G139</f>
        <v>296151715</v>
      </c>
      <c r="H143" s="67">
        <f t="shared" si="60"/>
        <v>36007239</v>
      </c>
      <c r="I143" s="67">
        <f t="shared" si="60"/>
        <v>0</v>
      </c>
      <c r="J143" s="67">
        <f t="shared" si="60"/>
        <v>217729847</v>
      </c>
      <c r="K143" s="67">
        <f>K23+K40+K61+K74+K78+K95+K108+K123+K128+K133+K139</f>
        <v>202287367</v>
      </c>
      <c r="L143" s="67">
        <f t="shared" si="60"/>
        <v>14211200</v>
      </c>
      <c r="M143" s="67">
        <f>M23+M40+M61+M74+M78+M95+M108+M123+M128+M133+M139</f>
        <v>2034353</v>
      </c>
      <c r="N143" s="67">
        <f t="shared" si="60"/>
        <v>55353</v>
      </c>
      <c r="O143" s="67">
        <f>O23+O40+O61+O74+O78+O95+O108+O123+O128+O133+O139</f>
        <v>203518647</v>
      </c>
      <c r="P143" s="68">
        <f>E143+J143</f>
        <v>822967314</v>
      </c>
    </row>
    <row r="144" spans="1:16" ht="9" customHeight="1" x14ac:dyDescent="0.3">
      <c r="A144" s="15"/>
      <c r="B144" s="15"/>
      <c r="C144" s="15"/>
      <c r="D144" s="16"/>
      <c r="E144" s="79"/>
      <c r="F144" s="79"/>
      <c r="G144" s="79"/>
      <c r="H144" s="79"/>
      <c r="I144" s="79"/>
      <c r="J144" s="79"/>
      <c r="K144" s="79"/>
      <c r="L144" s="79"/>
      <c r="M144" s="79"/>
      <c r="N144" s="79"/>
      <c r="O144" s="79"/>
      <c r="P144" s="79"/>
    </row>
    <row r="145" spans="1:19" ht="16.95" customHeight="1" x14ac:dyDescent="0.3"/>
    <row r="146" spans="1:19" s="26" customFormat="1" ht="17.25" customHeight="1" x14ac:dyDescent="0.3">
      <c r="A146" s="837" t="s">
        <v>559</v>
      </c>
      <c r="B146" s="837"/>
      <c r="C146" s="837"/>
      <c r="D146" s="837"/>
      <c r="E146" s="80"/>
      <c r="F146" s="80"/>
      <c r="G146" s="80"/>
      <c r="H146" s="80"/>
      <c r="I146" s="80"/>
      <c r="J146" s="80" t="s">
        <v>365</v>
      </c>
      <c r="K146" s="80"/>
      <c r="L146" s="81"/>
      <c r="M146" s="80"/>
      <c r="N146" s="80"/>
      <c r="O146" s="82"/>
      <c r="P146" s="83"/>
      <c r="S146" s="206"/>
    </row>
    <row r="147" spans="1:19" ht="16.95" customHeight="1" x14ac:dyDescent="0.3">
      <c r="E147" s="84"/>
      <c r="J147" s="84"/>
    </row>
    <row r="148" spans="1:19" x14ac:dyDescent="0.3">
      <c r="G148" s="85"/>
    </row>
    <row r="149" spans="1:19" x14ac:dyDescent="0.3">
      <c r="G149" s="85"/>
      <c r="K149" s="92"/>
    </row>
    <row r="153" spans="1:19" x14ac:dyDescent="0.3">
      <c r="G153" s="85"/>
    </row>
  </sheetData>
  <mergeCells count="31">
    <mergeCell ref="N12:O12"/>
    <mergeCell ref="I19:I21"/>
    <mergeCell ref="J19:J21"/>
    <mergeCell ref="K19:K21"/>
    <mergeCell ref="N7:P7"/>
    <mergeCell ref="N8:P8"/>
    <mergeCell ref="N9:P9"/>
    <mergeCell ref="N10:P10"/>
    <mergeCell ref="N13:P13"/>
    <mergeCell ref="L19:L21"/>
    <mergeCell ref="M19:N19"/>
    <mergeCell ref="O19:O21"/>
    <mergeCell ref="M20:M21"/>
    <mergeCell ref="N20:N21"/>
    <mergeCell ref="N11:O11"/>
    <mergeCell ref="N5:O5"/>
    <mergeCell ref="A146:D146"/>
    <mergeCell ref="A14:P14"/>
    <mergeCell ref="A15:P15"/>
    <mergeCell ref="A18:A21"/>
    <mergeCell ref="B18:B21"/>
    <mergeCell ref="C18:C21"/>
    <mergeCell ref="D18:D21"/>
    <mergeCell ref="E18:I18"/>
    <mergeCell ref="J18:O18"/>
    <mergeCell ref="P18:P21"/>
    <mergeCell ref="G20:G21"/>
    <mergeCell ref="H20:H21"/>
    <mergeCell ref="E19:E21"/>
    <mergeCell ref="F19:F21"/>
    <mergeCell ref="G19:H19"/>
  </mergeCells>
  <pageMargins left="1.1811023622047245" right="0.39370078740157483" top="0.78740157480314965" bottom="0.78740157480314965" header="0.31496062992125984" footer="0.31496062992125984"/>
  <pageSetup paperSize="9" scale="5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82"/>
  <sheetViews>
    <sheetView view="pageBreakPreview" zoomScale="90" zoomScaleNormal="100" zoomScaleSheetLayoutView="90" workbookViewId="0">
      <selection activeCell="B22" sqref="B22:C22"/>
    </sheetView>
  </sheetViews>
  <sheetFormatPr defaultRowHeight="13.8" x14ac:dyDescent="0.3"/>
  <cols>
    <col min="1" max="1" width="21.109375" customWidth="1"/>
    <col min="2" max="2" width="20.6640625" customWidth="1"/>
    <col min="3" max="3" width="65.44140625" customWidth="1"/>
    <col min="4" max="4" width="38" customWidth="1"/>
    <col min="257" max="257" width="21.109375" customWidth="1"/>
    <col min="258" max="258" width="20.6640625" customWidth="1"/>
    <col min="259" max="259" width="81.6640625" customWidth="1"/>
    <col min="260" max="260" width="25" customWidth="1"/>
    <col min="513" max="513" width="21.109375" customWidth="1"/>
    <col min="514" max="514" width="20.6640625" customWidth="1"/>
    <col min="515" max="515" width="81.6640625" customWidth="1"/>
    <col min="516" max="516" width="25" customWidth="1"/>
    <col min="769" max="769" width="21.109375" customWidth="1"/>
    <col min="770" max="770" width="20.6640625" customWidth="1"/>
    <col min="771" max="771" width="81.6640625" customWidth="1"/>
    <col min="772" max="772" width="25" customWidth="1"/>
    <col min="1025" max="1025" width="21.109375" customWidth="1"/>
    <col min="1026" max="1026" width="20.6640625" customWidth="1"/>
    <col min="1027" max="1027" width="81.6640625" customWidth="1"/>
    <col min="1028" max="1028" width="25" customWidth="1"/>
    <col min="1281" max="1281" width="21.109375" customWidth="1"/>
    <col min="1282" max="1282" width="20.6640625" customWidth="1"/>
    <col min="1283" max="1283" width="81.6640625" customWidth="1"/>
    <col min="1284" max="1284" width="25" customWidth="1"/>
    <col min="1537" max="1537" width="21.109375" customWidth="1"/>
    <col min="1538" max="1538" width="20.6640625" customWidth="1"/>
    <col min="1539" max="1539" width="81.6640625" customWidth="1"/>
    <col min="1540" max="1540" width="25" customWidth="1"/>
    <col min="1793" max="1793" width="21.109375" customWidth="1"/>
    <col min="1794" max="1794" width="20.6640625" customWidth="1"/>
    <col min="1795" max="1795" width="81.6640625" customWidth="1"/>
    <col min="1796" max="1796" width="25" customWidth="1"/>
    <col min="2049" max="2049" width="21.109375" customWidth="1"/>
    <col min="2050" max="2050" width="20.6640625" customWidth="1"/>
    <col min="2051" max="2051" width="81.6640625" customWidth="1"/>
    <col min="2052" max="2052" width="25" customWidth="1"/>
    <col min="2305" max="2305" width="21.109375" customWidth="1"/>
    <col min="2306" max="2306" width="20.6640625" customWidth="1"/>
    <col min="2307" max="2307" width="81.6640625" customWidth="1"/>
    <col min="2308" max="2308" width="25" customWidth="1"/>
    <col min="2561" max="2561" width="21.109375" customWidth="1"/>
    <col min="2562" max="2562" width="20.6640625" customWidth="1"/>
    <col min="2563" max="2563" width="81.6640625" customWidth="1"/>
    <col min="2564" max="2564" width="25" customWidth="1"/>
    <col min="2817" max="2817" width="21.109375" customWidth="1"/>
    <col min="2818" max="2818" width="20.6640625" customWidth="1"/>
    <col min="2819" max="2819" width="81.6640625" customWidth="1"/>
    <col min="2820" max="2820" width="25" customWidth="1"/>
    <col min="3073" max="3073" width="21.109375" customWidth="1"/>
    <col min="3074" max="3074" width="20.6640625" customWidth="1"/>
    <col min="3075" max="3075" width="81.6640625" customWidth="1"/>
    <col min="3076" max="3076" width="25" customWidth="1"/>
    <col min="3329" max="3329" width="21.109375" customWidth="1"/>
    <col min="3330" max="3330" width="20.6640625" customWidth="1"/>
    <col min="3331" max="3331" width="81.6640625" customWidth="1"/>
    <col min="3332" max="3332" width="25" customWidth="1"/>
    <col min="3585" max="3585" width="21.109375" customWidth="1"/>
    <col min="3586" max="3586" width="20.6640625" customWidth="1"/>
    <col min="3587" max="3587" width="81.6640625" customWidth="1"/>
    <col min="3588" max="3588" width="25" customWidth="1"/>
    <col min="3841" max="3841" width="21.109375" customWidth="1"/>
    <col min="3842" max="3842" width="20.6640625" customWidth="1"/>
    <col min="3843" max="3843" width="81.6640625" customWidth="1"/>
    <col min="3844" max="3844" width="25" customWidth="1"/>
    <col min="4097" max="4097" width="21.109375" customWidth="1"/>
    <col min="4098" max="4098" width="20.6640625" customWidth="1"/>
    <col min="4099" max="4099" width="81.6640625" customWidth="1"/>
    <col min="4100" max="4100" width="25" customWidth="1"/>
    <col min="4353" max="4353" width="21.109375" customWidth="1"/>
    <col min="4354" max="4354" width="20.6640625" customWidth="1"/>
    <col min="4355" max="4355" width="81.6640625" customWidth="1"/>
    <col min="4356" max="4356" width="25" customWidth="1"/>
    <col min="4609" max="4609" width="21.109375" customWidth="1"/>
    <col min="4610" max="4610" width="20.6640625" customWidth="1"/>
    <col min="4611" max="4611" width="81.6640625" customWidth="1"/>
    <col min="4612" max="4612" width="25" customWidth="1"/>
    <col min="4865" max="4865" width="21.109375" customWidth="1"/>
    <col min="4866" max="4866" width="20.6640625" customWidth="1"/>
    <col min="4867" max="4867" width="81.6640625" customWidth="1"/>
    <col min="4868" max="4868" width="25" customWidth="1"/>
    <col min="5121" max="5121" width="21.109375" customWidth="1"/>
    <col min="5122" max="5122" width="20.6640625" customWidth="1"/>
    <col min="5123" max="5123" width="81.6640625" customWidth="1"/>
    <col min="5124" max="5124" width="25" customWidth="1"/>
    <col min="5377" max="5377" width="21.109375" customWidth="1"/>
    <col min="5378" max="5378" width="20.6640625" customWidth="1"/>
    <col min="5379" max="5379" width="81.6640625" customWidth="1"/>
    <col min="5380" max="5380" width="25" customWidth="1"/>
    <col min="5633" max="5633" width="21.109375" customWidth="1"/>
    <col min="5634" max="5634" width="20.6640625" customWidth="1"/>
    <col min="5635" max="5635" width="81.6640625" customWidth="1"/>
    <col min="5636" max="5636" width="25" customWidth="1"/>
    <col min="5889" max="5889" width="21.109375" customWidth="1"/>
    <col min="5890" max="5890" width="20.6640625" customWidth="1"/>
    <col min="5891" max="5891" width="81.6640625" customWidth="1"/>
    <col min="5892" max="5892" width="25" customWidth="1"/>
    <col min="6145" max="6145" width="21.109375" customWidth="1"/>
    <col min="6146" max="6146" width="20.6640625" customWidth="1"/>
    <col min="6147" max="6147" width="81.6640625" customWidth="1"/>
    <col min="6148" max="6148" width="25" customWidth="1"/>
    <col min="6401" max="6401" width="21.109375" customWidth="1"/>
    <col min="6402" max="6402" width="20.6640625" customWidth="1"/>
    <col min="6403" max="6403" width="81.6640625" customWidth="1"/>
    <col min="6404" max="6404" width="25" customWidth="1"/>
    <col min="6657" max="6657" width="21.109375" customWidth="1"/>
    <col min="6658" max="6658" width="20.6640625" customWidth="1"/>
    <col min="6659" max="6659" width="81.6640625" customWidth="1"/>
    <col min="6660" max="6660" width="25" customWidth="1"/>
    <col min="6913" max="6913" width="21.109375" customWidth="1"/>
    <col min="6914" max="6914" width="20.6640625" customWidth="1"/>
    <col min="6915" max="6915" width="81.6640625" customWidth="1"/>
    <col min="6916" max="6916" width="25" customWidth="1"/>
    <col min="7169" max="7169" width="21.109375" customWidth="1"/>
    <col min="7170" max="7170" width="20.6640625" customWidth="1"/>
    <col min="7171" max="7171" width="81.6640625" customWidth="1"/>
    <col min="7172" max="7172" width="25" customWidth="1"/>
    <col min="7425" max="7425" width="21.109375" customWidth="1"/>
    <col min="7426" max="7426" width="20.6640625" customWidth="1"/>
    <col min="7427" max="7427" width="81.6640625" customWidth="1"/>
    <col min="7428" max="7428" width="25" customWidth="1"/>
    <col min="7681" max="7681" width="21.109375" customWidth="1"/>
    <col min="7682" max="7682" width="20.6640625" customWidth="1"/>
    <col min="7683" max="7683" width="81.6640625" customWidth="1"/>
    <col min="7684" max="7684" width="25" customWidth="1"/>
    <col min="7937" max="7937" width="21.109375" customWidth="1"/>
    <col min="7938" max="7938" width="20.6640625" customWidth="1"/>
    <col min="7939" max="7939" width="81.6640625" customWidth="1"/>
    <col min="7940" max="7940" width="25" customWidth="1"/>
    <col min="8193" max="8193" width="21.109375" customWidth="1"/>
    <col min="8194" max="8194" width="20.6640625" customWidth="1"/>
    <col min="8195" max="8195" width="81.6640625" customWidth="1"/>
    <col min="8196" max="8196" width="25" customWidth="1"/>
    <col min="8449" max="8449" width="21.109375" customWidth="1"/>
    <col min="8450" max="8450" width="20.6640625" customWidth="1"/>
    <col min="8451" max="8451" width="81.6640625" customWidth="1"/>
    <col min="8452" max="8452" width="25" customWidth="1"/>
    <col min="8705" max="8705" width="21.109375" customWidth="1"/>
    <col min="8706" max="8706" width="20.6640625" customWidth="1"/>
    <col min="8707" max="8707" width="81.6640625" customWidth="1"/>
    <col min="8708" max="8708" width="25" customWidth="1"/>
    <col min="8961" max="8961" width="21.109375" customWidth="1"/>
    <col min="8962" max="8962" width="20.6640625" customWidth="1"/>
    <col min="8963" max="8963" width="81.6640625" customWidth="1"/>
    <col min="8964" max="8964" width="25" customWidth="1"/>
    <col min="9217" max="9217" width="21.109375" customWidth="1"/>
    <col min="9218" max="9218" width="20.6640625" customWidth="1"/>
    <col min="9219" max="9219" width="81.6640625" customWidth="1"/>
    <col min="9220" max="9220" width="25" customWidth="1"/>
    <col min="9473" max="9473" width="21.109375" customWidth="1"/>
    <col min="9474" max="9474" width="20.6640625" customWidth="1"/>
    <col min="9475" max="9475" width="81.6640625" customWidth="1"/>
    <col min="9476" max="9476" width="25" customWidth="1"/>
    <col min="9729" max="9729" width="21.109375" customWidth="1"/>
    <col min="9730" max="9730" width="20.6640625" customWidth="1"/>
    <col min="9731" max="9731" width="81.6640625" customWidth="1"/>
    <col min="9732" max="9732" width="25" customWidth="1"/>
    <col min="9985" max="9985" width="21.109375" customWidth="1"/>
    <col min="9986" max="9986" width="20.6640625" customWidth="1"/>
    <col min="9987" max="9987" width="81.6640625" customWidth="1"/>
    <col min="9988" max="9988" width="25" customWidth="1"/>
    <col min="10241" max="10241" width="21.109375" customWidth="1"/>
    <col min="10242" max="10242" width="20.6640625" customWidth="1"/>
    <col min="10243" max="10243" width="81.6640625" customWidth="1"/>
    <col min="10244" max="10244" width="25" customWidth="1"/>
    <col min="10497" max="10497" width="21.109375" customWidth="1"/>
    <col min="10498" max="10498" width="20.6640625" customWidth="1"/>
    <col min="10499" max="10499" width="81.6640625" customWidth="1"/>
    <col min="10500" max="10500" width="25" customWidth="1"/>
    <col min="10753" max="10753" width="21.109375" customWidth="1"/>
    <col min="10754" max="10754" width="20.6640625" customWidth="1"/>
    <col min="10755" max="10755" width="81.6640625" customWidth="1"/>
    <col min="10756" max="10756" width="25" customWidth="1"/>
    <col min="11009" max="11009" width="21.109375" customWidth="1"/>
    <col min="11010" max="11010" width="20.6640625" customWidth="1"/>
    <col min="11011" max="11011" width="81.6640625" customWidth="1"/>
    <col min="11012" max="11012" width="25" customWidth="1"/>
    <col min="11265" max="11265" width="21.109375" customWidth="1"/>
    <col min="11266" max="11266" width="20.6640625" customWidth="1"/>
    <col min="11267" max="11267" width="81.6640625" customWidth="1"/>
    <col min="11268" max="11268" width="25" customWidth="1"/>
    <col min="11521" max="11521" width="21.109375" customWidth="1"/>
    <col min="11522" max="11522" width="20.6640625" customWidth="1"/>
    <col min="11523" max="11523" width="81.6640625" customWidth="1"/>
    <col min="11524" max="11524" width="25" customWidth="1"/>
    <col min="11777" max="11777" width="21.109375" customWidth="1"/>
    <col min="11778" max="11778" width="20.6640625" customWidth="1"/>
    <col min="11779" max="11779" width="81.6640625" customWidth="1"/>
    <col min="11780" max="11780" width="25" customWidth="1"/>
    <col min="12033" max="12033" width="21.109375" customWidth="1"/>
    <col min="12034" max="12034" width="20.6640625" customWidth="1"/>
    <col min="12035" max="12035" width="81.6640625" customWidth="1"/>
    <col min="12036" max="12036" width="25" customWidth="1"/>
    <col min="12289" max="12289" width="21.109375" customWidth="1"/>
    <col min="12290" max="12290" width="20.6640625" customWidth="1"/>
    <col min="12291" max="12291" width="81.6640625" customWidth="1"/>
    <col min="12292" max="12292" width="25" customWidth="1"/>
    <col min="12545" max="12545" width="21.109375" customWidth="1"/>
    <col min="12546" max="12546" width="20.6640625" customWidth="1"/>
    <col min="12547" max="12547" width="81.6640625" customWidth="1"/>
    <col min="12548" max="12548" width="25" customWidth="1"/>
    <col min="12801" max="12801" width="21.109375" customWidth="1"/>
    <col min="12802" max="12802" width="20.6640625" customWidth="1"/>
    <col min="12803" max="12803" width="81.6640625" customWidth="1"/>
    <col min="12804" max="12804" width="25" customWidth="1"/>
    <col min="13057" max="13057" width="21.109375" customWidth="1"/>
    <col min="13058" max="13058" width="20.6640625" customWidth="1"/>
    <col min="13059" max="13059" width="81.6640625" customWidth="1"/>
    <col min="13060" max="13060" width="25" customWidth="1"/>
    <col min="13313" max="13313" width="21.109375" customWidth="1"/>
    <col min="13314" max="13314" width="20.6640625" customWidth="1"/>
    <col min="13315" max="13315" width="81.6640625" customWidth="1"/>
    <col min="13316" max="13316" width="25" customWidth="1"/>
    <col min="13569" max="13569" width="21.109375" customWidth="1"/>
    <col min="13570" max="13570" width="20.6640625" customWidth="1"/>
    <col min="13571" max="13571" width="81.6640625" customWidth="1"/>
    <col min="13572" max="13572" width="25" customWidth="1"/>
    <col min="13825" max="13825" width="21.109375" customWidth="1"/>
    <col min="13826" max="13826" width="20.6640625" customWidth="1"/>
    <col min="13827" max="13827" width="81.6640625" customWidth="1"/>
    <col min="13828" max="13828" width="25" customWidth="1"/>
    <col min="14081" max="14081" width="21.109375" customWidth="1"/>
    <col min="14082" max="14082" width="20.6640625" customWidth="1"/>
    <col min="14083" max="14083" width="81.6640625" customWidth="1"/>
    <col min="14084" max="14084" width="25" customWidth="1"/>
    <col min="14337" max="14337" width="21.109375" customWidth="1"/>
    <col min="14338" max="14338" width="20.6640625" customWidth="1"/>
    <col min="14339" max="14339" width="81.6640625" customWidth="1"/>
    <col min="14340" max="14340" width="25" customWidth="1"/>
    <col min="14593" max="14593" width="21.109375" customWidth="1"/>
    <col min="14594" max="14594" width="20.6640625" customWidth="1"/>
    <col min="14595" max="14595" width="81.6640625" customWidth="1"/>
    <col min="14596" max="14596" width="25" customWidth="1"/>
    <col min="14849" max="14849" width="21.109375" customWidth="1"/>
    <col min="14850" max="14850" width="20.6640625" customWidth="1"/>
    <col min="14851" max="14851" width="81.6640625" customWidth="1"/>
    <col min="14852" max="14852" width="25" customWidth="1"/>
    <col min="15105" max="15105" width="21.109375" customWidth="1"/>
    <col min="15106" max="15106" width="20.6640625" customWidth="1"/>
    <col min="15107" max="15107" width="81.6640625" customWidth="1"/>
    <col min="15108" max="15108" width="25" customWidth="1"/>
    <col min="15361" max="15361" width="21.109375" customWidth="1"/>
    <col min="15362" max="15362" width="20.6640625" customWidth="1"/>
    <col min="15363" max="15363" width="81.6640625" customWidth="1"/>
    <col min="15364" max="15364" width="25" customWidth="1"/>
    <col min="15617" max="15617" width="21.109375" customWidth="1"/>
    <col min="15618" max="15618" width="20.6640625" customWidth="1"/>
    <col min="15619" max="15619" width="81.6640625" customWidth="1"/>
    <col min="15620" max="15620" width="25" customWidth="1"/>
    <col min="15873" max="15873" width="21.109375" customWidth="1"/>
    <col min="15874" max="15874" width="20.6640625" customWidth="1"/>
    <col min="15875" max="15875" width="81.6640625" customWidth="1"/>
    <col min="15876" max="15876" width="25" customWidth="1"/>
    <col min="16129" max="16129" width="21.109375" customWidth="1"/>
    <col min="16130" max="16130" width="20.6640625" customWidth="1"/>
    <col min="16131" max="16131" width="81.6640625" customWidth="1"/>
    <col min="16132" max="16132" width="25" customWidth="1"/>
  </cols>
  <sheetData>
    <row r="1" spans="1:5" ht="15.6" x14ac:dyDescent="0.3">
      <c r="D1" s="571" t="s">
        <v>682</v>
      </c>
      <c r="E1" s="4"/>
    </row>
    <row r="2" spans="1:5" ht="15.6" x14ac:dyDescent="0.3">
      <c r="D2" s="571" t="s">
        <v>558</v>
      </c>
      <c r="E2" s="571"/>
    </row>
    <row r="3" spans="1:5" ht="15.6" x14ac:dyDescent="0.3">
      <c r="D3" s="631" t="s">
        <v>680</v>
      </c>
      <c r="E3" s="214"/>
    </row>
    <row r="4" spans="1:5" ht="15.6" x14ac:dyDescent="0.3">
      <c r="D4" s="631" t="s">
        <v>681</v>
      </c>
      <c r="E4" s="214"/>
    </row>
    <row r="5" spans="1:5" ht="15.6" x14ac:dyDescent="0.3">
      <c r="D5" s="965" t="s">
        <v>366</v>
      </c>
      <c r="E5" s="965"/>
    </row>
    <row r="6" spans="1:5" x14ac:dyDescent="0.3">
      <c r="D6" s="203"/>
      <c r="E6" s="203"/>
    </row>
    <row r="7" spans="1:5" ht="15.6" x14ac:dyDescent="0.3">
      <c r="D7" s="5" t="s">
        <v>683</v>
      </c>
      <c r="E7" s="4"/>
    </row>
    <row r="8" spans="1:5" ht="15.6" x14ac:dyDescent="0.3">
      <c r="D8" s="5" t="s">
        <v>280</v>
      </c>
      <c r="E8" s="4"/>
    </row>
    <row r="9" spans="1:5" ht="15.6" x14ac:dyDescent="0.3">
      <c r="D9" s="5" t="s">
        <v>8</v>
      </c>
      <c r="E9" s="4"/>
    </row>
    <row r="10" spans="1:5" ht="15.6" x14ac:dyDescent="0.3">
      <c r="D10" s="5" t="s">
        <v>227</v>
      </c>
      <c r="E10" s="4"/>
    </row>
    <row r="11" spans="1:5" ht="15.6" x14ac:dyDescent="0.3">
      <c r="D11" s="966" t="s">
        <v>363</v>
      </c>
      <c r="E11" s="4"/>
    </row>
    <row r="12" spans="1:5" ht="19.2" customHeight="1" x14ac:dyDescent="0.3">
      <c r="D12" s="966" t="s">
        <v>684</v>
      </c>
      <c r="E12" s="4"/>
    </row>
    <row r="13" spans="1:5" ht="15.6" customHeight="1" x14ac:dyDescent="0.3">
      <c r="D13" s="5" t="s">
        <v>685</v>
      </c>
      <c r="E13" s="5"/>
    </row>
    <row r="14" spans="1:5" ht="21" x14ac:dyDescent="0.4">
      <c r="A14" s="826" t="s">
        <v>321</v>
      </c>
      <c r="B14" s="827"/>
      <c r="C14" s="827"/>
      <c r="D14" s="827"/>
    </row>
    <row r="15" spans="1:5" ht="15.6" x14ac:dyDescent="0.3">
      <c r="A15" s="805" t="s">
        <v>165</v>
      </c>
      <c r="B15" s="876"/>
      <c r="C15" s="876"/>
      <c r="D15" s="876"/>
    </row>
    <row r="16" spans="1:5" ht="15.6" x14ac:dyDescent="0.3">
      <c r="A16" s="876" t="s">
        <v>0</v>
      </c>
      <c r="B16" s="876"/>
      <c r="C16" s="876"/>
      <c r="D16" s="876"/>
    </row>
    <row r="17" spans="1:4" ht="15.75" customHeight="1" x14ac:dyDescent="0.3">
      <c r="A17" s="413" t="s">
        <v>322</v>
      </c>
      <c r="B17" s="1"/>
      <c r="C17" s="1"/>
      <c r="D17" s="1"/>
    </row>
    <row r="18" spans="1:4" ht="14.4" customHeight="1" thickBot="1" x14ac:dyDescent="0.35">
      <c r="A18" s="1"/>
      <c r="B18" s="1"/>
      <c r="C18" s="1"/>
      <c r="D18" s="2" t="s">
        <v>282</v>
      </c>
    </row>
    <row r="19" spans="1:4" ht="25.5" customHeight="1" x14ac:dyDescent="0.3">
      <c r="A19" s="136" t="s">
        <v>323</v>
      </c>
      <c r="B19" s="877" t="s">
        <v>324</v>
      </c>
      <c r="C19" s="878"/>
      <c r="D19" s="137" t="s">
        <v>1</v>
      </c>
    </row>
    <row r="20" spans="1:4" ht="13.5" customHeight="1" x14ac:dyDescent="0.3">
      <c r="A20" s="138">
        <v>1</v>
      </c>
      <c r="B20" s="879">
        <v>2</v>
      </c>
      <c r="C20" s="880"/>
      <c r="D20" s="139">
        <v>3</v>
      </c>
    </row>
    <row r="21" spans="1:4" ht="15.6" x14ac:dyDescent="0.3">
      <c r="A21" s="862" t="s">
        <v>325</v>
      </c>
      <c r="B21" s="863"/>
      <c r="C21" s="863"/>
      <c r="D21" s="864"/>
    </row>
    <row r="22" spans="1:4" ht="65.25" customHeight="1" x14ac:dyDescent="0.3">
      <c r="A22" s="140">
        <v>41021400</v>
      </c>
      <c r="B22" s="881" t="s">
        <v>290</v>
      </c>
      <c r="C22" s="882"/>
      <c r="D22" s="141">
        <f>D23</f>
        <v>86943700</v>
      </c>
    </row>
    <row r="23" spans="1:4" ht="16.5" customHeight="1" x14ac:dyDescent="0.3">
      <c r="A23" s="147" t="s">
        <v>326</v>
      </c>
      <c r="B23" s="858" t="s">
        <v>327</v>
      </c>
      <c r="C23" s="859"/>
      <c r="D23" s="142">
        <f>53910900+10460300+22572500</f>
        <v>86943700</v>
      </c>
    </row>
    <row r="24" spans="1:4" ht="40.950000000000003" customHeight="1" x14ac:dyDescent="0.3">
      <c r="A24" s="143">
        <v>41033300</v>
      </c>
      <c r="B24" s="852" t="s">
        <v>534</v>
      </c>
      <c r="C24" s="853"/>
      <c r="D24" s="141">
        <f>D25</f>
        <v>2289800</v>
      </c>
    </row>
    <row r="25" spans="1:4" ht="16.5" customHeight="1" x14ac:dyDescent="0.3">
      <c r="A25" s="147" t="s">
        <v>326</v>
      </c>
      <c r="B25" s="858" t="s">
        <v>327</v>
      </c>
      <c r="C25" s="859"/>
      <c r="D25" s="142">
        <f>2278000+11800</f>
        <v>2289800</v>
      </c>
    </row>
    <row r="26" spans="1:4" ht="15.6" x14ac:dyDescent="0.3">
      <c r="A26" s="143" t="s">
        <v>291</v>
      </c>
      <c r="B26" s="144" t="s">
        <v>292</v>
      </c>
      <c r="C26" s="145"/>
      <c r="D26" s="146">
        <f>D27</f>
        <v>75510600</v>
      </c>
    </row>
    <row r="27" spans="1:4" ht="15.75" customHeight="1" x14ac:dyDescent="0.3">
      <c r="A27" s="147" t="s">
        <v>326</v>
      </c>
      <c r="B27" s="858" t="s">
        <v>327</v>
      </c>
      <c r="C27" s="859"/>
      <c r="D27" s="148">
        <v>75510600</v>
      </c>
    </row>
    <row r="28" spans="1:4" ht="15.75" customHeight="1" x14ac:dyDescent="0.3">
      <c r="A28" s="143">
        <v>41040400</v>
      </c>
      <c r="B28" s="852" t="s">
        <v>378</v>
      </c>
      <c r="C28" s="853"/>
      <c r="D28" s="146">
        <f>D29</f>
        <v>170895</v>
      </c>
    </row>
    <row r="29" spans="1:4" ht="15.75" customHeight="1" x14ac:dyDescent="0.3">
      <c r="A29" s="217">
        <v>15100000000</v>
      </c>
      <c r="B29" s="854" t="s">
        <v>328</v>
      </c>
      <c r="C29" s="855"/>
      <c r="D29" s="148">
        <f>38667+26774+23331+24056+21083+10477+26507</f>
        <v>170895</v>
      </c>
    </row>
    <row r="30" spans="1:4" ht="211.2" customHeight="1" x14ac:dyDescent="0.3">
      <c r="A30" s="226">
        <v>41050600</v>
      </c>
      <c r="B30" s="869" t="s">
        <v>475</v>
      </c>
      <c r="C30" s="870"/>
      <c r="D30" s="146">
        <f>D31</f>
        <v>3708133</v>
      </c>
    </row>
    <row r="31" spans="1:4" ht="15.75" customHeight="1" x14ac:dyDescent="0.3">
      <c r="A31" s="225">
        <v>15100000000</v>
      </c>
      <c r="B31" s="856" t="s">
        <v>328</v>
      </c>
      <c r="C31" s="857"/>
      <c r="D31" s="148">
        <f>2164782+1543351</f>
        <v>3708133</v>
      </c>
    </row>
    <row r="32" spans="1:4" ht="40.950000000000003" customHeight="1" x14ac:dyDescent="0.3">
      <c r="A32" s="143" t="s">
        <v>293</v>
      </c>
      <c r="B32" s="144" t="s">
        <v>294</v>
      </c>
      <c r="C32" s="145"/>
      <c r="D32" s="146">
        <f>D33</f>
        <v>1766200</v>
      </c>
    </row>
    <row r="33" spans="1:4" ht="15.75" customHeight="1" x14ac:dyDescent="0.3">
      <c r="A33" s="147">
        <v>15100000000</v>
      </c>
      <c r="B33" s="858" t="s">
        <v>328</v>
      </c>
      <c r="C33" s="859"/>
      <c r="D33" s="148">
        <v>1766200</v>
      </c>
    </row>
    <row r="34" spans="1:4" ht="69.75" customHeight="1" x14ac:dyDescent="0.3">
      <c r="A34" s="226">
        <v>41051200</v>
      </c>
      <c r="B34" s="850" t="s">
        <v>404</v>
      </c>
      <c r="C34" s="851"/>
      <c r="D34" s="146">
        <f>D35</f>
        <v>239625</v>
      </c>
    </row>
    <row r="35" spans="1:4" ht="24.75" customHeight="1" x14ac:dyDescent="0.3">
      <c r="A35" s="225">
        <v>15100000000</v>
      </c>
      <c r="B35" s="856" t="s">
        <v>328</v>
      </c>
      <c r="C35" s="857"/>
      <c r="D35" s="148">
        <f>187785+51840</f>
        <v>239625</v>
      </c>
    </row>
    <row r="36" spans="1:4" ht="78" customHeight="1" x14ac:dyDescent="0.3">
      <c r="A36" s="226">
        <v>41051200</v>
      </c>
      <c r="B36" s="871" t="s">
        <v>405</v>
      </c>
      <c r="C36" s="872"/>
      <c r="D36" s="146">
        <f>D37</f>
        <v>161725</v>
      </c>
    </row>
    <row r="37" spans="1:4" ht="22.5" customHeight="1" x14ac:dyDescent="0.3">
      <c r="A37" s="225">
        <v>15100000000</v>
      </c>
      <c r="B37" s="856" t="s">
        <v>328</v>
      </c>
      <c r="C37" s="857"/>
      <c r="D37" s="148">
        <f>104325+57400</f>
        <v>161725</v>
      </c>
    </row>
    <row r="38" spans="1:4" ht="64.8" customHeight="1" x14ac:dyDescent="0.3">
      <c r="A38" s="226">
        <v>41051400</v>
      </c>
      <c r="B38" s="869" t="s">
        <v>522</v>
      </c>
      <c r="C38" s="870"/>
      <c r="D38" s="146">
        <f>D39</f>
        <v>1037466</v>
      </c>
    </row>
    <row r="39" spans="1:4" ht="22.5" customHeight="1" x14ac:dyDescent="0.3">
      <c r="A39" s="225">
        <v>15100000000</v>
      </c>
      <c r="B39" s="856" t="s">
        <v>328</v>
      </c>
      <c r="C39" s="857"/>
      <c r="D39" s="148">
        <f>1049568-12102</f>
        <v>1037466</v>
      </c>
    </row>
    <row r="40" spans="1:4" ht="51.75" customHeight="1" x14ac:dyDescent="0.3">
      <c r="A40" s="143">
        <v>41051700</v>
      </c>
      <c r="B40" s="852" t="s">
        <v>376</v>
      </c>
      <c r="C40" s="853"/>
      <c r="D40" s="146">
        <f>D41</f>
        <v>323630</v>
      </c>
    </row>
    <row r="41" spans="1:4" ht="15.75" customHeight="1" x14ac:dyDescent="0.3">
      <c r="A41" s="217">
        <v>15100000000</v>
      </c>
      <c r="B41" s="854" t="s">
        <v>328</v>
      </c>
      <c r="C41" s="855"/>
      <c r="D41" s="148">
        <f>110550+213080</f>
        <v>323630</v>
      </c>
    </row>
    <row r="42" spans="1:4" s="151" customFormat="1" ht="30.75" customHeight="1" x14ac:dyDescent="0.25">
      <c r="A42" s="149">
        <v>41053900</v>
      </c>
      <c r="B42" s="850" t="s">
        <v>295</v>
      </c>
      <c r="C42" s="851"/>
      <c r="D42" s="150">
        <f>D43</f>
        <v>57773</v>
      </c>
    </row>
    <row r="43" spans="1:4" s="151" customFormat="1" ht="15.6" x14ac:dyDescent="0.3">
      <c r="A43" s="152" t="s">
        <v>329</v>
      </c>
      <c r="B43" s="860" t="s">
        <v>328</v>
      </c>
      <c r="C43" s="861"/>
      <c r="D43" s="153">
        <f>28193+29580</f>
        <v>57773</v>
      </c>
    </row>
    <row r="44" spans="1:4" s="151" customFormat="1" ht="30.75" customHeight="1" x14ac:dyDescent="0.25">
      <c r="A44" s="149">
        <v>41053900</v>
      </c>
      <c r="B44" s="850" t="s">
        <v>296</v>
      </c>
      <c r="C44" s="851"/>
      <c r="D44" s="154">
        <f>D45</f>
        <v>164690</v>
      </c>
    </row>
    <row r="45" spans="1:4" s="151" customFormat="1" ht="18" customHeight="1" x14ac:dyDescent="0.25">
      <c r="A45" s="152" t="s">
        <v>329</v>
      </c>
      <c r="B45" s="854" t="s">
        <v>328</v>
      </c>
      <c r="C45" s="855"/>
      <c r="D45" s="153">
        <f>91319+73371</f>
        <v>164690</v>
      </c>
    </row>
    <row r="46" spans="1:4" s="151" customFormat="1" ht="49.2" customHeight="1" x14ac:dyDescent="0.25">
      <c r="A46" s="149">
        <v>41053900</v>
      </c>
      <c r="B46" s="850" t="s">
        <v>297</v>
      </c>
      <c r="C46" s="851"/>
      <c r="D46" s="154">
        <f>D47</f>
        <v>17623</v>
      </c>
    </row>
    <row r="47" spans="1:4" s="151" customFormat="1" ht="15.6" x14ac:dyDescent="0.3">
      <c r="A47" s="152" t="s">
        <v>329</v>
      </c>
      <c r="B47" s="860" t="s">
        <v>328</v>
      </c>
      <c r="C47" s="861"/>
      <c r="D47" s="153">
        <v>17623</v>
      </c>
    </row>
    <row r="48" spans="1:4" s="151" customFormat="1" ht="59.4" customHeight="1" x14ac:dyDescent="0.25">
      <c r="A48" s="149">
        <v>41053900</v>
      </c>
      <c r="B48" s="850" t="s">
        <v>544</v>
      </c>
      <c r="C48" s="851"/>
      <c r="D48" s="216">
        <f>D49</f>
        <v>268034</v>
      </c>
    </row>
    <row r="49" spans="1:4" s="151" customFormat="1" ht="15.6" x14ac:dyDescent="0.3">
      <c r="A49" s="152" t="s">
        <v>329</v>
      </c>
      <c r="B49" s="860" t="s">
        <v>328</v>
      </c>
      <c r="C49" s="861"/>
      <c r="D49" s="633">
        <f>185562+82472</f>
        <v>268034</v>
      </c>
    </row>
    <row r="50" spans="1:4" s="151" customFormat="1" ht="40.5" customHeight="1" x14ac:dyDescent="0.25">
      <c r="A50" s="149">
        <v>41053900</v>
      </c>
      <c r="B50" s="850" t="s">
        <v>671</v>
      </c>
      <c r="C50" s="851"/>
      <c r="D50" s="216">
        <f>D51</f>
        <v>10000000</v>
      </c>
    </row>
    <row r="51" spans="1:4" s="151" customFormat="1" ht="15.6" x14ac:dyDescent="0.3">
      <c r="A51" s="152" t="s">
        <v>329</v>
      </c>
      <c r="B51" s="860" t="s">
        <v>328</v>
      </c>
      <c r="C51" s="861"/>
      <c r="D51" s="633">
        <v>10000000</v>
      </c>
    </row>
    <row r="52" spans="1:4" s="151" customFormat="1" ht="57" customHeight="1" x14ac:dyDescent="0.25">
      <c r="A52" s="215" t="s">
        <v>385</v>
      </c>
      <c r="B52" s="850" t="s">
        <v>377</v>
      </c>
      <c r="C52" s="851"/>
      <c r="D52" s="216">
        <f>D53</f>
        <v>166311</v>
      </c>
    </row>
    <row r="53" spans="1:4" ht="15.6" x14ac:dyDescent="0.3">
      <c r="A53" s="217">
        <v>15100000000</v>
      </c>
      <c r="B53" s="854" t="s">
        <v>328</v>
      </c>
      <c r="C53" s="855"/>
      <c r="D53" s="647">
        <v>166311</v>
      </c>
    </row>
    <row r="54" spans="1:4" ht="15.6" x14ac:dyDescent="0.3">
      <c r="A54" s="862" t="s">
        <v>330</v>
      </c>
      <c r="B54" s="863"/>
      <c r="C54" s="863"/>
      <c r="D54" s="864"/>
    </row>
    <row r="55" spans="1:4" ht="37.200000000000003" customHeight="1" x14ac:dyDescent="0.3">
      <c r="A55" s="187">
        <v>41051100</v>
      </c>
      <c r="B55" s="852" t="s">
        <v>342</v>
      </c>
      <c r="C55" s="853"/>
      <c r="D55" s="188">
        <f>D56</f>
        <v>1620780</v>
      </c>
    </row>
    <row r="56" spans="1:4" ht="15.6" x14ac:dyDescent="0.3">
      <c r="A56" s="152" t="s">
        <v>329</v>
      </c>
      <c r="B56" s="854" t="s">
        <v>328</v>
      </c>
      <c r="C56" s="855"/>
      <c r="D56" s="142">
        <f>696780+924000</f>
        <v>1620780</v>
      </c>
    </row>
    <row r="57" spans="1:4" ht="37.200000000000003" customHeight="1" x14ac:dyDescent="0.3">
      <c r="A57" s="143">
        <v>41033300</v>
      </c>
      <c r="B57" s="852" t="s">
        <v>534</v>
      </c>
      <c r="C57" s="853"/>
      <c r="D57" s="188">
        <f>D58</f>
        <v>3500600</v>
      </c>
    </row>
    <row r="58" spans="1:4" ht="19.2" customHeight="1" x14ac:dyDescent="0.3">
      <c r="A58" s="147" t="s">
        <v>326</v>
      </c>
      <c r="B58" s="858" t="s">
        <v>327</v>
      </c>
      <c r="C58" s="859"/>
      <c r="D58" s="142">
        <v>3500600</v>
      </c>
    </row>
    <row r="59" spans="1:4" ht="16.5" customHeight="1" x14ac:dyDescent="0.3">
      <c r="A59" s="414" t="s">
        <v>6</v>
      </c>
      <c r="B59" s="155" t="s">
        <v>331</v>
      </c>
      <c r="C59" s="145"/>
      <c r="D59" s="156">
        <f>D60+D61</f>
        <v>187947585</v>
      </c>
    </row>
    <row r="60" spans="1:4" ht="15.6" x14ac:dyDescent="0.3">
      <c r="A60" s="414" t="s">
        <v>6</v>
      </c>
      <c r="B60" s="155" t="s">
        <v>332</v>
      </c>
      <c r="C60" s="145"/>
      <c r="D60" s="156">
        <f>D22+D26+D32+D34+D30+D36+D42+D44+D46+D52+D40+D28+D24+D38+D48+D50</f>
        <v>182826205</v>
      </c>
    </row>
    <row r="61" spans="1:4" ht="15.6" x14ac:dyDescent="0.3">
      <c r="A61" s="414" t="s">
        <v>6</v>
      </c>
      <c r="B61" s="155" t="s">
        <v>333</v>
      </c>
      <c r="C61" s="145"/>
      <c r="D61" s="156">
        <f>D55+D57</f>
        <v>5121380</v>
      </c>
    </row>
    <row r="62" spans="1:4" ht="21.9" customHeight="1" x14ac:dyDescent="0.3">
      <c r="A62" s="157" t="s">
        <v>334</v>
      </c>
      <c r="B62" s="1"/>
      <c r="C62" s="1"/>
      <c r="D62" s="158" t="s">
        <v>282</v>
      </c>
    </row>
    <row r="63" spans="1:4" ht="60.75" customHeight="1" x14ac:dyDescent="0.3">
      <c r="A63" s="159" t="s">
        <v>335</v>
      </c>
      <c r="B63" s="160" t="s">
        <v>336</v>
      </c>
      <c r="C63" s="161" t="s">
        <v>337</v>
      </c>
      <c r="D63" s="162" t="s">
        <v>1</v>
      </c>
    </row>
    <row r="64" spans="1:4" ht="15.6" x14ac:dyDescent="0.3">
      <c r="A64" s="163">
        <v>1</v>
      </c>
      <c r="B64" s="164">
        <v>2</v>
      </c>
      <c r="C64" s="164">
        <v>3</v>
      </c>
      <c r="D64" s="165">
        <v>4</v>
      </c>
    </row>
    <row r="65" spans="1:16" ht="15.75" customHeight="1" x14ac:dyDescent="0.3">
      <c r="A65" s="873" t="s">
        <v>338</v>
      </c>
      <c r="B65" s="874"/>
      <c r="C65" s="875"/>
      <c r="D65" s="166"/>
    </row>
    <row r="66" spans="1:16" s="168" customFormat="1" ht="37.950000000000003" hidden="1" customHeight="1" x14ac:dyDescent="0.3">
      <c r="A66" s="415">
        <v>41053900</v>
      </c>
      <c r="B66" s="416">
        <v>9770</v>
      </c>
      <c r="C66" s="167" t="s">
        <v>339</v>
      </c>
      <c r="D66" s="166">
        <f>D67</f>
        <v>0</v>
      </c>
    </row>
    <row r="67" spans="1:16" ht="24" hidden="1" customHeight="1" x14ac:dyDescent="0.3">
      <c r="A67" s="147">
        <v>15327200000</v>
      </c>
      <c r="B67" s="169"/>
      <c r="C67" s="170" t="s">
        <v>340</v>
      </c>
      <c r="D67" s="171">
        <f>300000-300000</f>
        <v>0</v>
      </c>
    </row>
    <row r="68" spans="1:16" ht="52.8" customHeight="1" x14ac:dyDescent="0.3">
      <c r="A68" s="189" t="s">
        <v>343</v>
      </c>
      <c r="B68" s="190">
        <v>9800</v>
      </c>
      <c r="C68" s="191" t="s">
        <v>344</v>
      </c>
      <c r="D68" s="166">
        <f>D69</f>
        <v>40892364</v>
      </c>
    </row>
    <row r="69" spans="1:16" ht="15" customHeight="1" x14ac:dyDescent="0.3">
      <c r="A69" s="192" t="s">
        <v>326</v>
      </c>
      <c r="B69" s="193">
        <v>9800</v>
      </c>
      <c r="C69" s="194" t="s">
        <v>327</v>
      </c>
      <c r="D69" s="171">
        <f>5000000+1500000+521164+850000+63000+30300+14500000-1300000+428000+10000000+1000000+4000000+1299900+2000000+1000000</f>
        <v>40892364</v>
      </c>
    </row>
    <row r="70" spans="1:16" ht="18" customHeight="1" x14ac:dyDescent="0.3">
      <c r="A70" s="419" t="s">
        <v>485</v>
      </c>
      <c r="B70" s="418">
        <v>9770</v>
      </c>
      <c r="C70" s="420" t="s">
        <v>486</v>
      </c>
      <c r="D70" s="421">
        <f>D71</f>
        <v>180000</v>
      </c>
    </row>
    <row r="71" spans="1:16" ht="16.5" customHeight="1" x14ac:dyDescent="0.3">
      <c r="A71" s="225">
        <v>15327200000</v>
      </c>
      <c r="B71" s="422">
        <v>9770</v>
      </c>
      <c r="C71" s="423" t="s">
        <v>340</v>
      </c>
      <c r="D71" s="172">
        <v>180000</v>
      </c>
    </row>
    <row r="72" spans="1:16" ht="20.100000000000001" customHeight="1" x14ac:dyDescent="0.3">
      <c r="A72" s="865" t="s">
        <v>341</v>
      </c>
      <c r="B72" s="866"/>
      <c r="C72" s="866"/>
      <c r="D72" s="864"/>
    </row>
    <row r="73" spans="1:16" ht="60.6" customHeight="1" x14ac:dyDescent="0.3">
      <c r="A73" s="189" t="s">
        <v>343</v>
      </c>
      <c r="B73" s="190">
        <v>9800</v>
      </c>
      <c r="C73" s="191" t="s">
        <v>344</v>
      </c>
      <c r="D73" s="166">
        <f>D74</f>
        <v>55278400</v>
      </c>
    </row>
    <row r="74" spans="1:16" ht="17.25" customHeight="1" x14ac:dyDescent="0.3">
      <c r="A74" s="192" t="s">
        <v>326</v>
      </c>
      <c r="B74" s="193">
        <v>9800</v>
      </c>
      <c r="C74" s="194" t="s">
        <v>327</v>
      </c>
      <c r="D74" s="171">
        <f>1000000+150000+2937000+26000+310400+13500000+1300000+4572000+4000000-4000000+5000000+3000000+1000000+2500000+900000+1000000+3000000+5000000+1083000+9000000</f>
        <v>55278400</v>
      </c>
    </row>
    <row r="75" spans="1:16" ht="11.25" customHeight="1" x14ac:dyDescent="0.3">
      <c r="A75" s="192"/>
      <c r="B75" s="193"/>
      <c r="C75" s="205"/>
      <c r="D75" s="171"/>
    </row>
    <row r="76" spans="1:16" ht="15.6" x14ac:dyDescent="0.3">
      <c r="A76" s="173" t="s">
        <v>6</v>
      </c>
      <c r="B76" s="174" t="s">
        <v>6</v>
      </c>
      <c r="C76" s="155" t="s">
        <v>331</v>
      </c>
      <c r="D76" s="166">
        <f>D77+D78</f>
        <v>96350764</v>
      </c>
    </row>
    <row r="77" spans="1:16" ht="21" customHeight="1" x14ac:dyDescent="0.3">
      <c r="A77" s="173" t="s">
        <v>6</v>
      </c>
      <c r="B77" s="174" t="s">
        <v>6</v>
      </c>
      <c r="C77" s="155" t="s">
        <v>332</v>
      </c>
      <c r="D77" s="175">
        <f>D68+D70</f>
        <v>41072364</v>
      </c>
    </row>
    <row r="78" spans="1:16" ht="18" customHeight="1" thickBot="1" x14ac:dyDescent="0.35">
      <c r="A78" s="176" t="s">
        <v>6</v>
      </c>
      <c r="B78" s="177" t="s">
        <v>6</v>
      </c>
      <c r="C78" s="178" t="s">
        <v>333</v>
      </c>
      <c r="D78" s="179">
        <f>D73</f>
        <v>55278400</v>
      </c>
    </row>
    <row r="79" spans="1:16" ht="15.6" hidden="1" x14ac:dyDescent="0.3">
      <c r="A79" s="1"/>
      <c r="B79" s="1"/>
      <c r="C79" s="1"/>
      <c r="D79" s="1"/>
    </row>
    <row r="80" spans="1:16" s="99" customFormat="1" ht="42.6" customHeight="1" x14ac:dyDescent="0.35">
      <c r="A80" s="867" t="s">
        <v>567</v>
      </c>
      <c r="B80" s="867"/>
      <c r="C80" s="867"/>
      <c r="D80" s="867"/>
      <c r="E80" s="868"/>
      <c r="F80" s="868"/>
      <c r="G80" s="180"/>
      <c r="H80" s="180"/>
      <c r="I80" s="180"/>
      <c r="K80" s="180"/>
      <c r="L80" s="181"/>
      <c r="M80" s="180"/>
      <c r="N80" s="417"/>
      <c r="O80" s="182"/>
      <c r="P80" s="183"/>
    </row>
    <row r="81" spans="1:4" s="186" customFormat="1" ht="20.399999999999999" customHeight="1" x14ac:dyDescent="0.35">
      <c r="A81" s="184"/>
      <c r="B81" s="185"/>
      <c r="C81" s="1"/>
      <c r="D81" s="185"/>
    </row>
    <row r="82" spans="1:4" ht="15.6" x14ac:dyDescent="0.3">
      <c r="A82" s="1"/>
      <c r="B82" s="1"/>
      <c r="D82" s="1"/>
    </row>
  </sheetData>
  <mergeCells count="45">
    <mergeCell ref="B58:C58"/>
    <mergeCell ref="B25:C25"/>
    <mergeCell ref="B24:C24"/>
    <mergeCell ref="B43:C43"/>
    <mergeCell ref="A14:D14"/>
    <mergeCell ref="A15:D15"/>
    <mergeCell ref="A16:D16"/>
    <mergeCell ref="B19:C19"/>
    <mergeCell ref="B20:C20"/>
    <mergeCell ref="A21:D21"/>
    <mergeCell ref="B22:C22"/>
    <mergeCell ref="B23:C23"/>
    <mergeCell ref="B27:C27"/>
    <mergeCell ref="A72:D72"/>
    <mergeCell ref="A80:D80"/>
    <mergeCell ref="E80:F80"/>
    <mergeCell ref="B41:C41"/>
    <mergeCell ref="B30:C30"/>
    <mergeCell ref="B31:C31"/>
    <mergeCell ref="B34:C34"/>
    <mergeCell ref="B35:C35"/>
    <mergeCell ref="B36:C36"/>
    <mergeCell ref="B38:C38"/>
    <mergeCell ref="B39:C39"/>
    <mergeCell ref="B55:C55"/>
    <mergeCell ref="B56:C56"/>
    <mergeCell ref="A65:C65"/>
    <mergeCell ref="B57:C57"/>
    <mergeCell ref="B44:C44"/>
    <mergeCell ref="B45:C45"/>
    <mergeCell ref="B46:C46"/>
    <mergeCell ref="B47:C47"/>
    <mergeCell ref="A54:D54"/>
    <mergeCell ref="B52:C52"/>
    <mergeCell ref="B53:C53"/>
    <mergeCell ref="B48:C48"/>
    <mergeCell ref="B49:C49"/>
    <mergeCell ref="B50:C50"/>
    <mergeCell ref="B51:C51"/>
    <mergeCell ref="B42:C42"/>
    <mergeCell ref="B28:C28"/>
    <mergeCell ref="B29:C29"/>
    <mergeCell ref="B37:C37"/>
    <mergeCell ref="B40:C40"/>
    <mergeCell ref="B33:C33"/>
  </mergeCells>
  <pageMargins left="1.1811023622047245" right="0.39370078740157483" top="0.78740157480314965" bottom="0.78740157480314965" header="0.31496062992125984" footer="0.31496062992125984"/>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9"/>
  <sheetViews>
    <sheetView view="pageBreakPreview" topLeftCell="A118" zoomScale="80" zoomScaleNormal="80" zoomScaleSheetLayoutView="80" workbookViewId="0">
      <selection activeCell="H3" sqref="H3:H4"/>
    </sheetView>
  </sheetViews>
  <sheetFormatPr defaultColWidth="9.109375" defaultRowHeight="13.8" x14ac:dyDescent="0.25"/>
  <cols>
    <col min="1" max="1" width="13" style="570" customWidth="1"/>
    <col min="2" max="2" width="12.5546875" style="570" customWidth="1"/>
    <col min="3" max="3" width="13.44140625" style="570" customWidth="1"/>
    <col min="4" max="4" width="38.5546875" style="570" customWidth="1"/>
    <col min="5" max="5" width="43.88671875" style="570" customWidth="1"/>
    <col min="6" max="6" width="42.109375" style="570" customWidth="1"/>
    <col min="7" max="7" width="14" style="570" customWidth="1"/>
    <col min="8" max="8" width="14.6640625" style="570" customWidth="1"/>
    <col min="9" max="9" width="14.5546875" style="570" customWidth="1"/>
    <col min="10" max="10" width="14.88671875" style="570" customWidth="1"/>
    <col min="11" max="16384" width="9.109375" style="570"/>
  </cols>
  <sheetData>
    <row r="1" spans="1:10" s="569" customFormat="1" ht="15.6" x14ac:dyDescent="0.3">
      <c r="D1" s="570"/>
      <c r="E1" s="570"/>
      <c r="F1" s="571"/>
      <c r="H1" s="95" t="s">
        <v>370</v>
      </c>
      <c r="I1" s="572"/>
    </row>
    <row r="2" spans="1:10" s="569" customFormat="1" ht="15.6" x14ac:dyDescent="0.3">
      <c r="D2" s="570"/>
      <c r="E2" s="570"/>
      <c r="F2" s="571"/>
      <c r="H2" s="95" t="s">
        <v>558</v>
      </c>
      <c r="I2" s="572"/>
    </row>
    <row r="3" spans="1:10" s="569" customFormat="1" ht="15.6" x14ac:dyDescent="0.3">
      <c r="D3" s="570"/>
      <c r="E3" s="570"/>
      <c r="F3" s="571"/>
      <c r="H3" s="631" t="s">
        <v>680</v>
      </c>
      <c r="I3" s="573"/>
    </row>
    <row r="4" spans="1:10" s="569" customFormat="1" ht="15.6" x14ac:dyDescent="0.3">
      <c r="D4" s="570"/>
      <c r="E4" s="570"/>
      <c r="F4" s="571"/>
      <c r="H4" s="631" t="s">
        <v>681</v>
      </c>
      <c r="I4" s="574"/>
    </row>
    <row r="5" spans="1:10" s="569" customFormat="1" ht="15.6" x14ac:dyDescent="0.3">
      <c r="D5" s="570"/>
      <c r="E5" s="570"/>
      <c r="F5" s="571"/>
      <c r="H5" s="815" t="s">
        <v>575</v>
      </c>
      <c r="I5" s="815"/>
    </row>
    <row r="7" spans="1:10" ht="15.6" x14ac:dyDescent="0.25">
      <c r="H7" s="95" t="s">
        <v>372</v>
      </c>
      <c r="I7" s="572"/>
      <c r="J7" s="571"/>
    </row>
    <row r="8" spans="1:10" ht="15.6" x14ac:dyDescent="0.25">
      <c r="H8" s="95" t="s">
        <v>7</v>
      </c>
      <c r="I8" s="572"/>
      <c r="J8" s="571"/>
    </row>
    <row r="9" spans="1:10" ht="15.6" x14ac:dyDescent="0.25">
      <c r="H9" s="95" t="s">
        <v>8</v>
      </c>
      <c r="I9" s="572"/>
      <c r="J9" s="571"/>
    </row>
    <row r="10" spans="1:10" ht="15.6" x14ac:dyDescent="0.25">
      <c r="H10" s="95" t="s">
        <v>227</v>
      </c>
      <c r="I10" s="572"/>
      <c r="J10" s="571"/>
    </row>
    <row r="11" spans="1:10" ht="15.6" x14ac:dyDescent="0.3">
      <c r="H11" s="575" t="s">
        <v>371</v>
      </c>
      <c r="I11" s="573"/>
      <c r="J11" s="571"/>
    </row>
    <row r="12" spans="1:10" ht="15.6" x14ac:dyDescent="0.3">
      <c r="H12" s="575" t="s">
        <v>275</v>
      </c>
      <c r="I12" s="574"/>
      <c r="J12" s="571"/>
    </row>
    <row r="13" spans="1:10" ht="15.6" x14ac:dyDescent="0.25">
      <c r="H13" s="571" t="s">
        <v>283</v>
      </c>
      <c r="I13" s="95"/>
      <c r="J13" s="571"/>
    </row>
    <row r="14" spans="1:10" ht="15.6" x14ac:dyDescent="0.25">
      <c r="I14" s="571"/>
      <c r="J14" s="576"/>
    </row>
    <row r="15" spans="1:10" ht="15.6" x14ac:dyDescent="0.25">
      <c r="H15" s="571"/>
      <c r="I15" s="571"/>
      <c r="J15" s="576"/>
    </row>
    <row r="16" spans="1:10" ht="21" x14ac:dyDescent="0.4">
      <c r="A16" s="887" t="s">
        <v>228</v>
      </c>
      <c r="B16" s="888"/>
      <c r="C16" s="888"/>
      <c r="D16" s="888"/>
      <c r="E16" s="888"/>
      <c r="F16" s="888"/>
      <c r="G16" s="888"/>
      <c r="H16" s="888"/>
      <c r="I16" s="888"/>
      <c r="J16" s="888"/>
    </row>
    <row r="18" spans="1:10" ht="15.6" x14ac:dyDescent="0.3">
      <c r="A18" s="889">
        <v>1559100000</v>
      </c>
      <c r="B18" s="889"/>
      <c r="C18" s="446"/>
      <c r="D18" s="446"/>
      <c r="E18" s="446"/>
      <c r="F18" s="446"/>
      <c r="G18" s="446"/>
      <c r="H18" s="446"/>
      <c r="I18" s="446"/>
      <c r="J18" s="446"/>
    </row>
    <row r="19" spans="1:10" ht="16.2" thickBot="1" x14ac:dyDescent="0.35">
      <c r="A19" s="445" t="s">
        <v>0</v>
      </c>
      <c r="B19" s="445"/>
      <c r="C19" s="446"/>
      <c r="D19" s="446"/>
      <c r="E19" s="446"/>
      <c r="F19" s="446"/>
      <c r="G19" s="446"/>
      <c r="H19" s="446"/>
      <c r="I19" s="446"/>
      <c r="J19" s="447" t="s">
        <v>9</v>
      </c>
    </row>
    <row r="20" spans="1:10" ht="15.6" x14ac:dyDescent="0.25">
      <c r="A20" s="890" t="s">
        <v>10</v>
      </c>
      <c r="B20" s="892" t="s">
        <v>11</v>
      </c>
      <c r="C20" s="892" t="s">
        <v>12</v>
      </c>
      <c r="D20" s="894" t="s">
        <v>13</v>
      </c>
      <c r="E20" s="884" t="s">
        <v>150</v>
      </c>
      <c r="F20" s="884" t="s">
        <v>151</v>
      </c>
      <c r="G20" s="884" t="s">
        <v>1</v>
      </c>
      <c r="H20" s="884" t="s">
        <v>2</v>
      </c>
      <c r="I20" s="884" t="s">
        <v>3</v>
      </c>
      <c r="J20" s="886"/>
    </row>
    <row r="21" spans="1:10" ht="61.5" customHeight="1" thickBot="1" x14ac:dyDescent="0.3">
      <c r="A21" s="891"/>
      <c r="B21" s="893"/>
      <c r="C21" s="893"/>
      <c r="D21" s="895"/>
      <c r="E21" s="885"/>
      <c r="F21" s="885"/>
      <c r="G21" s="885"/>
      <c r="H21" s="885"/>
      <c r="I21" s="724" t="s">
        <v>4</v>
      </c>
      <c r="J21" s="448" t="s">
        <v>5</v>
      </c>
    </row>
    <row r="22" spans="1:10" ht="12" customHeight="1" thickBot="1" x14ac:dyDescent="0.3">
      <c r="A22" s="757">
        <v>1</v>
      </c>
      <c r="B22" s="758">
        <v>2</v>
      </c>
      <c r="C22" s="758">
        <v>3</v>
      </c>
      <c r="D22" s="759">
        <v>4</v>
      </c>
      <c r="E22" s="758">
        <v>5</v>
      </c>
      <c r="F22" s="758">
        <v>6</v>
      </c>
      <c r="G22" s="758">
        <v>7</v>
      </c>
      <c r="H22" s="758">
        <v>8</v>
      </c>
      <c r="I22" s="760">
        <v>9</v>
      </c>
      <c r="J22" s="761">
        <v>10</v>
      </c>
    </row>
    <row r="23" spans="1:10" ht="47.4" thickBot="1" x14ac:dyDescent="0.3">
      <c r="A23" s="451" t="s">
        <v>15</v>
      </c>
      <c r="B23" s="452" t="s">
        <v>16</v>
      </c>
      <c r="C23" s="452" t="s">
        <v>16</v>
      </c>
      <c r="D23" s="453" t="s">
        <v>677</v>
      </c>
      <c r="E23" s="454" t="s">
        <v>16</v>
      </c>
      <c r="F23" s="454" t="s">
        <v>16</v>
      </c>
      <c r="G23" s="455">
        <f>H23+I23</f>
        <v>155213266</v>
      </c>
      <c r="H23" s="455">
        <f>H24</f>
        <v>96435502</v>
      </c>
      <c r="I23" s="455">
        <f>I24</f>
        <v>58777764</v>
      </c>
      <c r="J23" s="456">
        <f>J24</f>
        <v>58777764</v>
      </c>
    </row>
    <row r="24" spans="1:10" ht="46.8" x14ac:dyDescent="0.25">
      <c r="A24" s="457" t="s">
        <v>17</v>
      </c>
      <c r="B24" s="458" t="s">
        <v>16</v>
      </c>
      <c r="C24" s="458" t="s">
        <v>16</v>
      </c>
      <c r="D24" s="459" t="s">
        <v>677</v>
      </c>
      <c r="E24" s="460" t="s">
        <v>16</v>
      </c>
      <c r="F24" s="460" t="s">
        <v>16</v>
      </c>
      <c r="G24" s="461">
        <f>H24+I24</f>
        <v>155213266</v>
      </c>
      <c r="H24" s="461">
        <f>H25+H26+H27+H28+H29+H30+H31+H33+H36+H34+H37+H38+H39+H41+H32+H40+H35</f>
        <v>96435502</v>
      </c>
      <c r="I24" s="461">
        <f>I25+I26+I27+I28+I29+I30+I31+I33+I36+I34+I37+I38+I39+I41+I32+I40</f>
        <v>58777764</v>
      </c>
      <c r="J24" s="472">
        <f>J25+J26+J27+J28+J29+J30+J31+J33+J36+J34+J37+J38+J39+J41+J32+J40</f>
        <v>58777764</v>
      </c>
    </row>
    <row r="25" spans="1:10" ht="93" customHeight="1" x14ac:dyDescent="0.25">
      <c r="A25" s="409" t="s">
        <v>172</v>
      </c>
      <c r="B25" s="462" t="s">
        <v>173</v>
      </c>
      <c r="C25" s="462" t="s">
        <v>18</v>
      </c>
      <c r="D25" s="463" t="s">
        <v>174</v>
      </c>
      <c r="E25" s="463" t="s">
        <v>262</v>
      </c>
      <c r="F25" s="463" t="s">
        <v>359</v>
      </c>
      <c r="G25" s="464">
        <f t="shared" ref="G25:G93" si="0">H25+I25</f>
        <v>227652</v>
      </c>
      <c r="H25" s="464">
        <v>227652</v>
      </c>
      <c r="I25" s="465">
        <v>0</v>
      </c>
      <c r="J25" s="466">
        <v>0</v>
      </c>
    </row>
    <row r="26" spans="1:10" ht="140.4" x14ac:dyDescent="0.25">
      <c r="A26" s="467" t="s">
        <v>354</v>
      </c>
      <c r="B26" s="468" t="s">
        <v>225</v>
      </c>
      <c r="C26" s="468" t="s">
        <v>223</v>
      </c>
      <c r="D26" s="469" t="s">
        <v>229</v>
      </c>
      <c r="E26" s="470" t="s">
        <v>230</v>
      </c>
      <c r="F26" s="463" t="s">
        <v>391</v>
      </c>
      <c r="G26" s="471">
        <f t="shared" si="0"/>
        <v>109000</v>
      </c>
      <c r="H26" s="471">
        <f>141000-32000</f>
        <v>109000</v>
      </c>
      <c r="I26" s="461">
        <v>0</v>
      </c>
      <c r="J26" s="472">
        <v>0</v>
      </c>
    </row>
    <row r="27" spans="1:10" ht="62.4" x14ac:dyDescent="0.25">
      <c r="A27" s="409" t="s">
        <v>19</v>
      </c>
      <c r="B27" s="462" t="s">
        <v>20</v>
      </c>
      <c r="C27" s="462" t="s">
        <v>21</v>
      </c>
      <c r="D27" s="473" t="s">
        <v>22</v>
      </c>
      <c r="E27" s="463" t="s">
        <v>162</v>
      </c>
      <c r="F27" s="463" t="s">
        <v>569</v>
      </c>
      <c r="G27" s="464">
        <f t="shared" si="0"/>
        <v>15077776</v>
      </c>
      <c r="H27" s="464">
        <f>8498226+4405950</f>
        <v>12904176</v>
      </c>
      <c r="I27" s="464">
        <f>J27</f>
        <v>2173600</v>
      </c>
      <c r="J27" s="474">
        <f>0+2173600</f>
        <v>2173600</v>
      </c>
    </row>
    <row r="28" spans="1:10" ht="78" x14ac:dyDescent="0.25">
      <c r="A28" s="409" t="s">
        <v>19</v>
      </c>
      <c r="B28" s="462" t="s">
        <v>20</v>
      </c>
      <c r="C28" s="462" t="s">
        <v>21</v>
      </c>
      <c r="D28" s="473" t="s">
        <v>22</v>
      </c>
      <c r="E28" s="463" t="s">
        <v>161</v>
      </c>
      <c r="F28" s="463" t="s">
        <v>506</v>
      </c>
      <c r="G28" s="464">
        <f t="shared" si="0"/>
        <v>14427648</v>
      </c>
      <c r="H28" s="464">
        <v>14427648</v>
      </c>
      <c r="I28" s="464">
        <v>0</v>
      </c>
      <c r="J28" s="474">
        <v>0</v>
      </c>
    </row>
    <row r="29" spans="1:10" ht="62.4" x14ac:dyDescent="0.25">
      <c r="A29" s="409" t="s">
        <v>23</v>
      </c>
      <c r="B29" s="462" t="s">
        <v>24</v>
      </c>
      <c r="C29" s="462" t="s">
        <v>25</v>
      </c>
      <c r="D29" s="473" t="s">
        <v>26</v>
      </c>
      <c r="E29" s="463" t="s">
        <v>231</v>
      </c>
      <c r="F29" s="463" t="s">
        <v>537</v>
      </c>
      <c r="G29" s="464">
        <f t="shared" si="0"/>
        <v>991849</v>
      </c>
      <c r="H29" s="464">
        <f>556580+62869</f>
        <v>619449</v>
      </c>
      <c r="I29" s="464">
        <f>J29</f>
        <v>372400</v>
      </c>
      <c r="J29" s="474">
        <f>372400</f>
        <v>372400</v>
      </c>
    </row>
    <row r="30" spans="1:10" ht="62.4" x14ac:dyDescent="0.25">
      <c r="A30" s="475" t="s">
        <v>235</v>
      </c>
      <c r="B30" s="476">
        <v>2152</v>
      </c>
      <c r="C30" s="477" t="s">
        <v>236</v>
      </c>
      <c r="D30" s="478" t="s">
        <v>253</v>
      </c>
      <c r="E30" s="479" t="s">
        <v>232</v>
      </c>
      <c r="F30" s="480" t="s">
        <v>507</v>
      </c>
      <c r="G30" s="481">
        <f t="shared" si="0"/>
        <v>3407103</v>
      </c>
      <c r="H30" s="481">
        <f>2810623+596480</f>
        <v>3407103</v>
      </c>
      <c r="I30" s="464">
        <f t="shared" ref="I30:I36" si="1">J30</f>
        <v>0</v>
      </c>
      <c r="J30" s="482">
        <v>0</v>
      </c>
    </row>
    <row r="31" spans="1:10" ht="62.4" x14ac:dyDescent="0.25">
      <c r="A31" s="409" t="s">
        <v>30</v>
      </c>
      <c r="B31" s="462" t="s">
        <v>31</v>
      </c>
      <c r="C31" s="462" t="s">
        <v>32</v>
      </c>
      <c r="D31" s="463" t="s">
        <v>33</v>
      </c>
      <c r="E31" s="463" t="s">
        <v>357</v>
      </c>
      <c r="F31" s="463" t="s">
        <v>393</v>
      </c>
      <c r="G31" s="464">
        <f t="shared" si="0"/>
        <v>409910</v>
      </c>
      <c r="H31" s="464">
        <f>72000+284546</f>
        <v>356546</v>
      </c>
      <c r="I31" s="464">
        <f t="shared" si="1"/>
        <v>53364</v>
      </c>
      <c r="J31" s="474">
        <f>53364</f>
        <v>53364</v>
      </c>
    </row>
    <row r="32" spans="1:10" ht="78" x14ac:dyDescent="0.25">
      <c r="A32" s="409">
        <v>218110</v>
      </c>
      <c r="B32" s="462">
        <v>8110</v>
      </c>
      <c r="C32" s="468" t="s">
        <v>238</v>
      </c>
      <c r="D32" s="536" t="s">
        <v>239</v>
      </c>
      <c r="E32" s="463" t="s">
        <v>546</v>
      </c>
      <c r="F32" s="463" t="s">
        <v>538</v>
      </c>
      <c r="G32" s="464">
        <f>H32+I32</f>
        <v>1789685</v>
      </c>
      <c r="H32" s="464">
        <f>0+111980+1045320+632385</f>
        <v>1789685</v>
      </c>
      <c r="I32" s="464">
        <f t="shared" si="1"/>
        <v>0</v>
      </c>
      <c r="J32" s="474">
        <v>0</v>
      </c>
    </row>
    <row r="33" spans="1:10" ht="62.4" x14ac:dyDescent="0.25">
      <c r="A33" s="409" t="s">
        <v>34</v>
      </c>
      <c r="B33" s="462" t="s">
        <v>35</v>
      </c>
      <c r="C33" s="462" t="s">
        <v>36</v>
      </c>
      <c r="D33" s="473" t="s">
        <v>37</v>
      </c>
      <c r="E33" s="463" t="s">
        <v>152</v>
      </c>
      <c r="F33" s="463" t="s">
        <v>392</v>
      </c>
      <c r="G33" s="464">
        <f t="shared" si="0"/>
        <v>6000</v>
      </c>
      <c r="H33" s="464">
        <v>6000</v>
      </c>
      <c r="I33" s="464">
        <f t="shared" si="1"/>
        <v>0</v>
      </c>
      <c r="J33" s="474">
        <v>0</v>
      </c>
    </row>
    <row r="34" spans="1:10" ht="62.4" x14ac:dyDescent="0.25">
      <c r="A34" s="222" t="s">
        <v>158</v>
      </c>
      <c r="B34" s="462">
        <v>8230</v>
      </c>
      <c r="C34" s="462" t="s">
        <v>36</v>
      </c>
      <c r="D34" s="473" t="s">
        <v>159</v>
      </c>
      <c r="E34" s="544" t="s">
        <v>163</v>
      </c>
      <c r="F34" s="463" t="s">
        <v>523</v>
      </c>
      <c r="G34" s="464">
        <f t="shared" si="0"/>
        <v>19032201</v>
      </c>
      <c r="H34" s="464">
        <f>20061160-228060-2039391+338492</f>
        <v>18132201</v>
      </c>
      <c r="I34" s="464">
        <f t="shared" si="1"/>
        <v>900000</v>
      </c>
      <c r="J34" s="474">
        <v>900000</v>
      </c>
    </row>
    <row r="35" spans="1:10" ht="97.5" customHeight="1" x14ac:dyDescent="0.25">
      <c r="A35" s="516" t="s">
        <v>547</v>
      </c>
      <c r="B35" s="476">
        <v>8240</v>
      </c>
      <c r="C35" s="477" t="s">
        <v>36</v>
      </c>
      <c r="D35" s="478" t="s">
        <v>543</v>
      </c>
      <c r="E35" s="634" t="s">
        <v>358</v>
      </c>
      <c r="F35" s="480" t="s">
        <v>539</v>
      </c>
      <c r="G35" s="464">
        <f t="shared" si="0"/>
        <v>183976</v>
      </c>
      <c r="H35" s="481">
        <f>126880+57096</f>
        <v>183976</v>
      </c>
      <c r="I35" s="464">
        <f t="shared" si="1"/>
        <v>0</v>
      </c>
      <c r="J35" s="482">
        <v>0</v>
      </c>
    </row>
    <row r="36" spans="1:10" ht="109.2" x14ac:dyDescent="0.25">
      <c r="A36" s="483" t="s">
        <v>38</v>
      </c>
      <c r="B36" s="476" t="s">
        <v>39</v>
      </c>
      <c r="C36" s="476" t="s">
        <v>40</v>
      </c>
      <c r="D36" s="478" t="s">
        <v>41</v>
      </c>
      <c r="E36" s="480" t="s">
        <v>233</v>
      </c>
      <c r="F36" s="480" t="s">
        <v>524</v>
      </c>
      <c r="G36" s="481">
        <f t="shared" si="0"/>
        <v>3379702</v>
      </c>
      <c r="H36" s="481">
        <v>3379702</v>
      </c>
      <c r="I36" s="464">
        <f t="shared" si="1"/>
        <v>0</v>
      </c>
      <c r="J36" s="482">
        <v>0</v>
      </c>
    </row>
    <row r="37" spans="1:10" ht="96" customHeight="1" x14ac:dyDescent="0.25">
      <c r="A37" s="484" t="s">
        <v>343</v>
      </c>
      <c r="B37" s="476">
        <v>9800</v>
      </c>
      <c r="C37" s="477" t="s">
        <v>225</v>
      </c>
      <c r="D37" s="480" t="s">
        <v>344</v>
      </c>
      <c r="E37" s="480" t="s">
        <v>358</v>
      </c>
      <c r="F37" s="480" t="s">
        <v>539</v>
      </c>
      <c r="G37" s="481">
        <f t="shared" si="0"/>
        <v>68500000</v>
      </c>
      <c r="H37" s="481">
        <f>5000000+1500000+850000+63000-1500000+10000000+2000000-1300000+428000+10000000+1000000+4000000</f>
        <v>32041000</v>
      </c>
      <c r="I37" s="481">
        <f>J37</f>
        <v>36459000</v>
      </c>
      <c r="J37" s="482">
        <f>1000000+150000+2937000+1500000+4000000+3000000+5000000+1300000+4572000+4000000-4000000+3000000+1000000+1000000+3000000+5000000</f>
        <v>36459000</v>
      </c>
    </row>
    <row r="38" spans="1:10" ht="82.5" customHeight="1" x14ac:dyDescent="0.25">
      <c r="A38" s="484" t="s">
        <v>343</v>
      </c>
      <c r="B38" s="476">
        <v>9800</v>
      </c>
      <c r="C38" s="477" t="s">
        <v>225</v>
      </c>
      <c r="D38" s="480" t="s">
        <v>344</v>
      </c>
      <c r="E38" s="537" t="s">
        <v>545</v>
      </c>
      <c r="F38" s="37" t="s">
        <v>540</v>
      </c>
      <c r="G38" s="485">
        <f t="shared" si="0"/>
        <v>1914564</v>
      </c>
      <c r="H38" s="485">
        <f>0+521164</f>
        <v>521164</v>
      </c>
      <c r="I38" s="485">
        <f>J38</f>
        <v>1393400</v>
      </c>
      <c r="J38" s="474">
        <f>0+310400+1083000</f>
        <v>1393400</v>
      </c>
    </row>
    <row r="39" spans="1:10" ht="70.5" customHeight="1" x14ac:dyDescent="0.25">
      <c r="A39" s="467" t="s">
        <v>343</v>
      </c>
      <c r="B39" s="462">
        <v>9800</v>
      </c>
      <c r="C39" s="468" t="s">
        <v>225</v>
      </c>
      <c r="D39" s="463" t="s">
        <v>344</v>
      </c>
      <c r="E39" s="463" t="s">
        <v>374</v>
      </c>
      <c r="F39" s="463" t="s">
        <v>375</v>
      </c>
      <c r="G39" s="486">
        <f t="shared" si="0"/>
        <v>56300</v>
      </c>
      <c r="H39" s="486">
        <f>0+30300</f>
        <v>30300</v>
      </c>
      <c r="I39" s="486">
        <f>J39</f>
        <v>26000</v>
      </c>
      <c r="J39" s="648">
        <f>0+26000</f>
        <v>26000</v>
      </c>
    </row>
    <row r="40" spans="1:10" ht="63" customHeight="1" x14ac:dyDescent="0.25">
      <c r="A40" s="467" t="s">
        <v>343</v>
      </c>
      <c r="B40" s="462">
        <v>9800</v>
      </c>
      <c r="C40" s="468" t="s">
        <v>225</v>
      </c>
      <c r="D40" s="463" t="s">
        <v>344</v>
      </c>
      <c r="E40" s="463" t="s">
        <v>497</v>
      </c>
      <c r="F40" s="463" t="s">
        <v>573</v>
      </c>
      <c r="G40" s="486">
        <f t="shared" si="0"/>
        <v>6699900</v>
      </c>
      <c r="H40" s="486">
        <f>1299900+2000000</f>
        <v>3299900</v>
      </c>
      <c r="I40" s="486">
        <f>J40</f>
        <v>3400000</v>
      </c>
      <c r="J40" s="474">
        <f>0+900000+2500000</f>
        <v>3400000</v>
      </c>
    </row>
    <row r="41" spans="1:10" ht="69" customHeight="1" thickBot="1" x14ac:dyDescent="0.3">
      <c r="A41" s="475" t="s">
        <v>343</v>
      </c>
      <c r="B41" s="450">
        <v>9800</v>
      </c>
      <c r="C41" s="487" t="s">
        <v>225</v>
      </c>
      <c r="D41" s="470" t="s">
        <v>344</v>
      </c>
      <c r="E41" s="479" t="s">
        <v>386</v>
      </c>
      <c r="F41" s="470" t="s">
        <v>674</v>
      </c>
      <c r="G41" s="488">
        <f t="shared" si="0"/>
        <v>19000000</v>
      </c>
      <c r="H41" s="489">
        <f>4000000+1000000</f>
        <v>5000000</v>
      </c>
      <c r="I41" s="489">
        <f>J41</f>
        <v>14000000</v>
      </c>
      <c r="J41" s="490">
        <f>5000000+9000000</f>
        <v>14000000</v>
      </c>
    </row>
    <row r="42" spans="1:10" ht="49.5" customHeight="1" thickBot="1" x14ac:dyDescent="0.3">
      <c r="A42" s="451" t="s">
        <v>42</v>
      </c>
      <c r="B42" s="452" t="s">
        <v>16</v>
      </c>
      <c r="C42" s="452" t="s">
        <v>16</v>
      </c>
      <c r="D42" s="453" t="s">
        <v>43</v>
      </c>
      <c r="E42" s="454" t="s">
        <v>16</v>
      </c>
      <c r="F42" s="454" t="s">
        <v>16</v>
      </c>
      <c r="G42" s="455">
        <f t="shared" si="0"/>
        <v>25293642</v>
      </c>
      <c r="H42" s="455">
        <f>H43</f>
        <v>19134796</v>
      </c>
      <c r="I42" s="455">
        <f>I43</f>
        <v>6158846</v>
      </c>
      <c r="J42" s="456">
        <f>J43</f>
        <v>1037466</v>
      </c>
    </row>
    <row r="43" spans="1:10" ht="46.8" x14ac:dyDescent="0.25">
      <c r="A43" s="491" t="s">
        <v>44</v>
      </c>
      <c r="B43" s="492" t="s">
        <v>16</v>
      </c>
      <c r="C43" s="492" t="s">
        <v>16</v>
      </c>
      <c r="D43" s="459" t="s">
        <v>43</v>
      </c>
      <c r="E43" s="460" t="s">
        <v>16</v>
      </c>
      <c r="F43" s="460" t="s">
        <v>16</v>
      </c>
      <c r="G43" s="461">
        <f>H43+I43</f>
        <v>25293642</v>
      </c>
      <c r="H43" s="461">
        <f>H44+H45+H46+H47+H48+H49+H50+H53+H54+H56+H51+H52+H55</f>
        <v>19134796</v>
      </c>
      <c r="I43" s="461">
        <f>I44+I45+I46+I47+I48+I49+I50+I53+I54+I56+I51+I52+I55</f>
        <v>6158846</v>
      </c>
      <c r="J43" s="472">
        <f>J44+J45+J46+J47+J48+J49+J50+J53+J54+J56+J51+J52+J55</f>
        <v>1037466</v>
      </c>
    </row>
    <row r="44" spans="1:10" ht="62.4" x14ac:dyDescent="0.25">
      <c r="A44" s="409" t="s">
        <v>46</v>
      </c>
      <c r="B44" s="462">
        <v>1010</v>
      </c>
      <c r="C44" s="462" t="s">
        <v>48</v>
      </c>
      <c r="D44" s="473" t="s">
        <v>49</v>
      </c>
      <c r="E44" s="463" t="s">
        <v>153</v>
      </c>
      <c r="F44" s="463" t="s">
        <v>679</v>
      </c>
      <c r="G44" s="464">
        <f t="shared" si="0"/>
        <v>451865</v>
      </c>
      <c r="H44" s="464">
        <f>387671+22084+42110</f>
        <v>451865</v>
      </c>
      <c r="I44" s="464">
        <v>0</v>
      </c>
      <c r="J44" s="474">
        <v>0</v>
      </c>
    </row>
    <row r="45" spans="1:10" ht="62.4" x14ac:dyDescent="0.25">
      <c r="A45" s="409" t="s">
        <v>50</v>
      </c>
      <c r="B45" s="462" t="s">
        <v>51</v>
      </c>
      <c r="C45" s="462" t="s">
        <v>52</v>
      </c>
      <c r="D45" s="473" t="s">
        <v>53</v>
      </c>
      <c r="E45" s="463" t="s">
        <v>153</v>
      </c>
      <c r="F45" s="463" t="s">
        <v>679</v>
      </c>
      <c r="G45" s="464">
        <f t="shared" si="0"/>
        <v>14276788</v>
      </c>
      <c r="H45" s="464">
        <f>8402143+10757+499070-60261-30000+498000+175000+199750+3964258+618071</f>
        <v>14276788</v>
      </c>
      <c r="I45" s="464">
        <v>0</v>
      </c>
      <c r="J45" s="474">
        <v>0</v>
      </c>
    </row>
    <row r="46" spans="1:10" ht="70.5" customHeight="1" x14ac:dyDescent="0.25">
      <c r="A46" s="409" t="s">
        <v>54</v>
      </c>
      <c r="B46" s="462" t="s">
        <v>55</v>
      </c>
      <c r="C46" s="462" t="s">
        <v>56</v>
      </c>
      <c r="D46" s="473" t="s">
        <v>57</v>
      </c>
      <c r="E46" s="463" t="s">
        <v>153</v>
      </c>
      <c r="F46" s="463" t="s">
        <v>679</v>
      </c>
      <c r="G46" s="464">
        <f t="shared" si="0"/>
        <v>24260</v>
      </c>
      <c r="H46" s="464">
        <v>24260</v>
      </c>
      <c r="I46" s="464">
        <v>0</v>
      </c>
      <c r="J46" s="474">
        <v>0</v>
      </c>
    </row>
    <row r="47" spans="1:10" ht="62.4" x14ac:dyDescent="0.25">
      <c r="A47" s="409" t="s">
        <v>59</v>
      </c>
      <c r="B47" s="462" t="s">
        <v>60</v>
      </c>
      <c r="C47" s="462" t="s">
        <v>58</v>
      </c>
      <c r="D47" s="473" t="s">
        <v>61</v>
      </c>
      <c r="E47" s="463" t="s">
        <v>153</v>
      </c>
      <c r="F47" s="463" t="s">
        <v>679</v>
      </c>
      <c r="G47" s="464">
        <f t="shared" si="0"/>
        <v>69480</v>
      </c>
      <c r="H47" s="464">
        <f>14480+55000</f>
        <v>69480</v>
      </c>
      <c r="I47" s="464">
        <v>0</v>
      </c>
      <c r="J47" s="474">
        <v>0</v>
      </c>
    </row>
    <row r="48" spans="1:10" ht="62.4" x14ac:dyDescent="0.25">
      <c r="A48" s="409" t="s">
        <v>62</v>
      </c>
      <c r="B48" s="462" t="s">
        <v>63</v>
      </c>
      <c r="C48" s="462" t="s">
        <v>58</v>
      </c>
      <c r="D48" s="473" t="s">
        <v>64</v>
      </c>
      <c r="E48" s="463" t="s">
        <v>153</v>
      </c>
      <c r="F48" s="463" t="s">
        <v>679</v>
      </c>
      <c r="G48" s="464">
        <f t="shared" si="0"/>
        <v>4722</v>
      </c>
      <c r="H48" s="464">
        <f>3619+1103</f>
        <v>4722</v>
      </c>
      <c r="I48" s="464">
        <v>0</v>
      </c>
      <c r="J48" s="474">
        <v>0</v>
      </c>
    </row>
    <row r="49" spans="1:10" ht="62.4" x14ac:dyDescent="0.25">
      <c r="A49" s="409" t="s">
        <v>65</v>
      </c>
      <c r="B49" s="462" t="s">
        <v>66</v>
      </c>
      <c r="C49" s="462" t="s">
        <v>58</v>
      </c>
      <c r="D49" s="473" t="s">
        <v>67</v>
      </c>
      <c r="E49" s="463" t="s">
        <v>154</v>
      </c>
      <c r="F49" s="463" t="s">
        <v>679</v>
      </c>
      <c r="G49" s="464">
        <f t="shared" si="0"/>
        <v>4750</v>
      </c>
      <c r="H49" s="464">
        <v>4750</v>
      </c>
      <c r="I49" s="464">
        <v>0</v>
      </c>
      <c r="J49" s="474">
        <v>0</v>
      </c>
    </row>
    <row r="50" spans="1:10" ht="62.4" x14ac:dyDescent="0.25">
      <c r="A50" s="409" t="s">
        <v>65</v>
      </c>
      <c r="B50" s="462" t="s">
        <v>66</v>
      </c>
      <c r="C50" s="462" t="s">
        <v>58</v>
      </c>
      <c r="D50" s="473" t="s">
        <v>67</v>
      </c>
      <c r="E50" s="463" t="s">
        <v>261</v>
      </c>
      <c r="F50" s="463" t="s">
        <v>277</v>
      </c>
      <c r="G50" s="464">
        <f t="shared" si="0"/>
        <v>4187</v>
      </c>
      <c r="H50" s="464">
        <v>4187</v>
      </c>
      <c r="I50" s="464">
        <v>0</v>
      </c>
      <c r="J50" s="474">
        <v>0</v>
      </c>
    </row>
    <row r="51" spans="1:10" ht="113.25" customHeight="1" x14ac:dyDescent="0.3">
      <c r="A51" s="467" t="s">
        <v>517</v>
      </c>
      <c r="B51" s="462">
        <v>1181</v>
      </c>
      <c r="C51" s="468" t="s">
        <v>58</v>
      </c>
      <c r="D51" s="577" t="s">
        <v>518</v>
      </c>
      <c r="E51" s="463" t="s">
        <v>153</v>
      </c>
      <c r="F51" s="463" t="s">
        <v>679</v>
      </c>
      <c r="G51" s="464">
        <f t="shared" si="0"/>
        <v>449824</v>
      </c>
      <c r="H51" s="464">
        <v>449824</v>
      </c>
      <c r="I51" s="464">
        <f>J51</f>
        <v>0</v>
      </c>
      <c r="J51" s="474">
        <v>0</v>
      </c>
    </row>
    <row r="52" spans="1:10" ht="93.75" customHeight="1" x14ac:dyDescent="0.3">
      <c r="A52" s="567" t="s">
        <v>519</v>
      </c>
      <c r="B52" s="509" t="s">
        <v>520</v>
      </c>
      <c r="C52" s="509" t="s">
        <v>58</v>
      </c>
      <c r="D52" s="578" t="s">
        <v>521</v>
      </c>
      <c r="E52" s="463" t="s">
        <v>153</v>
      </c>
      <c r="F52" s="463" t="s">
        <v>679</v>
      </c>
      <c r="G52" s="464">
        <f t="shared" si="0"/>
        <v>1037466</v>
      </c>
      <c r="H52" s="471">
        <v>0</v>
      </c>
      <c r="I52" s="464">
        <f>J52</f>
        <v>1037466</v>
      </c>
      <c r="J52" s="579">
        <f>1049568-12102</f>
        <v>1037466</v>
      </c>
    </row>
    <row r="53" spans="1:10" ht="156" customHeight="1" x14ac:dyDescent="0.25">
      <c r="A53" s="475" t="s">
        <v>347</v>
      </c>
      <c r="B53" s="450">
        <v>1291</v>
      </c>
      <c r="C53" s="450" t="s">
        <v>58</v>
      </c>
      <c r="D53" s="494" t="s">
        <v>345</v>
      </c>
      <c r="E53" s="479" t="s">
        <v>154</v>
      </c>
      <c r="F53" s="463" t="s">
        <v>679</v>
      </c>
      <c r="G53" s="493">
        <f t="shared" si="0"/>
        <v>694620</v>
      </c>
      <c r="H53" s="493">
        <f>298620+396000</f>
        <v>694620</v>
      </c>
      <c r="I53" s="471">
        <v>0</v>
      </c>
      <c r="J53" s="515">
        <v>0</v>
      </c>
    </row>
    <row r="54" spans="1:10" ht="147" customHeight="1" x14ac:dyDescent="0.25">
      <c r="A54" s="467" t="s">
        <v>348</v>
      </c>
      <c r="B54" s="462">
        <v>1292</v>
      </c>
      <c r="C54" s="462" t="s">
        <v>58</v>
      </c>
      <c r="D54" s="463" t="s">
        <v>346</v>
      </c>
      <c r="E54" s="463" t="s">
        <v>154</v>
      </c>
      <c r="F54" s="463" t="s">
        <v>679</v>
      </c>
      <c r="G54" s="464">
        <f t="shared" si="0"/>
        <v>1620780</v>
      </c>
      <c r="H54" s="464">
        <v>0</v>
      </c>
      <c r="I54" s="464">
        <f>696780+924000</f>
        <v>1620780</v>
      </c>
      <c r="J54" s="474">
        <v>0</v>
      </c>
    </row>
    <row r="55" spans="1:10" ht="93" customHeight="1" x14ac:dyDescent="0.25">
      <c r="A55" s="467" t="s">
        <v>531</v>
      </c>
      <c r="B55" s="462">
        <v>1403</v>
      </c>
      <c r="C55" s="462" t="s">
        <v>58</v>
      </c>
      <c r="D55" s="463" t="s">
        <v>532</v>
      </c>
      <c r="E55" s="463" t="s">
        <v>154</v>
      </c>
      <c r="F55" s="463" t="s">
        <v>675</v>
      </c>
      <c r="G55" s="464">
        <f>H55+I55</f>
        <v>5790400</v>
      </c>
      <c r="H55" s="464">
        <f>2278000+11800</f>
        <v>2289800</v>
      </c>
      <c r="I55" s="464">
        <v>3500600</v>
      </c>
      <c r="J55" s="474">
        <v>0</v>
      </c>
    </row>
    <row r="56" spans="1:10" s="446" customFormat="1" ht="94.2" thickBot="1" x14ac:dyDescent="0.3">
      <c r="A56" s="475" t="s">
        <v>381</v>
      </c>
      <c r="B56" s="450">
        <v>3140</v>
      </c>
      <c r="C56" s="450">
        <v>1040</v>
      </c>
      <c r="D56" s="494" t="s">
        <v>382</v>
      </c>
      <c r="E56" s="479" t="s">
        <v>387</v>
      </c>
      <c r="F56" s="479" t="s">
        <v>394</v>
      </c>
      <c r="G56" s="471">
        <f t="shared" si="0"/>
        <v>864500</v>
      </c>
      <c r="H56" s="493">
        <f>1300000-230000-205500</f>
        <v>864500</v>
      </c>
      <c r="I56" s="493">
        <v>0</v>
      </c>
      <c r="J56" s="490">
        <v>0</v>
      </c>
    </row>
    <row r="57" spans="1:10" ht="47.4" thickBot="1" x14ac:dyDescent="0.3">
      <c r="A57" s="451" t="s">
        <v>69</v>
      </c>
      <c r="B57" s="452" t="s">
        <v>16</v>
      </c>
      <c r="C57" s="452" t="s">
        <v>16</v>
      </c>
      <c r="D57" s="453" t="s">
        <v>70</v>
      </c>
      <c r="E57" s="454" t="s">
        <v>16</v>
      </c>
      <c r="F57" s="454" t="s">
        <v>16</v>
      </c>
      <c r="G57" s="455">
        <f t="shared" si="0"/>
        <v>22812451</v>
      </c>
      <c r="H57" s="455">
        <f>H58</f>
        <v>22812451</v>
      </c>
      <c r="I57" s="455">
        <f>I58</f>
        <v>0</v>
      </c>
      <c r="J57" s="456">
        <f>J58</f>
        <v>0</v>
      </c>
    </row>
    <row r="58" spans="1:10" ht="45" customHeight="1" x14ac:dyDescent="0.25">
      <c r="A58" s="491" t="s">
        <v>71</v>
      </c>
      <c r="B58" s="492" t="s">
        <v>16</v>
      </c>
      <c r="C58" s="492" t="s">
        <v>16</v>
      </c>
      <c r="D58" s="459" t="s">
        <v>70</v>
      </c>
      <c r="E58" s="460" t="s">
        <v>16</v>
      </c>
      <c r="F58" s="460" t="s">
        <v>16</v>
      </c>
      <c r="G58" s="461">
        <f>H58+I58</f>
        <v>22812451</v>
      </c>
      <c r="H58" s="461">
        <f>H59+H60+H61+H64+H62+H63</f>
        <v>22812451</v>
      </c>
      <c r="I58" s="461">
        <f>I59+I60+I64</f>
        <v>0</v>
      </c>
      <c r="J58" s="472">
        <f>J59+J60+J64</f>
        <v>0</v>
      </c>
    </row>
    <row r="59" spans="1:10" ht="93.6" x14ac:dyDescent="0.25">
      <c r="A59" s="409" t="s">
        <v>72</v>
      </c>
      <c r="B59" s="462" t="s">
        <v>73</v>
      </c>
      <c r="C59" s="462" t="s">
        <v>74</v>
      </c>
      <c r="D59" s="473" t="s">
        <v>75</v>
      </c>
      <c r="E59" s="463" t="s">
        <v>241</v>
      </c>
      <c r="F59" s="463" t="s">
        <v>395</v>
      </c>
      <c r="G59" s="464">
        <f t="shared" si="0"/>
        <v>12750</v>
      </c>
      <c r="H59" s="464">
        <v>12750</v>
      </c>
      <c r="I59" s="464">
        <v>0</v>
      </c>
      <c r="J59" s="474">
        <v>0</v>
      </c>
    </row>
    <row r="60" spans="1:10" ht="93.6" x14ac:dyDescent="0.25">
      <c r="A60" s="409" t="s">
        <v>76</v>
      </c>
      <c r="B60" s="462" t="s">
        <v>77</v>
      </c>
      <c r="C60" s="462" t="s">
        <v>55</v>
      </c>
      <c r="D60" s="473" t="s">
        <v>78</v>
      </c>
      <c r="E60" s="463" t="s">
        <v>241</v>
      </c>
      <c r="F60" s="463" t="s">
        <v>395</v>
      </c>
      <c r="G60" s="464">
        <f t="shared" si="0"/>
        <v>8400</v>
      </c>
      <c r="H60" s="464">
        <v>8400</v>
      </c>
      <c r="I60" s="464">
        <v>0</v>
      </c>
      <c r="J60" s="474">
        <v>0</v>
      </c>
    </row>
    <row r="61" spans="1:10" ht="93.6" x14ac:dyDescent="0.25">
      <c r="A61" s="467" t="s">
        <v>188</v>
      </c>
      <c r="B61" s="462">
        <v>3105</v>
      </c>
      <c r="C61" s="462">
        <v>1010</v>
      </c>
      <c r="D61" s="473" t="s">
        <v>190</v>
      </c>
      <c r="E61" s="463" t="s">
        <v>389</v>
      </c>
      <c r="F61" s="463" t="s">
        <v>390</v>
      </c>
      <c r="G61" s="464">
        <f t="shared" si="0"/>
        <v>12401</v>
      </c>
      <c r="H61" s="464">
        <v>12401</v>
      </c>
      <c r="I61" s="464">
        <v>0</v>
      </c>
      <c r="J61" s="474">
        <v>0</v>
      </c>
    </row>
    <row r="62" spans="1:10" ht="62.4" x14ac:dyDescent="0.25">
      <c r="A62" s="409">
        <v>813241</v>
      </c>
      <c r="B62" s="462">
        <v>3241</v>
      </c>
      <c r="C62" s="462">
        <v>1090</v>
      </c>
      <c r="D62" s="473" t="s">
        <v>196</v>
      </c>
      <c r="E62" s="463" t="s">
        <v>155</v>
      </c>
      <c r="F62" s="463" t="s">
        <v>396</v>
      </c>
      <c r="G62" s="464">
        <f t="shared" si="0"/>
        <v>71000</v>
      </c>
      <c r="H62" s="464">
        <v>71000</v>
      </c>
      <c r="I62" s="464">
        <v>0</v>
      </c>
      <c r="J62" s="474">
        <v>0</v>
      </c>
    </row>
    <row r="63" spans="1:10" ht="66" customHeight="1" x14ac:dyDescent="0.25">
      <c r="A63" s="409" t="s">
        <v>80</v>
      </c>
      <c r="B63" s="462" t="s">
        <v>81</v>
      </c>
      <c r="C63" s="462" t="s">
        <v>79</v>
      </c>
      <c r="D63" s="473" t="s">
        <v>82</v>
      </c>
      <c r="E63" s="463" t="s">
        <v>247</v>
      </c>
      <c r="F63" s="463" t="s">
        <v>542</v>
      </c>
      <c r="G63" s="464">
        <f t="shared" si="0"/>
        <v>20407900</v>
      </c>
      <c r="H63" s="464">
        <f>16607900+1000000+1600000+1200000</f>
        <v>20407900</v>
      </c>
      <c r="I63" s="464">
        <v>0</v>
      </c>
      <c r="J63" s="474">
        <v>0</v>
      </c>
    </row>
    <row r="64" spans="1:10" ht="125.4" thickBot="1" x14ac:dyDescent="0.3">
      <c r="A64" s="483" t="s">
        <v>80</v>
      </c>
      <c r="B64" s="476" t="s">
        <v>81</v>
      </c>
      <c r="C64" s="476" t="s">
        <v>79</v>
      </c>
      <c r="D64" s="478" t="s">
        <v>82</v>
      </c>
      <c r="E64" s="480" t="s">
        <v>242</v>
      </c>
      <c r="F64" s="463" t="s">
        <v>391</v>
      </c>
      <c r="G64" s="481">
        <f t="shared" si="0"/>
        <v>2300000</v>
      </c>
      <c r="H64" s="481">
        <f>1800000+500000</f>
        <v>2300000</v>
      </c>
      <c r="I64" s="481">
        <v>0</v>
      </c>
      <c r="J64" s="482">
        <v>0</v>
      </c>
    </row>
    <row r="65" spans="1:10" ht="60" customHeight="1" thickBot="1" x14ac:dyDescent="0.3">
      <c r="A65" s="451" t="s">
        <v>83</v>
      </c>
      <c r="B65" s="452" t="s">
        <v>16</v>
      </c>
      <c r="C65" s="452" t="s">
        <v>16</v>
      </c>
      <c r="D65" s="453" t="s">
        <v>84</v>
      </c>
      <c r="E65" s="454" t="s">
        <v>16</v>
      </c>
      <c r="F65" s="454" t="s">
        <v>16</v>
      </c>
      <c r="G65" s="455">
        <f t="shared" si="0"/>
        <v>32000</v>
      </c>
      <c r="H65" s="455">
        <f t="shared" ref="H65:J66" si="2">H66</f>
        <v>32000</v>
      </c>
      <c r="I65" s="455">
        <f t="shared" si="2"/>
        <v>0</v>
      </c>
      <c r="J65" s="456">
        <f t="shared" si="2"/>
        <v>0</v>
      </c>
    </row>
    <row r="66" spans="1:10" ht="46.8" x14ac:dyDescent="0.25">
      <c r="A66" s="457" t="s">
        <v>85</v>
      </c>
      <c r="B66" s="458" t="s">
        <v>16</v>
      </c>
      <c r="C66" s="458" t="s">
        <v>16</v>
      </c>
      <c r="D66" s="495" t="s">
        <v>84</v>
      </c>
      <c r="E66" s="496" t="s">
        <v>16</v>
      </c>
      <c r="F66" s="496" t="s">
        <v>16</v>
      </c>
      <c r="G66" s="497">
        <f>H66+I66</f>
        <v>32000</v>
      </c>
      <c r="H66" s="497">
        <f t="shared" si="2"/>
        <v>32000</v>
      </c>
      <c r="I66" s="497">
        <f t="shared" si="2"/>
        <v>0</v>
      </c>
      <c r="J66" s="498">
        <f t="shared" si="2"/>
        <v>0</v>
      </c>
    </row>
    <row r="67" spans="1:10" ht="63" thickBot="1" x14ac:dyDescent="0.3">
      <c r="A67" s="499" t="s">
        <v>86</v>
      </c>
      <c r="B67" s="724" t="s">
        <v>87</v>
      </c>
      <c r="C67" s="724" t="s">
        <v>68</v>
      </c>
      <c r="D67" s="500" t="s">
        <v>88</v>
      </c>
      <c r="E67" s="501" t="s">
        <v>234</v>
      </c>
      <c r="F67" s="501" t="s">
        <v>397</v>
      </c>
      <c r="G67" s="502">
        <f>H67</f>
        <v>32000</v>
      </c>
      <c r="H67" s="502">
        <v>32000</v>
      </c>
      <c r="I67" s="502">
        <v>0</v>
      </c>
      <c r="J67" s="503">
        <v>0</v>
      </c>
    </row>
    <row r="68" spans="1:10" ht="63" thickBot="1" x14ac:dyDescent="0.3">
      <c r="A68" s="451" t="s">
        <v>89</v>
      </c>
      <c r="B68" s="452" t="s">
        <v>16</v>
      </c>
      <c r="C68" s="452" t="s">
        <v>16</v>
      </c>
      <c r="D68" s="453" t="s">
        <v>90</v>
      </c>
      <c r="E68" s="454" t="s">
        <v>16</v>
      </c>
      <c r="F68" s="454" t="s">
        <v>16</v>
      </c>
      <c r="G68" s="455">
        <f t="shared" si="0"/>
        <v>34095476</v>
      </c>
      <c r="H68" s="455">
        <f>H69</f>
        <v>32501476</v>
      </c>
      <c r="I68" s="455">
        <f>I69</f>
        <v>1594000</v>
      </c>
      <c r="J68" s="456">
        <f>J69</f>
        <v>1594000</v>
      </c>
    </row>
    <row r="69" spans="1:10" ht="62.4" x14ac:dyDescent="0.25">
      <c r="A69" s="491" t="s">
        <v>91</v>
      </c>
      <c r="B69" s="492" t="s">
        <v>16</v>
      </c>
      <c r="C69" s="492" t="s">
        <v>16</v>
      </c>
      <c r="D69" s="459" t="s">
        <v>90</v>
      </c>
      <c r="E69" s="460" t="s">
        <v>16</v>
      </c>
      <c r="F69" s="460" t="s">
        <v>16</v>
      </c>
      <c r="G69" s="461">
        <f>H69+I69</f>
        <v>34095476</v>
      </c>
      <c r="H69" s="461">
        <f>H70+H72+H73+H74+H75+H76+H77+H78+H80+H81+H79+H82+H71</f>
        <v>32501476</v>
      </c>
      <c r="I69" s="461">
        <f>I70+I72+I73+I74+I75+I76+I77+I78+I80+I81+I79</f>
        <v>1594000</v>
      </c>
      <c r="J69" s="472">
        <f>J70+J72+J73+J74+J75+J76+J77+J78+J80+J81+J79</f>
        <v>1594000</v>
      </c>
    </row>
    <row r="70" spans="1:10" ht="62.4" x14ac:dyDescent="0.25">
      <c r="A70" s="409" t="s">
        <v>92</v>
      </c>
      <c r="B70" s="462" t="s">
        <v>93</v>
      </c>
      <c r="C70" s="462" t="s">
        <v>56</v>
      </c>
      <c r="D70" s="473" t="s">
        <v>94</v>
      </c>
      <c r="E70" s="765" t="s">
        <v>156</v>
      </c>
      <c r="F70" s="463" t="s">
        <v>577</v>
      </c>
      <c r="G70" s="464">
        <f t="shared" si="0"/>
        <v>22500</v>
      </c>
      <c r="H70" s="464">
        <v>22500</v>
      </c>
      <c r="I70" s="464">
        <v>0</v>
      </c>
      <c r="J70" s="474">
        <v>0</v>
      </c>
    </row>
    <row r="71" spans="1:10" ht="62.4" x14ac:dyDescent="0.25">
      <c r="A71" s="409" t="s">
        <v>95</v>
      </c>
      <c r="B71" s="462" t="s">
        <v>96</v>
      </c>
      <c r="C71" s="462" t="s">
        <v>68</v>
      </c>
      <c r="D71" s="473" t="s">
        <v>97</v>
      </c>
      <c r="E71" s="463" t="s">
        <v>261</v>
      </c>
      <c r="F71" s="463" t="s">
        <v>277</v>
      </c>
      <c r="G71" s="464">
        <f t="shared" si="0"/>
        <v>29026</v>
      </c>
      <c r="H71" s="464">
        <v>29026</v>
      </c>
      <c r="I71" s="464">
        <v>0</v>
      </c>
      <c r="J71" s="474">
        <v>0</v>
      </c>
    </row>
    <row r="72" spans="1:10" ht="62.4" x14ac:dyDescent="0.25">
      <c r="A72" s="409" t="s">
        <v>95</v>
      </c>
      <c r="B72" s="462" t="s">
        <v>96</v>
      </c>
      <c r="C72" s="462" t="s">
        <v>68</v>
      </c>
      <c r="D72" s="473" t="s">
        <v>97</v>
      </c>
      <c r="E72" s="463" t="s">
        <v>155</v>
      </c>
      <c r="F72" s="463" t="s">
        <v>398</v>
      </c>
      <c r="G72" s="464">
        <f t="shared" si="0"/>
        <v>211500</v>
      </c>
      <c r="H72" s="464">
        <v>211500</v>
      </c>
      <c r="I72" s="464">
        <v>0</v>
      </c>
      <c r="J72" s="474">
        <v>0</v>
      </c>
    </row>
    <row r="73" spans="1:10" ht="62.4" x14ac:dyDescent="0.25">
      <c r="A73" s="409" t="s">
        <v>98</v>
      </c>
      <c r="B73" s="462" t="s">
        <v>99</v>
      </c>
      <c r="C73" s="462" t="s">
        <v>100</v>
      </c>
      <c r="D73" s="473" t="s">
        <v>101</v>
      </c>
      <c r="E73" s="463" t="s">
        <v>156</v>
      </c>
      <c r="F73" s="463" t="s">
        <v>577</v>
      </c>
      <c r="G73" s="464">
        <f t="shared" si="0"/>
        <v>8000</v>
      </c>
      <c r="H73" s="464">
        <v>8000</v>
      </c>
      <c r="I73" s="464">
        <v>0</v>
      </c>
      <c r="J73" s="474">
        <v>0</v>
      </c>
    </row>
    <row r="74" spans="1:10" ht="69.599999999999994" customHeight="1" x14ac:dyDescent="0.25">
      <c r="A74" s="409" t="s">
        <v>102</v>
      </c>
      <c r="B74" s="462" t="s">
        <v>103</v>
      </c>
      <c r="C74" s="462" t="s">
        <v>100</v>
      </c>
      <c r="D74" s="473" t="s">
        <v>104</v>
      </c>
      <c r="E74" s="463" t="s">
        <v>156</v>
      </c>
      <c r="F74" s="463" t="s">
        <v>577</v>
      </c>
      <c r="G74" s="464">
        <f t="shared" si="0"/>
        <v>3000</v>
      </c>
      <c r="H74" s="464">
        <v>3000</v>
      </c>
      <c r="I74" s="464">
        <v>0</v>
      </c>
      <c r="J74" s="474">
        <v>0</v>
      </c>
    </row>
    <row r="75" spans="1:10" ht="63" customHeight="1" x14ac:dyDescent="0.25">
      <c r="A75" s="409" t="s">
        <v>105</v>
      </c>
      <c r="B75" s="462" t="s">
        <v>106</v>
      </c>
      <c r="C75" s="462" t="s">
        <v>107</v>
      </c>
      <c r="D75" s="473" t="s">
        <v>108</v>
      </c>
      <c r="E75" s="463" t="s">
        <v>156</v>
      </c>
      <c r="F75" s="463" t="s">
        <v>577</v>
      </c>
      <c r="G75" s="464">
        <f t="shared" si="0"/>
        <v>25700</v>
      </c>
      <c r="H75" s="464">
        <v>25700</v>
      </c>
      <c r="I75" s="464">
        <v>0</v>
      </c>
      <c r="J75" s="474">
        <v>0</v>
      </c>
    </row>
    <row r="76" spans="1:10" ht="69" customHeight="1" x14ac:dyDescent="0.25">
      <c r="A76" s="409" t="s">
        <v>110</v>
      </c>
      <c r="B76" s="462" t="s">
        <v>111</v>
      </c>
      <c r="C76" s="462" t="s">
        <v>109</v>
      </c>
      <c r="D76" s="473" t="s">
        <v>112</v>
      </c>
      <c r="E76" s="463" t="s">
        <v>156</v>
      </c>
      <c r="F76" s="463" t="s">
        <v>577</v>
      </c>
      <c r="G76" s="464">
        <f t="shared" si="0"/>
        <v>194000</v>
      </c>
      <c r="H76" s="464">
        <v>194000</v>
      </c>
      <c r="I76" s="464">
        <v>0</v>
      </c>
      <c r="J76" s="474">
        <v>0</v>
      </c>
    </row>
    <row r="77" spans="1:10" ht="63.6" customHeight="1" x14ac:dyDescent="0.25">
      <c r="A77" s="409" t="s">
        <v>113</v>
      </c>
      <c r="B77" s="462" t="s">
        <v>114</v>
      </c>
      <c r="C77" s="462" t="s">
        <v>115</v>
      </c>
      <c r="D77" s="473" t="s">
        <v>116</v>
      </c>
      <c r="E77" s="463" t="s">
        <v>237</v>
      </c>
      <c r="F77" s="463" t="s">
        <v>568</v>
      </c>
      <c r="G77" s="464">
        <f t="shared" si="0"/>
        <v>32750</v>
      </c>
      <c r="H77" s="464">
        <v>32750</v>
      </c>
      <c r="I77" s="464">
        <v>0</v>
      </c>
      <c r="J77" s="474">
        <v>0</v>
      </c>
    </row>
    <row r="78" spans="1:10" ht="67.95" customHeight="1" x14ac:dyDescent="0.25">
      <c r="A78" s="409" t="s">
        <v>117</v>
      </c>
      <c r="B78" s="462" t="s">
        <v>118</v>
      </c>
      <c r="C78" s="462" t="s">
        <v>115</v>
      </c>
      <c r="D78" s="473" t="s">
        <v>119</v>
      </c>
      <c r="E78" s="463" t="s">
        <v>237</v>
      </c>
      <c r="F78" s="463" t="s">
        <v>568</v>
      </c>
      <c r="G78" s="464">
        <f t="shared" si="0"/>
        <v>1667729</v>
      </c>
      <c r="H78" s="464">
        <f>1010000+495330+162399</f>
        <v>1667729</v>
      </c>
      <c r="I78" s="464">
        <v>0</v>
      </c>
      <c r="J78" s="474">
        <v>0</v>
      </c>
    </row>
    <row r="79" spans="1:10" s="580" customFormat="1" ht="62.4" x14ac:dyDescent="0.3">
      <c r="A79" s="504">
        <v>1015041</v>
      </c>
      <c r="B79" s="505">
        <v>5041</v>
      </c>
      <c r="C79" s="505" t="s">
        <v>115</v>
      </c>
      <c r="D79" s="506" t="s">
        <v>160</v>
      </c>
      <c r="E79" s="463" t="s">
        <v>237</v>
      </c>
      <c r="F79" s="463" t="s">
        <v>568</v>
      </c>
      <c r="G79" s="464">
        <f t="shared" si="0"/>
        <v>30042040</v>
      </c>
      <c r="H79" s="464">
        <f>25268036+3180004</f>
        <v>28448040</v>
      </c>
      <c r="I79" s="464">
        <v>1594000</v>
      </c>
      <c r="J79" s="474">
        <f>0+1594000</f>
        <v>1594000</v>
      </c>
    </row>
    <row r="80" spans="1:10" ht="78" x14ac:dyDescent="0.25">
      <c r="A80" s="409" t="s">
        <v>120</v>
      </c>
      <c r="B80" s="462" t="s">
        <v>121</v>
      </c>
      <c r="C80" s="462" t="s">
        <v>115</v>
      </c>
      <c r="D80" s="473" t="s">
        <v>122</v>
      </c>
      <c r="E80" s="463" t="s">
        <v>237</v>
      </c>
      <c r="F80" s="463" t="s">
        <v>568</v>
      </c>
      <c r="G80" s="464">
        <f t="shared" si="0"/>
        <v>1190931</v>
      </c>
      <c r="H80" s="464">
        <v>1190931</v>
      </c>
      <c r="I80" s="464">
        <v>0</v>
      </c>
      <c r="J80" s="474">
        <v>0</v>
      </c>
    </row>
    <row r="81" spans="1:10" ht="67.95" customHeight="1" x14ac:dyDescent="0.25">
      <c r="A81" s="409" t="s">
        <v>123</v>
      </c>
      <c r="B81" s="462" t="s">
        <v>124</v>
      </c>
      <c r="C81" s="462" t="s">
        <v>115</v>
      </c>
      <c r="D81" s="473" t="s">
        <v>125</v>
      </c>
      <c r="E81" s="463" t="s">
        <v>237</v>
      </c>
      <c r="F81" s="463" t="s">
        <v>568</v>
      </c>
      <c r="G81" s="464">
        <f>H81+I81</f>
        <v>566000</v>
      </c>
      <c r="H81" s="464">
        <f>558000-120000+128000</f>
        <v>566000</v>
      </c>
      <c r="I81" s="464">
        <v>0</v>
      </c>
      <c r="J81" s="474">
        <v>0</v>
      </c>
    </row>
    <row r="82" spans="1:10" ht="63" thickBot="1" x14ac:dyDescent="0.3">
      <c r="A82" s="449">
        <v>1018110</v>
      </c>
      <c r="B82" s="487">
        <v>8110</v>
      </c>
      <c r="C82" s="487" t="s">
        <v>238</v>
      </c>
      <c r="D82" s="507" t="s">
        <v>239</v>
      </c>
      <c r="E82" s="479" t="s">
        <v>240</v>
      </c>
      <c r="F82" s="37" t="s">
        <v>541</v>
      </c>
      <c r="G82" s="464">
        <f t="shared" si="0"/>
        <v>102300</v>
      </c>
      <c r="H82" s="493">
        <f>102300-100800+100800</f>
        <v>102300</v>
      </c>
      <c r="I82" s="493">
        <v>0</v>
      </c>
      <c r="J82" s="490">
        <v>0</v>
      </c>
    </row>
    <row r="83" spans="1:10" ht="63" thickBot="1" x14ac:dyDescent="0.3">
      <c r="A83" s="451" t="s">
        <v>126</v>
      </c>
      <c r="B83" s="452" t="s">
        <v>16</v>
      </c>
      <c r="C83" s="452" t="s">
        <v>16</v>
      </c>
      <c r="D83" s="453" t="s">
        <v>127</v>
      </c>
      <c r="E83" s="454" t="s">
        <v>16</v>
      </c>
      <c r="F83" s="454" t="s">
        <v>16</v>
      </c>
      <c r="G83" s="455">
        <f>H83+I83</f>
        <v>76611210</v>
      </c>
      <c r="H83" s="455">
        <f>H84</f>
        <v>65827110</v>
      </c>
      <c r="I83" s="455">
        <f>I84</f>
        <v>10784100</v>
      </c>
      <c r="J83" s="456">
        <f>J84</f>
        <v>10424500</v>
      </c>
    </row>
    <row r="84" spans="1:10" ht="61.5" customHeight="1" x14ac:dyDescent="0.25">
      <c r="A84" s="508">
        <v>1210000</v>
      </c>
      <c r="B84" s="458" t="s">
        <v>16</v>
      </c>
      <c r="C84" s="458" t="s">
        <v>16</v>
      </c>
      <c r="D84" s="495" t="s">
        <v>127</v>
      </c>
      <c r="E84" s="496" t="s">
        <v>16</v>
      </c>
      <c r="F84" s="496" t="s">
        <v>16</v>
      </c>
      <c r="G84" s="497">
        <f>H84+I84</f>
        <v>76611210</v>
      </c>
      <c r="H84" s="497">
        <f>H85+H86+H87+H89+H92+H93+H96+H94+H90+H91+H95</f>
        <v>65827110</v>
      </c>
      <c r="I84" s="497">
        <f>I85+I86+I87+I89+I92+I93+I96+I90+I91+I88</f>
        <v>10784100</v>
      </c>
      <c r="J84" s="498">
        <f>J85+J86+J87+J89+J92+J93+J96+J90+J91+J88</f>
        <v>10424500</v>
      </c>
    </row>
    <row r="85" spans="1:10" ht="62.4" x14ac:dyDescent="0.25">
      <c r="A85" s="409" t="s">
        <v>130</v>
      </c>
      <c r="B85" s="462" t="s">
        <v>131</v>
      </c>
      <c r="C85" s="462" t="s">
        <v>132</v>
      </c>
      <c r="D85" s="473" t="s">
        <v>133</v>
      </c>
      <c r="E85" s="463" t="s">
        <v>157</v>
      </c>
      <c r="F85" s="463" t="s">
        <v>570</v>
      </c>
      <c r="G85" s="464">
        <f t="shared" si="0"/>
        <v>8474</v>
      </c>
      <c r="H85" s="464">
        <v>8474</v>
      </c>
      <c r="I85" s="464">
        <v>0</v>
      </c>
      <c r="J85" s="474">
        <v>0</v>
      </c>
    </row>
    <row r="86" spans="1:10" ht="62.4" x14ac:dyDescent="0.25">
      <c r="A86" s="409">
        <v>1216012</v>
      </c>
      <c r="B86" s="462">
        <v>6012</v>
      </c>
      <c r="C86" s="468" t="s">
        <v>28</v>
      </c>
      <c r="D86" s="469" t="s">
        <v>243</v>
      </c>
      <c r="E86" s="463" t="s">
        <v>157</v>
      </c>
      <c r="F86" s="463" t="s">
        <v>570</v>
      </c>
      <c r="G86" s="464">
        <f t="shared" si="0"/>
        <v>5671150</v>
      </c>
      <c r="H86" s="464">
        <f>13000000-7328850</f>
        <v>5671150</v>
      </c>
      <c r="I86" s="464">
        <v>0</v>
      </c>
      <c r="J86" s="474">
        <v>0</v>
      </c>
    </row>
    <row r="87" spans="1:10" ht="62.4" x14ac:dyDescent="0.25">
      <c r="A87" s="409">
        <v>1216013</v>
      </c>
      <c r="B87" s="462" t="s">
        <v>135</v>
      </c>
      <c r="C87" s="462" t="s">
        <v>28</v>
      </c>
      <c r="D87" s="473" t="s">
        <v>136</v>
      </c>
      <c r="E87" s="463" t="s">
        <v>157</v>
      </c>
      <c r="F87" s="463" t="s">
        <v>570</v>
      </c>
      <c r="G87" s="464">
        <f t="shared" si="0"/>
        <v>1231641</v>
      </c>
      <c r="H87" s="464">
        <v>1231641</v>
      </c>
      <c r="I87" s="799">
        <v>0</v>
      </c>
      <c r="J87" s="650">
        <f>I87</f>
        <v>0</v>
      </c>
    </row>
    <row r="88" spans="1:10" ht="62.4" x14ac:dyDescent="0.25">
      <c r="A88" s="409">
        <v>1216014</v>
      </c>
      <c r="B88" s="462">
        <v>6014</v>
      </c>
      <c r="C88" s="462" t="s">
        <v>28</v>
      </c>
      <c r="D88" s="473" t="s">
        <v>356</v>
      </c>
      <c r="E88" s="463" t="s">
        <v>157</v>
      </c>
      <c r="F88" s="463" t="s">
        <v>570</v>
      </c>
      <c r="G88" s="464">
        <f t="shared" si="0"/>
        <v>5400000</v>
      </c>
      <c r="H88" s="464">
        <v>0</v>
      </c>
      <c r="I88" s="464">
        <v>5400000</v>
      </c>
      <c r="J88" s="474">
        <v>5400000</v>
      </c>
    </row>
    <row r="89" spans="1:10" ht="75" customHeight="1" x14ac:dyDescent="0.25">
      <c r="A89" s="409" t="s">
        <v>137</v>
      </c>
      <c r="B89" s="462" t="s">
        <v>27</v>
      </c>
      <c r="C89" s="462" t="s">
        <v>28</v>
      </c>
      <c r="D89" s="473" t="s">
        <v>29</v>
      </c>
      <c r="E89" s="463" t="s">
        <v>157</v>
      </c>
      <c r="F89" s="463" t="s">
        <v>570</v>
      </c>
      <c r="G89" s="464">
        <f t="shared" si="0"/>
        <v>51723690</v>
      </c>
      <c r="H89" s="464">
        <f>35374609+45564+6418944-6418944+478735+692416+1808000+8364366-64500</f>
        <v>46699190</v>
      </c>
      <c r="I89" s="464">
        <f>J89</f>
        <v>5024500</v>
      </c>
      <c r="J89" s="474">
        <f>0+4960000+64500</f>
        <v>5024500</v>
      </c>
    </row>
    <row r="90" spans="1:10" ht="62.4" x14ac:dyDescent="0.25">
      <c r="A90" s="409" t="s">
        <v>137</v>
      </c>
      <c r="B90" s="462" t="s">
        <v>27</v>
      </c>
      <c r="C90" s="462" t="s">
        <v>28</v>
      </c>
      <c r="D90" s="473" t="s">
        <v>29</v>
      </c>
      <c r="E90" s="463" t="s">
        <v>251</v>
      </c>
      <c r="F90" s="463" t="s">
        <v>508</v>
      </c>
      <c r="G90" s="464">
        <f t="shared" si="0"/>
        <v>721500</v>
      </c>
      <c r="H90" s="471">
        <f>0+721500</f>
        <v>721500</v>
      </c>
      <c r="I90" s="464">
        <v>0</v>
      </c>
      <c r="J90" s="474">
        <v>0</v>
      </c>
    </row>
    <row r="91" spans="1:10" ht="62.4" x14ac:dyDescent="0.25">
      <c r="A91" s="409" t="s">
        <v>137</v>
      </c>
      <c r="B91" s="462" t="s">
        <v>27</v>
      </c>
      <c r="C91" s="462" t="s">
        <v>28</v>
      </c>
      <c r="D91" s="473" t="s">
        <v>29</v>
      </c>
      <c r="E91" s="463" t="s">
        <v>498</v>
      </c>
      <c r="F91" s="463" t="s">
        <v>499</v>
      </c>
      <c r="G91" s="464">
        <f t="shared" si="0"/>
        <v>127967</v>
      </c>
      <c r="H91" s="471">
        <f>0+127967</f>
        <v>127967</v>
      </c>
      <c r="I91" s="464">
        <v>0</v>
      </c>
      <c r="J91" s="474">
        <v>0</v>
      </c>
    </row>
    <row r="92" spans="1:10" ht="171.6" x14ac:dyDescent="0.25">
      <c r="A92" s="409">
        <v>1216071</v>
      </c>
      <c r="B92" s="462">
        <v>6071</v>
      </c>
      <c r="C92" s="468" t="s">
        <v>278</v>
      </c>
      <c r="D92" s="473" t="s">
        <v>276</v>
      </c>
      <c r="E92" s="463" t="s">
        <v>157</v>
      </c>
      <c r="F92" s="463" t="s">
        <v>570</v>
      </c>
      <c r="G92" s="464">
        <f t="shared" si="0"/>
        <v>7164584</v>
      </c>
      <c r="H92" s="464">
        <f>0+7328850+956519-1120785</f>
        <v>7164584</v>
      </c>
      <c r="I92" s="464">
        <v>0</v>
      </c>
      <c r="J92" s="474">
        <v>0</v>
      </c>
    </row>
    <row r="93" spans="1:10" ht="62.4" x14ac:dyDescent="0.25">
      <c r="A93" s="504" t="s">
        <v>138</v>
      </c>
      <c r="B93" s="505" t="s">
        <v>139</v>
      </c>
      <c r="C93" s="505" t="s">
        <v>140</v>
      </c>
      <c r="D93" s="506" t="s">
        <v>141</v>
      </c>
      <c r="E93" s="470" t="s">
        <v>157</v>
      </c>
      <c r="F93" s="463" t="s">
        <v>570</v>
      </c>
      <c r="G93" s="471">
        <f t="shared" si="0"/>
        <v>2980221</v>
      </c>
      <c r="H93" s="471">
        <f>2286103+347845+379273-33000</f>
        <v>2980221</v>
      </c>
      <c r="I93" s="464">
        <v>0</v>
      </c>
      <c r="J93" s="474">
        <v>0</v>
      </c>
    </row>
    <row r="94" spans="1:10" ht="62.4" x14ac:dyDescent="0.25">
      <c r="A94" s="449">
        <v>1217693</v>
      </c>
      <c r="B94" s="450">
        <v>7693</v>
      </c>
      <c r="C94" s="477" t="s">
        <v>177</v>
      </c>
      <c r="D94" s="480" t="s">
        <v>353</v>
      </c>
      <c r="E94" s="463" t="s">
        <v>157</v>
      </c>
      <c r="F94" s="463" t="s">
        <v>570</v>
      </c>
      <c r="G94" s="471">
        <f t="shared" ref="G94:G96" si="3">H94+I94</f>
        <v>1138325</v>
      </c>
      <c r="H94" s="464">
        <f>0+1236594-98269</f>
        <v>1138325</v>
      </c>
      <c r="I94" s="481">
        <v>0</v>
      </c>
      <c r="J94" s="482">
        <v>0</v>
      </c>
    </row>
    <row r="95" spans="1:10" ht="96" customHeight="1" x14ac:dyDescent="0.25">
      <c r="A95" s="516" t="s">
        <v>548</v>
      </c>
      <c r="B95" s="476">
        <v>8240</v>
      </c>
      <c r="C95" s="477" t="s">
        <v>36</v>
      </c>
      <c r="D95" s="478" t="s">
        <v>543</v>
      </c>
      <c r="E95" s="634" t="s">
        <v>358</v>
      </c>
      <c r="F95" s="480" t="s">
        <v>555</v>
      </c>
      <c r="G95" s="471">
        <f t="shared" si="3"/>
        <v>84058</v>
      </c>
      <c r="H95" s="493">
        <f>58682+25376</f>
        <v>84058</v>
      </c>
      <c r="I95" s="481">
        <v>0</v>
      </c>
      <c r="J95" s="482">
        <v>0</v>
      </c>
    </row>
    <row r="96" spans="1:10" ht="64.5" customHeight="1" thickBot="1" x14ac:dyDescent="0.3">
      <c r="A96" s="483" t="s">
        <v>142</v>
      </c>
      <c r="B96" s="476" t="s">
        <v>143</v>
      </c>
      <c r="C96" s="476" t="s">
        <v>144</v>
      </c>
      <c r="D96" s="478" t="s">
        <v>145</v>
      </c>
      <c r="E96" s="480" t="s">
        <v>399</v>
      </c>
      <c r="F96" s="510" t="s">
        <v>248</v>
      </c>
      <c r="G96" s="481">
        <f t="shared" si="3"/>
        <v>359600</v>
      </c>
      <c r="H96" s="481">
        <v>0</v>
      </c>
      <c r="I96" s="481">
        <v>359600</v>
      </c>
      <c r="J96" s="482">
        <v>0</v>
      </c>
    </row>
    <row r="97" spans="1:10" ht="63.75" customHeight="1" thickBot="1" x14ac:dyDescent="0.3">
      <c r="A97" s="451" t="s">
        <v>146</v>
      </c>
      <c r="B97" s="452" t="s">
        <v>16</v>
      </c>
      <c r="C97" s="452" t="s">
        <v>16</v>
      </c>
      <c r="D97" s="453" t="s">
        <v>147</v>
      </c>
      <c r="E97" s="454" t="s">
        <v>16</v>
      </c>
      <c r="F97" s="454" t="s">
        <v>16</v>
      </c>
      <c r="G97" s="455">
        <f>H97+I97</f>
        <v>118059507</v>
      </c>
      <c r="H97" s="455">
        <f>H98</f>
        <v>0</v>
      </c>
      <c r="I97" s="455">
        <f>I98</f>
        <v>118059507</v>
      </c>
      <c r="J97" s="456">
        <f>J98</f>
        <v>118059507</v>
      </c>
    </row>
    <row r="98" spans="1:10" ht="61.5" customHeight="1" x14ac:dyDescent="0.25">
      <c r="A98" s="511">
        <v>1510000</v>
      </c>
      <c r="B98" s="492" t="s">
        <v>16</v>
      </c>
      <c r="C98" s="492" t="s">
        <v>16</v>
      </c>
      <c r="D98" s="459" t="s">
        <v>147</v>
      </c>
      <c r="E98" s="460" t="s">
        <v>16</v>
      </c>
      <c r="F98" s="460" t="s">
        <v>16</v>
      </c>
      <c r="G98" s="471">
        <f>H98+I98</f>
        <v>118059507</v>
      </c>
      <c r="H98" s="471">
        <f>H101+H104</f>
        <v>0</v>
      </c>
      <c r="I98" s="471">
        <f>I99+I100+I104+I101+I102+I105+I106+I108+I107+J109+I110+I103</f>
        <v>118059507</v>
      </c>
      <c r="J98" s="515">
        <f>J99+J100+J104+J101+J102+J105+J106+J108+J107+J109+J110+J103</f>
        <v>118059507</v>
      </c>
    </row>
    <row r="99" spans="1:10" ht="60" customHeight="1" x14ac:dyDescent="0.25">
      <c r="A99" s="409">
        <v>1511021</v>
      </c>
      <c r="B99" s="652">
        <v>1021</v>
      </c>
      <c r="C99" s="513" t="s">
        <v>52</v>
      </c>
      <c r="D99" s="514" t="s">
        <v>351</v>
      </c>
      <c r="E99" s="463" t="s">
        <v>288</v>
      </c>
      <c r="F99" s="480" t="s">
        <v>571</v>
      </c>
      <c r="G99" s="464">
        <f>H99+J99</f>
        <v>32434652</v>
      </c>
      <c r="H99" s="464">
        <v>0</v>
      </c>
      <c r="I99" s="464">
        <f>J99</f>
        <v>32434652</v>
      </c>
      <c r="J99" s="474">
        <f>0+200000+11205842+268825+4384884+874564+12345379-874564+4389729+618654+258243-896882-388420+48398</f>
        <v>32434652</v>
      </c>
    </row>
    <row r="100" spans="1:10" ht="67.5" customHeight="1" x14ac:dyDescent="0.25">
      <c r="A100" s="504">
        <v>1512010</v>
      </c>
      <c r="B100" s="512">
        <v>2010</v>
      </c>
      <c r="C100" s="513" t="s">
        <v>21</v>
      </c>
      <c r="D100" s="473" t="s">
        <v>22</v>
      </c>
      <c r="E100" s="480" t="s">
        <v>288</v>
      </c>
      <c r="F100" s="480" t="s">
        <v>571</v>
      </c>
      <c r="G100" s="471">
        <f>H100+J100</f>
        <v>103135</v>
      </c>
      <c r="H100" s="471">
        <v>0</v>
      </c>
      <c r="I100" s="471">
        <f>J100</f>
        <v>103135</v>
      </c>
      <c r="J100" s="515">
        <v>103135</v>
      </c>
    </row>
    <row r="101" spans="1:10" s="580" customFormat="1" ht="61.5" customHeight="1" x14ac:dyDescent="0.3">
      <c r="A101" s="222" t="s">
        <v>249</v>
      </c>
      <c r="B101" s="223" t="s">
        <v>106</v>
      </c>
      <c r="C101" s="513" t="s">
        <v>107</v>
      </c>
      <c r="D101" s="514" t="s">
        <v>250</v>
      </c>
      <c r="E101" s="463" t="s">
        <v>251</v>
      </c>
      <c r="F101" s="463" t="s">
        <v>508</v>
      </c>
      <c r="G101" s="471">
        <f t="shared" ref="G101:G110" si="4">H101+J101</f>
        <v>2478809</v>
      </c>
      <c r="H101" s="464">
        <v>0</v>
      </c>
      <c r="I101" s="471">
        <f t="shared" ref="I101:I107" si="5">J101</f>
        <v>2478809</v>
      </c>
      <c r="J101" s="474">
        <f>2295144-694188+1568308-690455</f>
        <v>2478809</v>
      </c>
    </row>
    <row r="102" spans="1:10" s="580" customFormat="1" ht="62.4" x14ac:dyDescent="0.3">
      <c r="A102" s="516" t="s">
        <v>259</v>
      </c>
      <c r="B102" s="517" t="s">
        <v>260</v>
      </c>
      <c r="C102" s="518" t="s">
        <v>28</v>
      </c>
      <c r="D102" s="519" t="s">
        <v>243</v>
      </c>
      <c r="E102" s="463" t="s">
        <v>157</v>
      </c>
      <c r="F102" s="463" t="s">
        <v>570</v>
      </c>
      <c r="G102" s="471">
        <f t="shared" si="4"/>
        <v>35969517</v>
      </c>
      <c r="H102" s="481">
        <v>0</v>
      </c>
      <c r="I102" s="471">
        <f t="shared" si="5"/>
        <v>35969517</v>
      </c>
      <c r="J102" s="649">
        <f>1444539-1444539+1497526+752140+1748351+2894056+1183600+182148+8935634+4000000+187450+10000000+98014+1134373+2704350+651875</f>
        <v>35969517</v>
      </c>
    </row>
    <row r="103" spans="1:10" s="580" customFormat="1" ht="67.95" customHeight="1" x14ac:dyDescent="0.3">
      <c r="A103" s="516" t="s">
        <v>500</v>
      </c>
      <c r="B103" s="517" t="s">
        <v>135</v>
      </c>
      <c r="C103" s="518" t="s">
        <v>28</v>
      </c>
      <c r="D103" s="519" t="s">
        <v>501</v>
      </c>
      <c r="E103" s="463" t="s">
        <v>157</v>
      </c>
      <c r="F103" s="463" t="s">
        <v>570</v>
      </c>
      <c r="G103" s="471">
        <f t="shared" si="4"/>
        <v>22858722</v>
      </c>
      <c r="H103" s="481">
        <v>0</v>
      </c>
      <c r="I103" s="471">
        <f>J103</f>
        <v>22858722</v>
      </c>
      <c r="J103" s="649">
        <f>60000+226222+22572500</f>
        <v>22858722</v>
      </c>
    </row>
    <row r="104" spans="1:10" ht="60" customHeight="1" x14ac:dyDescent="0.25">
      <c r="A104" s="409">
        <v>1516030</v>
      </c>
      <c r="B104" s="462">
        <v>6030</v>
      </c>
      <c r="C104" s="468" t="s">
        <v>28</v>
      </c>
      <c r="D104" s="473" t="s">
        <v>29</v>
      </c>
      <c r="E104" s="463" t="s">
        <v>157</v>
      </c>
      <c r="F104" s="463" t="s">
        <v>570</v>
      </c>
      <c r="G104" s="471">
        <f t="shared" si="4"/>
        <v>6973969</v>
      </c>
      <c r="H104" s="464">
        <v>0</v>
      </c>
      <c r="I104" s="471">
        <f t="shared" si="5"/>
        <v>6973969</v>
      </c>
      <c r="J104" s="650">
        <f>497622+259844+253652+1104357+4003149-93145+549800+153683+67587+177420</f>
        <v>6973969</v>
      </c>
    </row>
    <row r="105" spans="1:10" ht="64.5" customHeight="1" x14ac:dyDescent="0.25">
      <c r="A105" s="409">
        <v>1516030</v>
      </c>
      <c r="B105" s="462">
        <v>6030</v>
      </c>
      <c r="C105" s="468" t="s">
        <v>28</v>
      </c>
      <c r="D105" s="473" t="s">
        <v>29</v>
      </c>
      <c r="E105" s="480" t="s">
        <v>288</v>
      </c>
      <c r="F105" s="480" t="s">
        <v>571</v>
      </c>
      <c r="G105" s="471">
        <f t="shared" si="4"/>
        <v>406558</v>
      </c>
      <c r="H105" s="481">
        <v>0</v>
      </c>
      <c r="I105" s="471">
        <f t="shared" si="5"/>
        <v>406558</v>
      </c>
      <c r="J105" s="482">
        <v>406558</v>
      </c>
    </row>
    <row r="106" spans="1:10" ht="64.5" customHeight="1" x14ac:dyDescent="0.25">
      <c r="A106" s="409" t="s">
        <v>284</v>
      </c>
      <c r="B106" s="462" t="s">
        <v>285</v>
      </c>
      <c r="C106" s="462" t="s">
        <v>286</v>
      </c>
      <c r="D106" s="463" t="s">
        <v>287</v>
      </c>
      <c r="E106" s="463" t="s">
        <v>288</v>
      </c>
      <c r="F106" s="480" t="s">
        <v>571</v>
      </c>
      <c r="G106" s="471">
        <f>H106+J106</f>
        <v>3338727</v>
      </c>
      <c r="H106" s="464">
        <v>0</v>
      </c>
      <c r="I106" s="471">
        <f t="shared" si="5"/>
        <v>3338727</v>
      </c>
      <c r="J106" s="474">
        <f>2138727+49800+1550200-400000</f>
        <v>3338727</v>
      </c>
    </row>
    <row r="107" spans="1:10" ht="61.5" customHeight="1" x14ac:dyDescent="0.25">
      <c r="A107" s="520">
        <v>1517324</v>
      </c>
      <c r="B107" s="476">
        <v>7324</v>
      </c>
      <c r="C107" s="477" t="s">
        <v>286</v>
      </c>
      <c r="D107" s="480" t="s">
        <v>388</v>
      </c>
      <c r="E107" s="463" t="s">
        <v>288</v>
      </c>
      <c r="F107" s="480" t="s">
        <v>571</v>
      </c>
      <c r="G107" s="471">
        <f t="shared" si="4"/>
        <v>1909525</v>
      </c>
      <c r="H107" s="493">
        <v>0</v>
      </c>
      <c r="I107" s="471">
        <f t="shared" si="5"/>
        <v>1909525</v>
      </c>
      <c r="J107" s="490">
        <f>1501526-183812+49950+541861</f>
        <v>1909525</v>
      </c>
    </row>
    <row r="108" spans="1:10" ht="61.5" customHeight="1" x14ac:dyDescent="0.25">
      <c r="A108" s="521">
        <v>1517330</v>
      </c>
      <c r="B108" s="462">
        <v>7330</v>
      </c>
      <c r="C108" s="522" t="s">
        <v>286</v>
      </c>
      <c r="D108" s="514" t="s">
        <v>355</v>
      </c>
      <c r="E108" s="463" t="s">
        <v>288</v>
      </c>
      <c r="F108" s="480" t="s">
        <v>571</v>
      </c>
      <c r="G108" s="471">
        <f t="shared" si="4"/>
        <v>1264018</v>
      </c>
      <c r="H108" s="464">
        <v>0</v>
      </c>
      <c r="I108" s="464">
        <f>1477980-213962</f>
        <v>1264018</v>
      </c>
      <c r="J108" s="474">
        <f t="shared" ref="J108" si="6">I108</f>
        <v>1264018</v>
      </c>
    </row>
    <row r="109" spans="1:10" ht="64.5" customHeight="1" x14ac:dyDescent="0.25">
      <c r="A109" s="521">
        <v>1517461</v>
      </c>
      <c r="B109" s="462">
        <v>7461</v>
      </c>
      <c r="C109" s="462" t="s">
        <v>140</v>
      </c>
      <c r="D109" s="473" t="s">
        <v>141</v>
      </c>
      <c r="E109" s="463" t="s">
        <v>157</v>
      </c>
      <c r="F109" s="463" t="s">
        <v>570</v>
      </c>
      <c r="G109" s="464">
        <f>H109+J109</f>
        <v>4880223</v>
      </c>
      <c r="H109" s="464">
        <v>0</v>
      </c>
      <c r="I109" s="632">
        <f>J109</f>
        <v>4880223</v>
      </c>
      <c r="J109" s="474">
        <f>12000000+6418944-478735+1059791+148634-12000000+531097-2799508</f>
        <v>4880223</v>
      </c>
    </row>
    <row r="110" spans="1:10" ht="67.5" customHeight="1" thickBot="1" x14ac:dyDescent="0.3">
      <c r="A110" s="520">
        <v>1518110</v>
      </c>
      <c r="B110" s="450">
        <v>8110</v>
      </c>
      <c r="C110" s="487" t="s">
        <v>238</v>
      </c>
      <c r="D110" s="651" t="s">
        <v>239</v>
      </c>
      <c r="E110" s="463" t="s">
        <v>516</v>
      </c>
      <c r="F110" s="37" t="s">
        <v>541</v>
      </c>
      <c r="G110" s="464">
        <f t="shared" si="4"/>
        <v>5441652</v>
      </c>
      <c r="H110" s="493">
        <v>0</v>
      </c>
      <c r="I110" s="493">
        <f>J110</f>
        <v>5441652</v>
      </c>
      <c r="J110" s="490">
        <f>0+2042000+3399652</f>
        <v>5441652</v>
      </c>
    </row>
    <row r="111" spans="1:10" ht="47.4" thickBot="1" x14ac:dyDescent="0.3">
      <c r="A111" s="451" t="s">
        <v>205</v>
      </c>
      <c r="B111" s="523"/>
      <c r="C111" s="523"/>
      <c r="D111" s="524" t="s">
        <v>362</v>
      </c>
      <c r="E111" s="525"/>
      <c r="F111" s="525"/>
      <c r="G111" s="455">
        <f>G112</f>
        <v>7113100</v>
      </c>
      <c r="H111" s="455">
        <f t="shared" ref="H111:J111" si="7">H112</f>
        <v>145000</v>
      </c>
      <c r="I111" s="455">
        <f t="shared" si="7"/>
        <v>6968100</v>
      </c>
      <c r="J111" s="456">
        <f t="shared" si="7"/>
        <v>6968100</v>
      </c>
    </row>
    <row r="112" spans="1:10" ht="45.75" customHeight="1" x14ac:dyDescent="0.25">
      <c r="A112" s="508">
        <v>1610000</v>
      </c>
      <c r="B112" s="505"/>
      <c r="C112" s="505"/>
      <c r="D112" s="526" t="s">
        <v>362</v>
      </c>
      <c r="E112" s="470"/>
      <c r="F112" s="470"/>
      <c r="G112" s="471">
        <f>G113+G114</f>
        <v>7113100</v>
      </c>
      <c r="H112" s="471">
        <f>H113+H114</f>
        <v>145000</v>
      </c>
      <c r="I112" s="471">
        <f t="shared" ref="I112:J112" si="8">I113+I114</f>
        <v>6968100</v>
      </c>
      <c r="J112" s="515">
        <f t="shared" si="8"/>
        <v>6968100</v>
      </c>
    </row>
    <row r="113" spans="1:16" ht="62.4" x14ac:dyDescent="0.25">
      <c r="A113" s="409" t="s">
        <v>361</v>
      </c>
      <c r="B113" s="462">
        <v>6014</v>
      </c>
      <c r="C113" s="468" t="s">
        <v>28</v>
      </c>
      <c r="D113" s="463" t="s">
        <v>356</v>
      </c>
      <c r="E113" s="463" t="s">
        <v>157</v>
      </c>
      <c r="F113" s="463" t="s">
        <v>570</v>
      </c>
      <c r="G113" s="464">
        <f>H113+J113</f>
        <v>145000</v>
      </c>
      <c r="H113" s="464">
        <v>145000</v>
      </c>
      <c r="I113" s="464">
        <v>0</v>
      </c>
      <c r="J113" s="474">
        <v>0</v>
      </c>
    </row>
    <row r="114" spans="1:16" ht="67.5" customHeight="1" thickBot="1" x14ac:dyDescent="0.3">
      <c r="A114" s="520">
        <v>1617351</v>
      </c>
      <c r="B114" s="450">
        <v>7351</v>
      </c>
      <c r="C114" s="200" t="s">
        <v>286</v>
      </c>
      <c r="D114" s="218" t="s">
        <v>560</v>
      </c>
      <c r="E114" s="479" t="s">
        <v>561</v>
      </c>
      <c r="F114" s="479" t="s">
        <v>572</v>
      </c>
      <c r="G114" s="464">
        <f>H114+J114</f>
        <v>6968100</v>
      </c>
      <c r="H114" s="493"/>
      <c r="I114" s="493">
        <v>6968100</v>
      </c>
      <c r="J114" s="490">
        <f>I114</f>
        <v>6968100</v>
      </c>
    </row>
    <row r="115" spans="1:16" ht="51.75" customHeight="1" thickBot="1" x14ac:dyDescent="0.3">
      <c r="A115" s="451">
        <v>2700000</v>
      </c>
      <c r="B115" s="452"/>
      <c r="C115" s="452"/>
      <c r="D115" s="524" t="s">
        <v>210</v>
      </c>
      <c r="E115" s="454"/>
      <c r="F115" s="454"/>
      <c r="G115" s="455">
        <f>G116</f>
        <v>4620660</v>
      </c>
      <c r="H115" s="455">
        <f t="shared" ref="H115:J115" si="9">H116</f>
        <v>4620660</v>
      </c>
      <c r="I115" s="455">
        <f t="shared" si="9"/>
        <v>0</v>
      </c>
      <c r="J115" s="456">
        <f t="shared" si="9"/>
        <v>0</v>
      </c>
    </row>
    <row r="116" spans="1:16" ht="48.75" customHeight="1" x14ac:dyDescent="0.25">
      <c r="A116" s="508">
        <v>2710000</v>
      </c>
      <c r="B116" s="458"/>
      <c r="C116" s="458"/>
      <c r="D116" s="526" t="s">
        <v>210</v>
      </c>
      <c r="E116" s="470"/>
      <c r="F116" s="470"/>
      <c r="G116" s="471">
        <f>G117+G118</f>
        <v>4620660</v>
      </c>
      <c r="H116" s="471">
        <f>H117+H118</f>
        <v>4620660</v>
      </c>
      <c r="I116" s="471">
        <f t="shared" ref="I116:J116" si="10">I117+I118</f>
        <v>0</v>
      </c>
      <c r="J116" s="515">
        <f t="shared" si="10"/>
        <v>0</v>
      </c>
    </row>
    <row r="117" spans="1:16" ht="61.5" customHeight="1" x14ac:dyDescent="0.25">
      <c r="A117" s="409">
        <v>2717413</v>
      </c>
      <c r="B117" s="462">
        <v>7413</v>
      </c>
      <c r="C117" s="468" t="s">
        <v>246</v>
      </c>
      <c r="D117" s="463" t="s">
        <v>245</v>
      </c>
      <c r="E117" s="463" t="s">
        <v>244</v>
      </c>
      <c r="F117" s="463" t="s">
        <v>360</v>
      </c>
      <c r="G117" s="464">
        <f>H117+J117</f>
        <v>4440660</v>
      </c>
      <c r="H117" s="464">
        <f>5407680-967020</f>
        <v>4440660</v>
      </c>
      <c r="I117" s="464">
        <v>0</v>
      </c>
      <c r="J117" s="474">
        <v>0</v>
      </c>
    </row>
    <row r="118" spans="1:16" ht="38.25" customHeight="1" thickBot="1" x14ac:dyDescent="0.3">
      <c r="A118" s="449">
        <v>2719770</v>
      </c>
      <c r="B118" s="450">
        <v>9770</v>
      </c>
      <c r="C118" s="527" t="s">
        <v>225</v>
      </c>
      <c r="D118" s="528" t="s">
        <v>502</v>
      </c>
      <c r="E118" s="494" t="s">
        <v>503</v>
      </c>
      <c r="F118" s="479" t="s">
        <v>509</v>
      </c>
      <c r="G118" s="464">
        <f>H118+J118</f>
        <v>180000</v>
      </c>
      <c r="H118" s="493">
        <f>0+180000</f>
        <v>180000</v>
      </c>
      <c r="I118" s="493">
        <v>0</v>
      </c>
      <c r="J118" s="490">
        <v>0</v>
      </c>
    </row>
    <row r="119" spans="1:16" ht="47.4" thickBot="1" x14ac:dyDescent="0.3">
      <c r="A119" s="451">
        <v>3100000</v>
      </c>
      <c r="B119" s="523"/>
      <c r="C119" s="529"/>
      <c r="D119" s="654" t="s">
        <v>214</v>
      </c>
      <c r="E119" s="653"/>
      <c r="F119" s="525"/>
      <c r="G119" s="455">
        <f>G120</f>
        <v>1491803</v>
      </c>
      <c r="H119" s="455">
        <f t="shared" ref="H119:J119" si="11">H120</f>
        <v>1491803</v>
      </c>
      <c r="I119" s="455">
        <f t="shared" si="11"/>
        <v>0</v>
      </c>
      <c r="J119" s="456">
        <f t="shared" si="11"/>
        <v>0</v>
      </c>
    </row>
    <row r="120" spans="1:16" ht="46.5" customHeight="1" x14ac:dyDescent="0.25">
      <c r="A120" s="508">
        <v>3110000</v>
      </c>
      <c r="B120" s="450"/>
      <c r="C120" s="487"/>
      <c r="D120" s="526" t="s">
        <v>214</v>
      </c>
      <c r="E120" s="479"/>
      <c r="F120" s="479"/>
      <c r="G120" s="493">
        <f>G121+G122</f>
        <v>1491803</v>
      </c>
      <c r="H120" s="493">
        <f>H121+H122</f>
        <v>1491803</v>
      </c>
      <c r="I120" s="493">
        <f t="shared" ref="I120:J120" si="12">I121+I122</f>
        <v>0</v>
      </c>
      <c r="J120" s="490">
        <f t="shared" si="12"/>
        <v>0</v>
      </c>
    </row>
    <row r="121" spans="1:16" ht="144.75" customHeight="1" x14ac:dyDescent="0.25">
      <c r="A121" s="483">
        <v>3117693</v>
      </c>
      <c r="B121" s="476">
        <v>7693</v>
      </c>
      <c r="C121" s="477" t="s">
        <v>177</v>
      </c>
      <c r="D121" s="480" t="s">
        <v>353</v>
      </c>
      <c r="E121" s="463" t="s">
        <v>230</v>
      </c>
      <c r="F121" s="463" t="s">
        <v>391</v>
      </c>
      <c r="G121" s="481">
        <f>H121+J121</f>
        <v>153500</v>
      </c>
      <c r="H121" s="481">
        <f>0+153500</f>
        <v>153500</v>
      </c>
      <c r="I121" s="481">
        <v>0</v>
      </c>
      <c r="J121" s="482">
        <v>0</v>
      </c>
    </row>
    <row r="122" spans="1:16" ht="63" customHeight="1" thickBot="1" x14ac:dyDescent="0.3">
      <c r="A122" s="483">
        <v>3118110</v>
      </c>
      <c r="B122" s="476">
        <v>8110</v>
      </c>
      <c r="C122" s="477" t="s">
        <v>238</v>
      </c>
      <c r="D122" s="480" t="s">
        <v>239</v>
      </c>
      <c r="E122" s="480" t="s">
        <v>157</v>
      </c>
      <c r="F122" s="463" t="s">
        <v>570</v>
      </c>
      <c r="G122" s="481">
        <f>H122+J122</f>
        <v>1338303</v>
      </c>
      <c r="H122" s="481">
        <f>0+73320+1264983</f>
        <v>1338303</v>
      </c>
      <c r="I122" s="481">
        <v>0</v>
      </c>
      <c r="J122" s="482">
        <v>0</v>
      </c>
    </row>
    <row r="123" spans="1:16" ht="16.2" thickBot="1" x14ac:dyDescent="0.3">
      <c r="A123" s="451" t="s">
        <v>6</v>
      </c>
      <c r="B123" s="452" t="s">
        <v>6</v>
      </c>
      <c r="C123" s="452" t="s">
        <v>6</v>
      </c>
      <c r="D123" s="722" t="s">
        <v>149</v>
      </c>
      <c r="E123" s="452" t="s">
        <v>6</v>
      </c>
      <c r="F123" s="452" t="s">
        <v>6</v>
      </c>
      <c r="G123" s="455">
        <f>G23+G42+G57+G65+G68+G83+G97+G111+G115+G119</f>
        <v>445343115</v>
      </c>
      <c r="H123" s="455">
        <f>H23+H42+H57+H65+H68+H83+H97+H111+H115+H119</f>
        <v>243000798</v>
      </c>
      <c r="I123" s="455">
        <f>I23+I42+I57+I65+I68+I83+I97+I111</f>
        <v>202342317</v>
      </c>
      <c r="J123" s="456">
        <f>J23+J42+J57+J65+J68+J83+J97+J111</f>
        <v>196861337</v>
      </c>
    </row>
    <row r="124" spans="1:16" ht="13.5" customHeight="1" x14ac:dyDescent="0.25">
      <c r="A124" s="581"/>
      <c r="B124" s="581"/>
      <c r="C124" s="581"/>
      <c r="D124" s="582"/>
      <c r="E124" s="582"/>
      <c r="F124" s="582"/>
      <c r="G124" s="583"/>
      <c r="H124" s="583"/>
      <c r="I124" s="583"/>
      <c r="J124" s="583"/>
    </row>
    <row r="125" spans="1:16" ht="13.5" customHeight="1" x14ac:dyDescent="0.25">
      <c r="A125" s="581"/>
      <c r="B125" s="581"/>
      <c r="C125" s="581"/>
      <c r="D125" s="582"/>
      <c r="E125" s="582"/>
      <c r="F125" s="582"/>
      <c r="G125" s="583"/>
      <c r="H125" s="583"/>
      <c r="I125" s="583"/>
      <c r="J125" s="583"/>
    </row>
    <row r="126" spans="1:16" ht="17.25" customHeight="1" x14ac:dyDescent="0.3">
      <c r="A126" s="584"/>
      <c r="B126" s="584"/>
      <c r="C126" s="584"/>
      <c r="D126" s="584"/>
      <c r="E126" s="584"/>
      <c r="F126" s="584"/>
      <c r="G126" s="584"/>
      <c r="H126" s="584"/>
      <c r="I126" s="584"/>
      <c r="J126" s="584"/>
    </row>
    <row r="127" spans="1:16" s="591" customFormat="1" ht="25.5" customHeight="1" x14ac:dyDescent="0.3">
      <c r="A127" s="883" t="s">
        <v>566</v>
      </c>
      <c r="B127" s="883"/>
      <c r="C127" s="883"/>
      <c r="D127" s="883"/>
      <c r="E127" s="883"/>
      <c r="F127" s="883"/>
      <c r="G127" s="883"/>
      <c r="H127" s="585"/>
      <c r="I127" s="585"/>
      <c r="J127" s="586"/>
      <c r="K127" s="587"/>
      <c r="L127" s="588"/>
      <c r="M127" s="587"/>
      <c r="N127" s="587"/>
      <c r="O127" s="589"/>
      <c r="P127" s="590"/>
    </row>
    <row r="128" spans="1:16" s="593" customFormat="1" ht="21" x14ac:dyDescent="0.4">
      <c r="A128" s="592"/>
      <c r="B128" s="592"/>
      <c r="G128" s="594"/>
    </row>
    <row r="129" spans="1:2" s="569" customFormat="1" ht="15.6" x14ac:dyDescent="0.3">
      <c r="A129" s="595"/>
      <c r="B129" s="595"/>
    </row>
  </sheetData>
  <mergeCells count="13">
    <mergeCell ref="A127:G127"/>
    <mergeCell ref="H5:I5"/>
    <mergeCell ref="H20:H21"/>
    <mergeCell ref="I20:J20"/>
    <mergeCell ref="A16:J16"/>
    <mergeCell ref="A18:B18"/>
    <mergeCell ref="A20:A21"/>
    <mergeCell ref="B20:B21"/>
    <mergeCell ref="C20:C21"/>
    <mergeCell ref="D20:D21"/>
    <mergeCell ref="E20:E21"/>
    <mergeCell ref="F20:F21"/>
    <mergeCell ref="G20:G21"/>
  </mergeCells>
  <pageMargins left="1.1811023622047245" right="0.39370078740157483" top="0.78740157480314965" bottom="0.78740157480314965" header="0.31496062992125984" footer="0.31496062992125984"/>
  <pageSetup paperSize="9" scale="61" orientation="landscape" r:id="rId1"/>
  <rowBreaks count="2" manualBreakCount="2">
    <brk id="36" max="9" man="1"/>
    <brk id="47"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30"/>
  <sheetViews>
    <sheetView tabSelected="1" view="pageBreakPreview" topLeftCell="A116" zoomScale="70" zoomScaleNormal="100" zoomScaleSheetLayoutView="70" workbookViewId="0">
      <selection activeCell="I4" sqref="I4:I5"/>
    </sheetView>
  </sheetViews>
  <sheetFormatPr defaultColWidth="9.33203125" defaultRowHeight="13.8" x14ac:dyDescent="0.25"/>
  <cols>
    <col min="1" max="1" width="14.5546875" style="227" customWidth="1"/>
    <col min="2" max="2" width="15.109375" style="228" customWidth="1"/>
    <col min="3" max="3" width="11" style="229" customWidth="1"/>
    <col min="4" max="4" width="51.44140625" style="230" customWidth="1"/>
    <col min="5" max="5" width="60.109375" style="231" customWidth="1"/>
    <col min="6" max="6" width="15.33203125" style="229" customWidth="1"/>
    <col min="7" max="7" width="18" style="232" customWidth="1"/>
    <col min="8" max="8" width="15.6640625" style="232" customWidth="1"/>
    <col min="9" max="9" width="13.88671875" style="232" customWidth="1"/>
    <col min="10" max="10" width="28.109375" style="233" customWidth="1"/>
    <col min="11" max="11" width="13.88671875" style="233" customWidth="1"/>
    <col min="12" max="12" width="9.33203125" style="227"/>
    <col min="13" max="13" width="16.88671875" style="227" bestFit="1" customWidth="1"/>
    <col min="14" max="14" width="9.33203125" style="227"/>
    <col min="15" max="15" width="13.6640625" style="227" bestFit="1" customWidth="1"/>
    <col min="16" max="256" width="9.33203125" style="227"/>
    <col min="257" max="257" width="15" style="227" customWidth="1"/>
    <col min="258" max="258" width="12.6640625" style="227" customWidth="1"/>
    <col min="259" max="259" width="11.6640625" style="227" customWidth="1"/>
    <col min="260" max="260" width="44.88671875" style="227" customWidth="1"/>
    <col min="261" max="261" width="54.6640625" style="227" customWidth="1"/>
    <col min="262" max="262" width="15.33203125" style="227" customWidth="1"/>
    <col min="263" max="264" width="19.33203125" style="227" customWidth="1"/>
    <col min="265" max="265" width="13.88671875" style="227" customWidth="1"/>
    <col min="266" max="266" width="25.33203125" style="227" customWidth="1"/>
    <col min="267" max="267" width="16.33203125" style="227" customWidth="1"/>
    <col min="268" max="512" width="9.33203125" style="227"/>
    <col min="513" max="513" width="15" style="227" customWidth="1"/>
    <col min="514" max="514" width="12.6640625" style="227" customWidth="1"/>
    <col min="515" max="515" width="11.6640625" style="227" customWidth="1"/>
    <col min="516" max="516" width="44.88671875" style="227" customWidth="1"/>
    <col min="517" max="517" width="54.6640625" style="227" customWidth="1"/>
    <col min="518" max="518" width="15.33203125" style="227" customWidth="1"/>
    <col min="519" max="520" width="19.33203125" style="227" customWidth="1"/>
    <col min="521" max="521" width="13.88671875" style="227" customWidth="1"/>
    <col min="522" max="522" width="25.33203125" style="227" customWidth="1"/>
    <col min="523" max="523" width="16.33203125" style="227" customWidth="1"/>
    <col min="524" max="768" width="9.33203125" style="227"/>
    <col min="769" max="769" width="15" style="227" customWidth="1"/>
    <col min="770" max="770" width="12.6640625" style="227" customWidth="1"/>
    <col min="771" max="771" width="11.6640625" style="227" customWidth="1"/>
    <col min="772" max="772" width="44.88671875" style="227" customWidth="1"/>
    <col min="773" max="773" width="54.6640625" style="227" customWidth="1"/>
    <col min="774" max="774" width="15.33203125" style="227" customWidth="1"/>
    <col min="775" max="776" width="19.33203125" style="227" customWidth="1"/>
    <col min="777" max="777" width="13.88671875" style="227" customWidth="1"/>
    <col min="778" max="778" width="25.33203125" style="227" customWidth="1"/>
    <col min="779" max="779" width="16.33203125" style="227" customWidth="1"/>
    <col min="780" max="1024" width="9.33203125" style="227"/>
    <col min="1025" max="1025" width="15" style="227" customWidth="1"/>
    <col min="1026" max="1026" width="12.6640625" style="227" customWidth="1"/>
    <col min="1027" max="1027" width="11.6640625" style="227" customWidth="1"/>
    <col min="1028" max="1028" width="44.88671875" style="227" customWidth="1"/>
    <col min="1029" max="1029" width="54.6640625" style="227" customWidth="1"/>
    <col min="1030" max="1030" width="15.33203125" style="227" customWidth="1"/>
    <col min="1031" max="1032" width="19.33203125" style="227" customWidth="1"/>
    <col min="1033" max="1033" width="13.88671875" style="227" customWidth="1"/>
    <col min="1034" max="1034" width="25.33203125" style="227" customWidth="1"/>
    <col min="1035" max="1035" width="16.33203125" style="227" customWidth="1"/>
    <col min="1036" max="1280" width="9.33203125" style="227"/>
    <col min="1281" max="1281" width="15" style="227" customWidth="1"/>
    <col min="1282" max="1282" width="12.6640625" style="227" customWidth="1"/>
    <col min="1283" max="1283" width="11.6640625" style="227" customWidth="1"/>
    <col min="1284" max="1284" width="44.88671875" style="227" customWidth="1"/>
    <col min="1285" max="1285" width="54.6640625" style="227" customWidth="1"/>
    <col min="1286" max="1286" width="15.33203125" style="227" customWidth="1"/>
    <col min="1287" max="1288" width="19.33203125" style="227" customWidth="1"/>
    <col min="1289" max="1289" width="13.88671875" style="227" customWidth="1"/>
    <col min="1290" max="1290" width="25.33203125" style="227" customWidth="1"/>
    <col min="1291" max="1291" width="16.33203125" style="227" customWidth="1"/>
    <col min="1292" max="1536" width="9.33203125" style="227"/>
    <col min="1537" max="1537" width="15" style="227" customWidth="1"/>
    <col min="1538" max="1538" width="12.6640625" style="227" customWidth="1"/>
    <col min="1539" max="1539" width="11.6640625" style="227" customWidth="1"/>
    <col min="1540" max="1540" width="44.88671875" style="227" customWidth="1"/>
    <col min="1541" max="1541" width="54.6640625" style="227" customWidth="1"/>
    <col min="1542" max="1542" width="15.33203125" style="227" customWidth="1"/>
    <col min="1543" max="1544" width="19.33203125" style="227" customWidth="1"/>
    <col min="1545" max="1545" width="13.88671875" style="227" customWidth="1"/>
    <col min="1546" max="1546" width="25.33203125" style="227" customWidth="1"/>
    <col min="1547" max="1547" width="16.33203125" style="227" customWidth="1"/>
    <col min="1548" max="1792" width="9.33203125" style="227"/>
    <col min="1793" max="1793" width="15" style="227" customWidth="1"/>
    <col min="1794" max="1794" width="12.6640625" style="227" customWidth="1"/>
    <col min="1795" max="1795" width="11.6640625" style="227" customWidth="1"/>
    <col min="1796" max="1796" width="44.88671875" style="227" customWidth="1"/>
    <col min="1797" max="1797" width="54.6640625" style="227" customWidth="1"/>
    <col min="1798" max="1798" width="15.33203125" style="227" customWidth="1"/>
    <col min="1799" max="1800" width="19.33203125" style="227" customWidth="1"/>
    <col min="1801" max="1801" width="13.88671875" style="227" customWidth="1"/>
    <col min="1802" max="1802" width="25.33203125" style="227" customWidth="1"/>
    <col min="1803" max="1803" width="16.33203125" style="227" customWidth="1"/>
    <col min="1804" max="2048" width="9.33203125" style="227"/>
    <col min="2049" max="2049" width="15" style="227" customWidth="1"/>
    <col min="2050" max="2050" width="12.6640625" style="227" customWidth="1"/>
    <col min="2051" max="2051" width="11.6640625" style="227" customWidth="1"/>
    <col min="2052" max="2052" width="44.88671875" style="227" customWidth="1"/>
    <col min="2053" max="2053" width="54.6640625" style="227" customWidth="1"/>
    <col min="2054" max="2054" width="15.33203125" style="227" customWidth="1"/>
    <col min="2055" max="2056" width="19.33203125" style="227" customWidth="1"/>
    <col min="2057" max="2057" width="13.88671875" style="227" customWidth="1"/>
    <col min="2058" max="2058" width="25.33203125" style="227" customWidth="1"/>
    <col min="2059" max="2059" width="16.33203125" style="227" customWidth="1"/>
    <col min="2060" max="2304" width="9.33203125" style="227"/>
    <col min="2305" max="2305" width="15" style="227" customWidth="1"/>
    <col min="2306" max="2306" width="12.6640625" style="227" customWidth="1"/>
    <col min="2307" max="2307" width="11.6640625" style="227" customWidth="1"/>
    <col min="2308" max="2308" width="44.88671875" style="227" customWidth="1"/>
    <col min="2309" max="2309" width="54.6640625" style="227" customWidth="1"/>
    <col min="2310" max="2310" width="15.33203125" style="227" customWidth="1"/>
    <col min="2311" max="2312" width="19.33203125" style="227" customWidth="1"/>
    <col min="2313" max="2313" width="13.88671875" style="227" customWidth="1"/>
    <col min="2314" max="2314" width="25.33203125" style="227" customWidth="1"/>
    <col min="2315" max="2315" width="16.33203125" style="227" customWidth="1"/>
    <col min="2316" max="2560" width="9.33203125" style="227"/>
    <col min="2561" max="2561" width="15" style="227" customWidth="1"/>
    <col min="2562" max="2562" width="12.6640625" style="227" customWidth="1"/>
    <col min="2563" max="2563" width="11.6640625" style="227" customWidth="1"/>
    <col min="2564" max="2564" width="44.88671875" style="227" customWidth="1"/>
    <col min="2565" max="2565" width="54.6640625" style="227" customWidth="1"/>
    <col min="2566" max="2566" width="15.33203125" style="227" customWidth="1"/>
    <col min="2567" max="2568" width="19.33203125" style="227" customWidth="1"/>
    <col min="2569" max="2569" width="13.88671875" style="227" customWidth="1"/>
    <col min="2570" max="2570" width="25.33203125" style="227" customWidth="1"/>
    <col min="2571" max="2571" width="16.33203125" style="227" customWidth="1"/>
    <col min="2572" max="2816" width="9.33203125" style="227"/>
    <col min="2817" max="2817" width="15" style="227" customWidth="1"/>
    <col min="2818" max="2818" width="12.6640625" style="227" customWidth="1"/>
    <col min="2819" max="2819" width="11.6640625" style="227" customWidth="1"/>
    <col min="2820" max="2820" width="44.88671875" style="227" customWidth="1"/>
    <col min="2821" max="2821" width="54.6640625" style="227" customWidth="1"/>
    <col min="2822" max="2822" width="15.33203125" style="227" customWidth="1"/>
    <col min="2823" max="2824" width="19.33203125" style="227" customWidth="1"/>
    <col min="2825" max="2825" width="13.88671875" style="227" customWidth="1"/>
    <col min="2826" max="2826" width="25.33203125" style="227" customWidth="1"/>
    <col min="2827" max="2827" width="16.33203125" style="227" customWidth="1"/>
    <col min="2828" max="3072" width="9.33203125" style="227"/>
    <col min="3073" max="3073" width="15" style="227" customWidth="1"/>
    <col min="3074" max="3074" width="12.6640625" style="227" customWidth="1"/>
    <col min="3075" max="3075" width="11.6640625" style="227" customWidth="1"/>
    <col min="3076" max="3076" width="44.88671875" style="227" customWidth="1"/>
    <col min="3077" max="3077" width="54.6640625" style="227" customWidth="1"/>
    <col min="3078" max="3078" width="15.33203125" style="227" customWidth="1"/>
    <col min="3079" max="3080" width="19.33203125" style="227" customWidth="1"/>
    <col min="3081" max="3081" width="13.88671875" style="227" customWidth="1"/>
    <col min="3082" max="3082" width="25.33203125" style="227" customWidth="1"/>
    <col min="3083" max="3083" width="16.33203125" style="227" customWidth="1"/>
    <col min="3084" max="3328" width="9.33203125" style="227"/>
    <col min="3329" max="3329" width="15" style="227" customWidth="1"/>
    <col min="3330" max="3330" width="12.6640625" style="227" customWidth="1"/>
    <col min="3331" max="3331" width="11.6640625" style="227" customWidth="1"/>
    <col min="3332" max="3332" width="44.88671875" style="227" customWidth="1"/>
    <col min="3333" max="3333" width="54.6640625" style="227" customWidth="1"/>
    <col min="3334" max="3334" width="15.33203125" style="227" customWidth="1"/>
    <col min="3335" max="3336" width="19.33203125" style="227" customWidth="1"/>
    <col min="3337" max="3337" width="13.88671875" style="227" customWidth="1"/>
    <col min="3338" max="3338" width="25.33203125" style="227" customWidth="1"/>
    <col min="3339" max="3339" width="16.33203125" style="227" customWidth="1"/>
    <col min="3340" max="3584" width="9.33203125" style="227"/>
    <col min="3585" max="3585" width="15" style="227" customWidth="1"/>
    <col min="3586" max="3586" width="12.6640625" style="227" customWidth="1"/>
    <col min="3587" max="3587" width="11.6640625" style="227" customWidth="1"/>
    <col min="3588" max="3588" width="44.88671875" style="227" customWidth="1"/>
    <col min="3589" max="3589" width="54.6640625" style="227" customWidth="1"/>
    <col min="3590" max="3590" width="15.33203125" style="227" customWidth="1"/>
    <col min="3591" max="3592" width="19.33203125" style="227" customWidth="1"/>
    <col min="3593" max="3593" width="13.88671875" style="227" customWidth="1"/>
    <col min="3594" max="3594" width="25.33203125" style="227" customWidth="1"/>
    <col min="3595" max="3595" width="16.33203125" style="227" customWidth="1"/>
    <col min="3596" max="3840" width="9.33203125" style="227"/>
    <col min="3841" max="3841" width="15" style="227" customWidth="1"/>
    <col min="3842" max="3842" width="12.6640625" style="227" customWidth="1"/>
    <col min="3843" max="3843" width="11.6640625" style="227" customWidth="1"/>
    <col min="3844" max="3844" width="44.88671875" style="227" customWidth="1"/>
    <col min="3845" max="3845" width="54.6640625" style="227" customWidth="1"/>
    <col min="3846" max="3846" width="15.33203125" style="227" customWidth="1"/>
    <col min="3847" max="3848" width="19.33203125" style="227" customWidth="1"/>
    <col min="3849" max="3849" width="13.88671875" style="227" customWidth="1"/>
    <col min="3850" max="3850" width="25.33203125" style="227" customWidth="1"/>
    <col min="3851" max="3851" width="16.33203125" style="227" customWidth="1"/>
    <col min="3852" max="4096" width="9.33203125" style="227"/>
    <col min="4097" max="4097" width="15" style="227" customWidth="1"/>
    <col min="4098" max="4098" width="12.6640625" style="227" customWidth="1"/>
    <col min="4099" max="4099" width="11.6640625" style="227" customWidth="1"/>
    <col min="4100" max="4100" width="44.88671875" style="227" customWidth="1"/>
    <col min="4101" max="4101" width="54.6640625" style="227" customWidth="1"/>
    <col min="4102" max="4102" width="15.33203125" style="227" customWidth="1"/>
    <col min="4103" max="4104" width="19.33203125" style="227" customWidth="1"/>
    <col min="4105" max="4105" width="13.88671875" style="227" customWidth="1"/>
    <col min="4106" max="4106" width="25.33203125" style="227" customWidth="1"/>
    <col min="4107" max="4107" width="16.33203125" style="227" customWidth="1"/>
    <col min="4108" max="4352" width="9.33203125" style="227"/>
    <col min="4353" max="4353" width="15" style="227" customWidth="1"/>
    <col min="4354" max="4354" width="12.6640625" style="227" customWidth="1"/>
    <col min="4355" max="4355" width="11.6640625" style="227" customWidth="1"/>
    <col min="4356" max="4356" width="44.88671875" style="227" customWidth="1"/>
    <col min="4357" max="4357" width="54.6640625" style="227" customWidth="1"/>
    <col min="4358" max="4358" width="15.33203125" style="227" customWidth="1"/>
    <col min="4359" max="4360" width="19.33203125" style="227" customWidth="1"/>
    <col min="4361" max="4361" width="13.88671875" style="227" customWidth="1"/>
    <col min="4362" max="4362" width="25.33203125" style="227" customWidth="1"/>
    <col min="4363" max="4363" width="16.33203125" style="227" customWidth="1"/>
    <col min="4364" max="4608" width="9.33203125" style="227"/>
    <col min="4609" max="4609" width="15" style="227" customWidth="1"/>
    <col min="4610" max="4610" width="12.6640625" style="227" customWidth="1"/>
    <col min="4611" max="4611" width="11.6640625" style="227" customWidth="1"/>
    <col min="4612" max="4612" width="44.88671875" style="227" customWidth="1"/>
    <col min="4613" max="4613" width="54.6640625" style="227" customWidth="1"/>
    <col min="4614" max="4614" width="15.33203125" style="227" customWidth="1"/>
    <col min="4615" max="4616" width="19.33203125" style="227" customWidth="1"/>
    <col min="4617" max="4617" width="13.88671875" style="227" customWidth="1"/>
    <col min="4618" max="4618" width="25.33203125" style="227" customWidth="1"/>
    <col min="4619" max="4619" width="16.33203125" style="227" customWidth="1"/>
    <col min="4620" max="4864" width="9.33203125" style="227"/>
    <col min="4865" max="4865" width="15" style="227" customWidth="1"/>
    <col min="4866" max="4866" width="12.6640625" style="227" customWidth="1"/>
    <col min="4867" max="4867" width="11.6640625" style="227" customWidth="1"/>
    <col min="4868" max="4868" width="44.88671875" style="227" customWidth="1"/>
    <col min="4869" max="4869" width="54.6640625" style="227" customWidth="1"/>
    <col min="4870" max="4870" width="15.33203125" style="227" customWidth="1"/>
    <col min="4871" max="4872" width="19.33203125" style="227" customWidth="1"/>
    <col min="4873" max="4873" width="13.88671875" style="227" customWidth="1"/>
    <col min="4874" max="4874" width="25.33203125" style="227" customWidth="1"/>
    <col min="4875" max="4875" width="16.33203125" style="227" customWidth="1"/>
    <col min="4876" max="5120" width="9.33203125" style="227"/>
    <col min="5121" max="5121" width="15" style="227" customWidth="1"/>
    <col min="5122" max="5122" width="12.6640625" style="227" customWidth="1"/>
    <col min="5123" max="5123" width="11.6640625" style="227" customWidth="1"/>
    <col min="5124" max="5124" width="44.88671875" style="227" customWidth="1"/>
    <col min="5125" max="5125" width="54.6640625" style="227" customWidth="1"/>
    <col min="5126" max="5126" width="15.33203125" style="227" customWidth="1"/>
    <col min="5127" max="5128" width="19.33203125" style="227" customWidth="1"/>
    <col min="5129" max="5129" width="13.88671875" style="227" customWidth="1"/>
    <col min="5130" max="5130" width="25.33203125" style="227" customWidth="1"/>
    <col min="5131" max="5131" width="16.33203125" style="227" customWidth="1"/>
    <col min="5132" max="5376" width="9.33203125" style="227"/>
    <col min="5377" max="5377" width="15" style="227" customWidth="1"/>
    <col min="5378" max="5378" width="12.6640625" style="227" customWidth="1"/>
    <col min="5379" max="5379" width="11.6640625" style="227" customWidth="1"/>
    <col min="5380" max="5380" width="44.88671875" style="227" customWidth="1"/>
    <col min="5381" max="5381" width="54.6640625" style="227" customWidth="1"/>
    <col min="5382" max="5382" width="15.33203125" style="227" customWidth="1"/>
    <col min="5383" max="5384" width="19.33203125" style="227" customWidth="1"/>
    <col min="5385" max="5385" width="13.88671875" style="227" customWidth="1"/>
    <col min="5386" max="5386" width="25.33203125" style="227" customWidth="1"/>
    <col min="5387" max="5387" width="16.33203125" style="227" customWidth="1"/>
    <col min="5388" max="5632" width="9.33203125" style="227"/>
    <col min="5633" max="5633" width="15" style="227" customWidth="1"/>
    <col min="5634" max="5634" width="12.6640625" style="227" customWidth="1"/>
    <col min="5635" max="5635" width="11.6640625" style="227" customWidth="1"/>
    <col min="5636" max="5636" width="44.88671875" style="227" customWidth="1"/>
    <col min="5637" max="5637" width="54.6640625" style="227" customWidth="1"/>
    <col min="5638" max="5638" width="15.33203125" style="227" customWidth="1"/>
    <col min="5639" max="5640" width="19.33203125" style="227" customWidth="1"/>
    <col min="5641" max="5641" width="13.88671875" style="227" customWidth="1"/>
    <col min="5642" max="5642" width="25.33203125" style="227" customWidth="1"/>
    <col min="5643" max="5643" width="16.33203125" style="227" customWidth="1"/>
    <col min="5644" max="5888" width="9.33203125" style="227"/>
    <col min="5889" max="5889" width="15" style="227" customWidth="1"/>
    <col min="5890" max="5890" width="12.6640625" style="227" customWidth="1"/>
    <col min="5891" max="5891" width="11.6640625" style="227" customWidth="1"/>
    <col min="5892" max="5892" width="44.88671875" style="227" customWidth="1"/>
    <col min="5893" max="5893" width="54.6640625" style="227" customWidth="1"/>
    <col min="5894" max="5894" width="15.33203125" style="227" customWidth="1"/>
    <col min="5895" max="5896" width="19.33203125" style="227" customWidth="1"/>
    <col min="5897" max="5897" width="13.88671875" style="227" customWidth="1"/>
    <col min="5898" max="5898" width="25.33203125" style="227" customWidth="1"/>
    <col min="5899" max="5899" width="16.33203125" style="227" customWidth="1"/>
    <col min="5900" max="6144" width="9.33203125" style="227"/>
    <col min="6145" max="6145" width="15" style="227" customWidth="1"/>
    <col min="6146" max="6146" width="12.6640625" style="227" customWidth="1"/>
    <col min="6147" max="6147" width="11.6640625" style="227" customWidth="1"/>
    <col min="6148" max="6148" width="44.88671875" style="227" customWidth="1"/>
    <col min="6149" max="6149" width="54.6640625" style="227" customWidth="1"/>
    <col min="6150" max="6150" width="15.33203125" style="227" customWidth="1"/>
    <col min="6151" max="6152" width="19.33203125" style="227" customWidth="1"/>
    <col min="6153" max="6153" width="13.88671875" style="227" customWidth="1"/>
    <col min="6154" max="6154" width="25.33203125" style="227" customWidth="1"/>
    <col min="6155" max="6155" width="16.33203125" style="227" customWidth="1"/>
    <col min="6156" max="6400" width="9.33203125" style="227"/>
    <col min="6401" max="6401" width="15" style="227" customWidth="1"/>
    <col min="6402" max="6402" width="12.6640625" style="227" customWidth="1"/>
    <col min="6403" max="6403" width="11.6640625" style="227" customWidth="1"/>
    <col min="6404" max="6404" width="44.88671875" style="227" customWidth="1"/>
    <col min="6405" max="6405" width="54.6640625" style="227" customWidth="1"/>
    <col min="6406" max="6406" width="15.33203125" style="227" customWidth="1"/>
    <col min="6407" max="6408" width="19.33203125" style="227" customWidth="1"/>
    <col min="6409" max="6409" width="13.88671875" style="227" customWidth="1"/>
    <col min="6410" max="6410" width="25.33203125" style="227" customWidth="1"/>
    <col min="6411" max="6411" width="16.33203125" style="227" customWidth="1"/>
    <col min="6412" max="6656" width="9.33203125" style="227"/>
    <col min="6657" max="6657" width="15" style="227" customWidth="1"/>
    <col min="6658" max="6658" width="12.6640625" style="227" customWidth="1"/>
    <col min="6659" max="6659" width="11.6640625" style="227" customWidth="1"/>
    <col min="6660" max="6660" width="44.88671875" style="227" customWidth="1"/>
    <col min="6661" max="6661" width="54.6640625" style="227" customWidth="1"/>
    <col min="6662" max="6662" width="15.33203125" style="227" customWidth="1"/>
    <col min="6663" max="6664" width="19.33203125" style="227" customWidth="1"/>
    <col min="6665" max="6665" width="13.88671875" style="227" customWidth="1"/>
    <col min="6666" max="6666" width="25.33203125" style="227" customWidth="1"/>
    <col min="6667" max="6667" width="16.33203125" style="227" customWidth="1"/>
    <col min="6668" max="6912" width="9.33203125" style="227"/>
    <col min="6913" max="6913" width="15" style="227" customWidth="1"/>
    <col min="6914" max="6914" width="12.6640625" style="227" customWidth="1"/>
    <col min="6915" max="6915" width="11.6640625" style="227" customWidth="1"/>
    <col min="6916" max="6916" width="44.88671875" style="227" customWidth="1"/>
    <col min="6917" max="6917" width="54.6640625" style="227" customWidth="1"/>
    <col min="6918" max="6918" width="15.33203125" style="227" customWidth="1"/>
    <col min="6919" max="6920" width="19.33203125" style="227" customWidth="1"/>
    <col min="6921" max="6921" width="13.88671875" style="227" customWidth="1"/>
    <col min="6922" max="6922" width="25.33203125" style="227" customWidth="1"/>
    <col min="6923" max="6923" width="16.33203125" style="227" customWidth="1"/>
    <col min="6924" max="7168" width="9.33203125" style="227"/>
    <col min="7169" max="7169" width="15" style="227" customWidth="1"/>
    <col min="7170" max="7170" width="12.6640625" style="227" customWidth="1"/>
    <col min="7171" max="7171" width="11.6640625" style="227" customWidth="1"/>
    <col min="7172" max="7172" width="44.88671875" style="227" customWidth="1"/>
    <col min="7173" max="7173" width="54.6640625" style="227" customWidth="1"/>
    <col min="7174" max="7174" width="15.33203125" style="227" customWidth="1"/>
    <col min="7175" max="7176" width="19.33203125" style="227" customWidth="1"/>
    <col min="7177" max="7177" width="13.88671875" style="227" customWidth="1"/>
    <col min="7178" max="7178" width="25.33203125" style="227" customWidth="1"/>
    <col min="7179" max="7179" width="16.33203125" style="227" customWidth="1"/>
    <col min="7180" max="7424" width="9.33203125" style="227"/>
    <col min="7425" max="7425" width="15" style="227" customWidth="1"/>
    <col min="7426" max="7426" width="12.6640625" style="227" customWidth="1"/>
    <col min="7427" max="7427" width="11.6640625" style="227" customWidth="1"/>
    <col min="7428" max="7428" width="44.88671875" style="227" customWidth="1"/>
    <col min="7429" max="7429" width="54.6640625" style="227" customWidth="1"/>
    <col min="7430" max="7430" width="15.33203125" style="227" customWidth="1"/>
    <col min="7431" max="7432" width="19.33203125" style="227" customWidth="1"/>
    <col min="7433" max="7433" width="13.88671875" style="227" customWidth="1"/>
    <col min="7434" max="7434" width="25.33203125" style="227" customWidth="1"/>
    <col min="7435" max="7435" width="16.33203125" style="227" customWidth="1"/>
    <col min="7436" max="7680" width="9.33203125" style="227"/>
    <col min="7681" max="7681" width="15" style="227" customWidth="1"/>
    <col min="7682" max="7682" width="12.6640625" style="227" customWidth="1"/>
    <col min="7683" max="7683" width="11.6640625" style="227" customWidth="1"/>
    <col min="7684" max="7684" width="44.88671875" style="227" customWidth="1"/>
    <col min="7685" max="7685" width="54.6640625" style="227" customWidth="1"/>
    <col min="7686" max="7686" width="15.33203125" style="227" customWidth="1"/>
    <col min="7687" max="7688" width="19.33203125" style="227" customWidth="1"/>
    <col min="7689" max="7689" width="13.88671875" style="227" customWidth="1"/>
    <col min="7690" max="7690" width="25.33203125" style="227" customWidth="1"/>
    <col min="7691" max="7691" width="16.33203125" style="227" customWidth="1"/>
    <col min="7692" max="7936" width="9.33203125" style="227"/>
    <col min="7937" max="7937" width="15" style="227" customWidth="1"/>
    <col min="7938" max="7938" width="12.6640625" style="227" customWidth="1"/>
    <col min="7939" max="7939" width="11.6640625" style="227" customWidth="1"/>
    <col min="7940" max="7940" width="44.88671875" style="227" customWidth="1"/>
    <col min="7941" max="7941" width="54.6640625" style="227" customWidth="1"/>
    <col min="7942" max="7942" width="15.33203125" style="227" customWidth="1"/>
    <col min="7943" max="7944" width="19.33203125" style="227" customWidth="1"/>
    <col min="7945" max="7945" width="13.88671875" style="227" customWidth="1"/>
    <col min="7946" max="7946" width="25.33203125" style="227" customWidth="1"/>
    <col min="7947" max="7947" width="16.33203125" style="227" customWidth="1"/>
    <col min="7948" max="8192" width="9.33203125" style="227"/>
    <col min="8193" max="8193" width="15" style="227" customWidth="1"/>
    <col min="8194" max="8194" width="12.6640625" style="227" customWidth="1"/>
    <col min="8195" max="8195" width="11.6640625" style="227" customWidth="1"/>
    <col min="8196" max="8196" width="44.88671875" style="227" customWidth="1"/>
    <col min="8197" max="8197" width="54.6640625" style="227" customWidth="1"/>
    <col min="8198" max="8198" width="15.33203125" style="227" customWidth="1"/>
    <col min="8199" max="8200" width="19.33203125" style="227" customWidth="1"/>
    <col min="8201" max="8201" width="13.88671875" style="227" customWidth="1"/>
    <col min="8202" max="8202" width="25.33203125" style="227" customWidth="1"/>
    <col min="8203" max="8203" width="16.33203125" style="227" customWidth="1"/>
    <col min="8204" max="8448" width="9.33203125" style="227"/>
    <col min="8449" max="8449" width="15" style="227" customWidth="1"/>
    <col min="8450" max="8450" width="12.6640625" style="227" customWidth="1"/>
    <col min="8451" max="8451" width="11.6640625" style="227" customWidth="1"/>
    <col min="8452" max="8452" width="44.88671875" style="227" customWidth="1"/>
    <col min="8453" max="8453" width="54.6640625" style="227" customWidth="1"/>
    <col min="8454" max="8454" width="15.33203125" style="227" customWidth="1"/>
    <col min="8455" max="8456" width="19.33203125" style="227" customWidth="1"/>
    <col min="8457" max="8457" width="13.88671875" style="227" customWidth="1"/>
    <col min="8458" max="8458" width="25.33203125" style="227" customWidth="1"/>
    <col min="8459" max="8459" width="16.33203125" style="227" customWidth="1"/>
    <col min="8460" max="8704" width="9.33203125" style="227"/>
    <col min="8705" max="8705" width="15" style="227" customWidth="1"/>
    <col min="8706" max="8706" width="12.6640625" style="227" customWidth="1"/>
    <col min="8707" max="8707" width="11.6640625" style="227" customWidth="1"/>
    <col min="8708" max="8708" width="44.88671875" style="227" customWidth="1"/>
    <col min="8709" max="8709" width="54.6640625" style="227" customWidth="1"/>
    <col min="8710" max="8710" width="15.33203125" style="227" customWidth="1"/>
    <col min="8711" max="8712" width="19.33203125" style="227" customWidth="1"/>
    <col min="8713" max="8713" width="13.88671875" style="227" customWidth="1"/>
    <col min="8714" max="8714" width="25.33203125" style="227" customWidth="1"/>
    <col min="8715" max="8715" width="16.33203125" style="227" customWidth="1"/>
    <col min="8716" max="8960" width="9.33203125" style="227"/>
    <col min="8961" max="8961" width="15" style="227" customWidth="1"/>
    <col min="8962" max="8962" width="12.6640625" style="227" customWidth="1"/>
    <col min="8963" max="8963" width="11.6640625" style="227" customWidth="1"/>
    <col min="8964" max="8964" width="44.88671875" style="227" customWidth="1"/>
    <col min="8965" max="8965" width="54.6640625" style="227" customWidth="1"/>
    <col min="8966" max="8966" width="15.33203125" style="227" customWidth="1"/>
    <col min="8967" max="8968" width="19.33203125" style="227" customWidth="1"/>
    <col min="8969" max="8969" width="13.88671875" style="227" customWidth="1"/>
    <col min="8970" max="8970" width="25.33203125" style="227" customWidth="1"/>
    <col min="8971" max="8971" width="16.33203125" style="227" customWidth="1"/>
    <col min="8972" max="9216" width="9.33203125" style="227"/>
    <col min="9217" max="9217" width="15" style="227" customWidth="1"/>
    <col min="9218" max="9218" width="12.6640625" style="227" customWidth="1"/>
    <col min="9219" max="9219" width="11.6640625" style="227" customWidth="1"/>
    <col min="9220" max="9220" width="44.88671875" style="227" customWidth="1"/>
    <col min="9221" max="9221" width="54.6640625" style="227" customWidth="1"/>
    <col min="9222" max="9222" width="15.33203125" style="227" customWidth="1"/>
    <col min="9223" max="9224" width="19.33203125" style="227" customWidth="1"/>
    <col min="9225" max="9225" width="13.88671875" style="227" customWidth="1"/>
    <col min="9226" max="9226" width="25.33203125" style="227" customWidth="1"/>
    <col min="9227" max="9227" width="16.33203125" style="227" customWidth="1"/>
    <col min="9228" max="9472" width="9.33203125" style="227"/>
    <col min="9473" max="9473" width="15" style="227" customWidth="1"/>
    <col min="9474" max="9474" width="12.6640625" style="227" customWidth="1"/>
    <col min="9475" max="9475" width="11.6640625" style="227" customWidth="1"/>
    <col min="9476" max="9476" width="44.88671875" style="227" customWidth="1"/>
    <col min="9477" max="9477" width="54.6640625" style="227" customWidth="1"/>
    <col min="9478" max="9478" width="15.33203125" style="227" customWidth="1"/>
    <col min="9479" max="9480" width="19.33203125" style="227" customWidth="1"/>
    <col min="9481" max="9481" width="13.88671875" style="227" customWidth="1"/>
    <col min="9482" max="9482" width="25.33203125" style="227" customWidth="1"/>
    <col min="9483" max="9483" width="16.33203125" style="227" customWidth="1"/>
    <col min="9484" max="9728" width="9.33203125" style="227"/>
    <col min="9729" max="9729" width="15" style="227" customWidth="1"/>
    <col min="9730" max="9730" width="12.6640625" style="227" customWidth="1"/>
    <col min="9731" max="9731" width="11.6640625" style="227" customWidth="1"/>
    <col min="9732" max="9732" width="44.88671875" style="227" customWidth="1"/>
    <col min="9733" max="9733" width="54.6640625" style="227" customWidth="1"/>
    <col min="9734" max="9734" width="15.33203125" style="227" customWidth="1"/>
    <col min="9735" max="9736" width="19.33203125" style="227" customWidth="1"/>
    <col min="9737" max="9737" width="13.88671875" style="227" customWidth="1"/>
    <col min="9738" max="9738" width="25.33203125" style="227" customWidth="1"/>
    <col min="9739" max="9739" width="16.33203125" style="227" customWidth="1"/>
    <col min="9740" max="9984" width="9.33203125" style="227"/>
    <col min="9985" max="9985" width="15" style="227" customWidth="1"/>
    <col min="9986" max="9986" width="12.6640625" style="227" customWidth="1"/>
    <col min="9987" max="9987" width="11.6640625" style="227" customWidth="1"/>
    <col min="9988" max="9988" width="44.88671875" style="227" customWidth="1"/>
    <col min="9989" max="9989" width="54.6640625" style="227" customWidth="1"/>
    <col min="9990" max="9990" width="15.33203125" style="227" customWidth="1"/>
    <col min="9991" max="9992" width="19.33203125" style="227" customWidth="1"/>
    <col min="9993" max="9993" width="13.88671875" style="227" customWidth="1"/>
    <col min="9994" max="9994" width="25.33203125" style="227" customWidth="1"/>
    <col min="9995" max="9995" width="16.33203125" style="227" customWidth="1"/>
    <col min="9996" max="10240" width="9.33203125" style="227"/>
    <col min="10241" max="10241" width="15" style="227" customWidth="1"/>
    <col min="10242" max="10242" width="12.6640625" style="227" customWidth="1"/>
    <col min="10243" max="10243" width="11.6640625" style="227" customWidth="1"/>
    <col min="10244" max="10244" width="44.88671875" style="227" customWidth="1"/>
    <col min="10245" max="10245" width="54.6640625" style="227" customWidth="1"/>
    <col min="10246" max="10246" width="15.33203125" style="227" customWidth="1"/>
    <col min="10247" max="10248" width="19.33203125" style="227" customWidth="1"/>
    <col min="10249" max="10249" width="13.88671875" style="227" customWidth="1"/>
    <col min="10250" max="10250" width="25.33203125" style="227" customWidth="1"/>
    <col min="10251" max="10251" width="16.33203125" style="227" customWidth="1"/>
    <col min="10252" max="10496" width="9.33203125" style="227"/>
    <col min="10497" max="10497" width="15" style="227" customWidth="1"/>
    <col min="10498" max="10498" width="12.6640625" style="227" customWidth="1"/>
    <col min="10499" max="10499" width="11.6640625" style="227" customWidth="1"/>
    <col min="10500" max="10500" width="44.88671875" style="227" customWidth="1"/>
    <col min="10501" max="10501" width="54.6640625" style="227" customWidth="1"/>
    <col min="10502" max="10502" width="15.33203125" style="227" customWidth="1"/>
    <col min="10503" max="10504" width="19.33203125" style="227" customWidth="1"/>
    <col min="10505" max="10505" width="13.88671875" style="227" customWidth="1"/>
    <col min="10506" max="10506" width="25.33203125" style="227" customWidth="1"/>
    <col min="10507" max="10507" width="16.33203125" style="227" customWidth="1"/>
    <col min="10508" max="10752" width="9.33203125" style="227"/>
    <col min="10753" max="10753" width="15" style="227" customWidth="1"/>
    <col min="10754" max="10754" width="12.6640625" style="227" customWidth="1"/>
    <col min="10755" max="10755" width="11.6640625" style="227" customWidth="1"/>
    <col min="10756" max="10756" width="44.88671875" style="227" customWidth="1"/>
    <col min="10757" max="10757" width="54.6640625" style="227" customWidth="1"/>
    <col min="10758" max="10758" width="15.33203125" style="227" customWidth="1"/>
    <col min="10759" max="10760" width="19.33203125" style="227" customWidth="1"/>
    <col min="10761" max="10761" width="13.88671875" style="227" customWidth="1"/>
    <col min="10762" max="10762" width="25.33203125" style="227" customWidth="1"/>
    <col min="10763" max="10763" width="16.33203125" style="227" customWidth="1"/>
    <col min="10764" max="11008" width="9.33203125" style="227"/>
    <col min="11009" max="11009" width="15" style="227" customWidth="1"/>
    <col min="11010" max="11010" width="12.6640625" style="227" customWidth="1"/>
    <col min="11011" max="11011" width="11.6640625" style="227" customWidth="1"/>
    <col min="11012" max="11012" width="44.88671875" style="227" customWidth="1"/>
    <col min="11013" max="11013" width="54.6640625" style="227" customWidth="1"/>
    <col min="11014" max="11014" width="15.33203125" style="227" customWidth="1"/>
    <col min="11015" max="11016" width="19.33203125" style="227" customWidth="1"/>
    <col min="11017" max="11017" width="13.88671875" style="227" customWidth="1"/>
    <col min="11018" max="11018" width="25.33203125" style="227" customWidth="1"/>
    <col min="11019" max="11019" width="16.33203125" style="227" customWidth="1"/>
    <col min="11020" max="11264" width="9.33203125" style="227"/>
    <col min="11265" max="11265" width="15" style="227" customWidth="1"/>
    <col min="11266" max="11266" width="12.6640625" style="227" customWidth="1"/>
    <col min="11267" max="11267" width="11.6640625" style="227" customWidth="1"/>
    <col min="11268" max="11268" width="44.88671875" style="227" customWidth="1"/>
    <col min="11269" max="11269" width="54.6640625" style="227" customWidth="1"/>
    <col min="11270" max="11270" width="15.33203125" style="227" customWidth="1"/>
    <col min="11271" max="11272" width="19.33203125" style="227" customWidth="1"/>
    <col min="11273" max="11273" width="13.88671875" style="227" customWidth="1"/>
    <col min="11274" max="11274" width="25.33203125" style="227" customWidth="1"/>
    <col min="11275" max="11275" width="16.33203125" style="227" customWidth="1"/>
    <col min="11276" max="11520" width="9.33203125" style="227"/>
    <col min="11521" max="11521" width="15" style="227" customWidth="1"/>
    <col min="11522" max="11522" width="12.6640625" style="227" customWidth="1"/>
    <col min="11523" max="11523" width="11.6640625" style="227" customWidth="1"/>
    <col min="11524" max="11524" width="44.88671875" style="227" customWidth="1"/>
    <col min="11525" max="11525" width="54.6640625" style="227" customWidth="1"/>
    <col min="11526" max="11526" width="15.33203125" style="227" customWidth="1"/>
    <col min="11527" max="11528" width="19.33203125" style="227" customWidth="1"/>
    <col min="11529" max="11529" width="13.88671875" style="227" customWidth="1"/>
    <col min="11530" max="11530" width="25.33203125" style="227" customWidth="1"/>
    <col min="11531" max="11531" width="16.33203125" style="227" customWidth="1"/>
    <col min="11532" max="11776" width="9.33203125" style="227"/>
    <col min="11777" max="11777" width="15" style="227" customWidth="1"/>
    <col min="11778" max="11778" width="12.6640625" style="227" customWidth="1"/>
    <col min="11779" max="11779" width="11.6640625" style="227" customWidth="1"/>
    <col min="11780" max="11780" width="44.88671875" style="227" customWidth="1"/>
    <col min="11781" max="11781" width="54.6640625" style="227" customWidth="1"/>
    <col min="11782" max="11782" width="15.33203125" style="227" customWidth="1"/>
    <col min="11783" max="11784" width="19.33203125" style="227" customWidth="1"/>
    <col min="11785" max="11785" width="13.88671875" style="227" customWidth="1"/>
    <col min="11786" max="11786" width="25.33203125" style="227" customWidth="1"/>
    <col min="11787" max="11787" width="16.33203125" style="227" customWidth="1"/>
    <col min="11788" max="12032" width="9.33203125" style="227"/>
    <col min="12033" max="12033" width="15" style="227" customWidth="1"/>
    <col min="12034" max="12034" width="12.6640625" style="227" customWidth="1"/>
    <col min="12035" max="12035" width="11.6640625" style="227" customWidth="1"/>
    <col min="12036" max="12036" width="44.88671875" style="227" customWidth="1"/>
    <col min="12037" max="12037" width="54.6640625" style="227" customWidth="1"/>
    <col min="12038" max="12038" width="15.33203125" style="227" customWidth="1"/>
    <col min="12039" max="12040" width="19.33203125" style="227" customWidth="1"/>
    <col min="12041" max="12041" width="13.88671875" style="227" customWidth="1"/>
    <col min="12042" max="12042" width="25.33203125" style="227" customWidth="1"/>
    <col min="12043" max="12043" width="16.33203125" style="227" customWidth="1"/>
    <col min="12044" max="12288" width="9.33203125" style="227"/>
    <col min="12289" max="12289" width="15" style="227" customWidth="1"/>
    <col min="12290" max="12290" width="12.6640625" style="227" customWidth="1"/>
    <col min="12291" max="12291" width="11.6640625" style="227" customWidth="1"/>
    <col min="12292" max="12292" width="44.88671875" style="227" customWidth="1"/>
    <col min="12293" max="12293" width="54.6640625" style="227" customWidth="1"/>
    <col min="12294" max="12294" width="15.33203125" style="227" customWidth="1"/>
    <col min="12295" max="12296" width="19.33203125" style="227" customWidth="1"/>
    <col min="12297" max="12297" width="13.88671875" style="227" customWidth="1"/>
    <col min="12298" max="12298" width="25.33203125" style="227" customWidth="1"/>
    <col min="12299" max="12299" width="16.33203125" style="227" customWidth="1"/>
    <col min="12300" max="12544" width="9.33203125" style="227"/>
    <col min="12545" max="12545" width="15" style="227" customWidth="1"/>
    <col min="12546" max="12546" width="12.6640625" style="227" customWidth="1"/>
    <col min="12547" max="12547" width="11.6640625" style="227" customWidth="1"/>
    <col min="12548" max="12548" width="44.88671875" style="227" customWidth="1"/>
    <col min="12549" max="12549" width="54.6640625" style="227" customWidth="1"/>
    <col min="12550" max="12550" width="15.33203125" style="227" customWidth="1"/>
    <col min="12551" max="12552" width="19.33203125" style="227" customWidth="1"/>
    <col min="12553" max="12553" width="13.88671875" style="227" customWidth="1"/>
    <col min="12554" max="12554" width="25.33203125" style="227" customWidth="1"/>
    <col min="12555" max="12555" width="16.33203125" style="227" customWidth="1"/>
    <col min="12556" max="12800" width="9.33203125" style="227"/>
    <col min="12801" max="12801" width="15" style="227" customWidth="1"/>
    <col min="12802" max="12802" width="12.6640625" style="227" customWidth="1"/>
    <col min="12803" max="12803" width="11.6640625" style="227" customWidth="1"/>
    <col min="12804" max="12804" width="44.88671875" style="227" customWidth="1"/>
    <col min="12805" max="12805" width="54.6640625" style="227" customWidth="1"/>
    <col min="12806" max="12806" width="15.33203125" style="227" customWidth="1"/>
    <col min="12807" max="12808" width="19.33203125" style="227" customWidth="1"/>
    <col min="12809" max="12809" width="13.88671875" style="227" customWidth="1"/>
    <col min="12810" max="12810" width="25.33203125" style="227" customWidth="1"/>
    <col min="12811" max="12811" width="16.33203125" style="227" customWidth="1"/>
    <col min="12812" max="13056" width="9.33203125" style="227"/>
    <col min="13057" max="13057" width="15" style="227" customWidth="1"/>
    <col min="13058" max="13058" width="12.6640625" style="227" customWidth="1"/>
    <col min="13059" max="13059" width="11.6640625" style="227" customWidth="1"/>
    <col min="13060" max="13060" width="44.88671875" style="227" customWidth="1"/>
    <col min="13061" max="13061" width="54.6640625" style="227" customWidth="1"/>
    <col min="13062" max="13062" width="15.33203125" style="227" customWidth="1"/>
    <col min="13063" max="13064" width="19.33203125" style="227" customWidth="1"/>
    <col min="13065" max="13065" width="13.88671875" style="227" customWidth="1"/>
    <col min="13066" max="13066" width="25.33203125" style="227" customWidth="1"/>
    <col min="13067" max="13067" width="16.33203125" style="227" customWidth="1"/>
    <col min="13068" max="13312" width="9.33203125" style="227"/>
    <col min="13313" max="13313" width="15" style="227" customWidth="1"/>
    <col min="13314" max="13314" width="12.6640625" style="227" customWidth="1"/>
    <col min="13315" max="13315" width="11.6640625" style="227" customWidth="1"/>
    <col min="13316" max="13316" width="44.88671875" style="227" customWidth="1"/>
    <col min="13317" max="13317" width="54.6640625" style="227" customWidth="1"/>
    <col min="13318" max="13318" width="15.33203125" style="227" customWidth="1"/>
    <col min="13319" max="13320" width="19.33203125" style="227" customWidth="1"/>
    <col min="13321" max="13321" width="13.88671875" style="227" customWidth="1"/>
    <col min="13322" max="13322" width="25.33203125" style="227" customWidth="1"/>
    <col min="13323" max="13323" width="16.33203125" style="227" customWidth="1"/>
    <col min="13324" max="13568" width="9.33203125" style="227"/>
    <col min="13569" max="13569" width="15" style="227" customWidth="1"/>
    <col min="13570" max="13570" width="12.6640625" style="227" customWidth="1"/>
    <col min="13571" max="13571" width="11.6640625" style="227" customWidth="1"/>
    <col min="13572" max="13572" width="44.88671875" style="227" customWidth="1"/>
    <col min="13573" max="13573" width="54.6640625" style="227" customWidth="1"/>
    <col min="13574" max="13574" width="15.33203125" style="227" customWidth="1"/>
    <col min="13575" max="13576" width="19.33203125" style="227" customWidth="1"/>
    <col min="13577" max="13577" width="13.88671875" style="227" customWidth="1"/>
    <col min="13578" max="13578" width="25.33203125" style="227" customWidth="1"/>
    <col min="13579" max="13579" width="16.33203125" style="227" customWidth="1"/>
    <col min="13580" max="13824" width="9.33203125" style="227"/>
    <col min="13825" max="13825" width="15" style="227" customWidth="1"/>
    <col min="13826" max="13826" width="12.6640625" style="227" customWidth="1"/>
    <col min="13827" max="13827" width="11.6640625" style="227" customWidth="1"/>
    <col min="13828" max="13828" width="44.88671875" style="227" customWidth="1"/>
    <col min="13829" max="13829" width="54.6640625" style="227" customWidth="1"/>
    <col min="13830" max="13830" width="15.33203125" style="227" customWidth="1"/>
    <col min="13831" max="13832" width="19.33203125" style="227" customWidth="1"/>
    <col min="13833" max="13833" width="13.88671875" style="227" customWidth="1"/>
    <col min="13834" max="13834" width="25.33203125" style="227" customWidth="1"/>
    <col min="13835" max="13835" width="16.33203125" style="227" customWidth="1"/>
    <col min="13836" max="14080" width="9.33203125" style="227"/>
    <col min="14081" max="14081" width="15" style="227" customWidth="1"/>
    <col min="14082" max="14082" width="12.6640625" style="227" customWidth="1"/>
    <col min="14083" max="14083" width="11.6640625" style="227" customWidth="1"/>
    <col min="14084" max="14084" width="44.88671875" style="227" customWidth="1"/>
    <col min="14085" max="14085" width="54.6640625" style="227" customWidth="1"/>
    <col min="14086" max="14086" width="15.33203125" style="227" customWidth="1"/>
    <col min="14087" max="14088" width="19.33203125" style="227" customWidth="1"/>
    <col min="14089" max="14089" width="13.88671875" style="227" customWidth="1"/>
    <col min="14090" max="14090" width="25.33203125" style="227" customWidth="1"/>
    <col min="14091" max="14091" width="16.33203125" style="227" customWidth="1"/>
    <col min="14092" max="14336" width="9.33203125" style="227"/>
    <col min="14337" max="14337" width="15" style="227" customWidth="1"/>
    <col min="14338" max="14338" width="12.6640625" style="227" customWidth="1"/>
    <col min="14339" max="14339" width="11.6640625" style="227" customWidth="1"/>
    <col min="14340" max="14340" width="44.88671875" style="227" customWidth="1"/>
    <col min="14341" max="14341" width="54.6640625" style="227" customWidth="1"/>
    <col min="14342" max="14342" width="15.33203125" style="227" customWidth="1"/>
    <col min="14343" max="14344" width="19.33203125" style="227" customWidth="1"/>
    <col min="14345" max="14345" width="13.88671875" style="227" customWidth="1"/>
    <col min="14346" max="14346" width="25.33203125" style="227" customWidth="1"/>
    <col min="14347" max="14347" width="16.33203125" style="227" customWidth="1"/>
    <col min="14348" max="14592" width="9.33203125" style="227"/>
    <col min="14593" max="14593" width="15" style="227" customWidth="1"/>
    <col min="14594" max="14594" width="12.6640625" style="227" customWidth="1"/>
    <col min="14595" max="14595" width="11.6640625" style="227" customWidth="1"/>
    <col min="14596" max="14596" width="44.88671875" style="227" customWidth="1"/>
    <col min="14597" max="14597" width="54.6640625" style="227" customWidth="1"/>
    <col min="14598" max="14598" width="15.33203125" style="227" customWidth="1"/>
    <col min="14599" max="14600" width="19.33203125" style="227" customWidth="1"/>
    <col min="14601" max="14601" width="13.88671875" style="227" customWidth="1"/>
    <col min="14602" max="14602" width="25.33203125" style="227" customWidth="1"/>
    <col min="14603" max="14603" width="16.33203125" style="227" customWidth="1"/>
    <col min="14604" max="14848" width="9.33203125" style="227"/>
    <col min="14849" max="14849" width="15" style="227" customWidth="1"/>
    <col min="14850" max="14850" width="12.6640625" style="227" customWidth="1"/>
    <col min="14851" max="14851" width="11.6640625" style="227" customWidth="1"/>
    <col min="14852" max="14852" width="44.88671875" style="227" customWidth="1"/>
    <col min="14853" max="14853" width="54.6640625" style="227" customWidth="1"/>
    <col min="14854" max="14854" width="15.33203125" style="227" customWidth="1"/>
    <col min="14855" max="14856" width="19.33203125" style="227" customWidth="1"/>
    <col min="14857" max="14857" width="13.88671875" style="227" customWidth="1"/>
    <col min="14858" max="14858" width="25.33203125" style="227" customWidth="1"/>
    <col min="14859" max="14859" width="16.33203125" style="227" customWidth="1"/>
    <col min="14860" max="15104" width="9.33203125" style="227"/>
    <col min="15105" max="15105" width="15" style="227" customWidth="1"/>
    <col min="15106" max="15106" width="12.6640625" style="227" customWidth="1"/>
    <col min="15107" max="15107" width="11.6640625" style="227" customWidth="1"/>
    <col min="15108" max="15108" width="44.88671875" style="227" customWidth="1"/>
    <col min="15109" max="15109" width="54.6640625" style="227" customWidth="1"/>
    <col min="15110" max="15110" width="15.33203125" style="227" customWidth="1"/>
    <col min="15111" max="15112" width="19.33203125" style="227" customWidth="1"/>
    <col min="15113" max="15113" width="13.88671875" style="227" customWidth="1"/>
    <col min="15114" max="15114" width="25.33203125" style="227" customWidth="1"/>
    <col min="15115" max="15115" width="16.33203125" style="227" customWidth="1"/>
    <col min="15116" max="15360" width="9.33203125" style="227"/>
    <col min="15361" max="15361" width="15" style="227" customWidth="1"/>
    <col min="15362" max="15362" width="12.6640625" style="227" customWidth="1"/>
    <col min="15363" max="15363" width="11.6640625" style="227" customWidth="1"/>
    <col min="15364" max="15364" width="44.88671875" style="227" customWidth="1"/>
    <col min="15365" max="15365" width="54.6640625" style="227" customWidth="1"/>
    <col min="15366" max="15366" width="15.33203125" style="227" customWidth="1"/>
    <col min="15367" max="15368" width="19.33203125" style="227" customWidth="1"/>
    <col min="15369" max="15369" width="13.88671875" style="227" customWidth="1"/>
    <col min="15370" max="15370" width="25.33203125" style="227" customWidth="1"/>
    <col min="15371" max="15371" width="16.33203125" style="227" customWidth="1"/>
    <col min="15372" max="15616" width="9.33203125" style="227"/>
    <col min="15617" max="15617" width="15" style="227" customWidth="1"/>
    <col min="15618" max="15618" width="12.6640625" style="227" customWidth="1"/>
    <col min="15619" max="15619" width="11.6640625" style="227" customWidth="1"/>
    <col min="15620" max="15620" width="44.88671875" style="227" customWidth="1"/>
    <col min="15621" max="15621" width="54.6640625" style="227" customWidth="1"/>
    <col min="15622" max="15622" width="15.33203125" style="227" customWidth="1"/>
    <col min="15623" max="15624" width="19.33203125" style="227" customWidth="1"/>
    <col min="15625" max="15625" width="13.88671875" style="227" customWidth="1"/>
    <col min="15626" max="15626" width="25.33203125" style="227" customWidth="1"/>
    <col min="15627" max="15627" width="16.33203125" style="227" customWidth="1"/>
    <col min="15628" max="15872" width="9.33203125" style="227"/>
    <col min="15873" max="15873" width="15" style="227" customWidth="1"/>
    <col min="15874" max="15874" width="12.6640625" style="227" customWidth="1"/>
    <col min="15875" max="15875" width="11.6640625" style="227" customWidth="1"/>
    <col min="15876" max="15876" width="44.88671875" style="227" customWidth="1"/>
    <col min="15877" max="15877" width="54.6640625" style="227" customWidth="1"/>
    <col min="15878" max="15878" width="15.33203125" style="227" customWidth="1"/>
    <col min="15879" max="15880" width="19.33203125" style="227" customWidth="1"/>
    <col min="15881" max="15881" width="13.88671875" style="227" customWidth="1"/>
    <col min="15882" max="15882" width="25.33203125" style="227" customWidth="1"/>
    <col min="15883" max="15883" width="16.33203125" style="227" customWidth="1"/>
    <col min="15884" max="16128" width="9.33203125" style="227"/>
    <col min="16129" max="16129" width="15" style="227" customWidth="1"/>
    <col min="16130" max="16130" width="12.6640625" style="227" customWidth="1"/>
    <col min="16131" max="16131" width="11.6640625" style="227" customWidth="1"/>
    <col min="16132" max="16132" width="44.88671875" style="227" customWidth="1"/>
    <col min="16133" max="16133" width="54.6640625" style="227" customWidth="1"/>
    <col min="16134" max="16134" width="15.33203125" style="227" customWidth="1"/>
    <col min="16135" max="16136" width="19.33203125" style="227" customWidth="1"/>
    <col min="16137" max="16137" width="13.88671875" style="227" customWidth="1"/>
    <col min="16138" max="16138" width="25.33203125" style="227" customWidth="1"/>
    <col min="16139" max="16139" width="16.33203125" style="227" customWidth="1"/>
    <col min="16140" max="16384" width="9.33203125" style="227"/>
  </cols>
  <sheetData>
    <row r="2" spans="1:11" ht="15.6" x14ac:dyDescent="0.25">
      <c r="I2" s="635" t="s">
        <v>673</v>
      </c>
      <c r="J2" s="4"/>
    </row>
    <row r="3" spans="1:11" ht="15.6" x14ac:dyDescent="0.25">
      <c r="I3" s="95" t="s">
        <v>558</v>
      </c>
      <c r="J3" s="4"/>
    </row>
    <row r="4" spans="1:11" ht="15.6" x14ac:dyDescent="0.3">
      <c r="I4" s="631" t="s">
        <v>680</v>
      </c>
      <c r="J4" s="7"/>
    </row>
    <row r="5" spans="1:11" ht="15.6" x14ac:dyDescent="0.3">
      <c r="I5" s="631" t="s">
        <v>681</v>
      </c>
      <c r="J5" s="98"/>
    </row>
    <row r="6" spans="1:11" ht="15.6" x14ac:dyDescent="0.25">
      <c r="I6" s="814" t="s">
        <v>576</v>
      </c>
      <c r="J6" s="814"/>
    </row>
    <row r="8" spans="1:11" ht="15.6" x14ac:dyDescent="0.25">
      <c r="G8" s="231"/>
      <c r="H8" s="231"/>
      <c r="I8" s="234" t="s">
        <v>406</v>
      </c>
      <c r="J8" s="234"/>
      <c r="K8" s="227"/>
    </row>
    <row r="9" spans="1:11" ht="15" customHeight="1" x14ac:dyDescent="0.25">
      <c r="G9" s="231"/>
      <c r="H9" s="231"/>
      <c r="I9" s="813" t="s">
        <v>280</v>
      </c>
      <c r="J9" s="813"/>
      <c r="K9" s="227"/>
    </row>
    <row r="10" spans="1:11" ht="15.6" x14ac:dyDescent="0.3">
      <c r="G10" s="231"/>
      <c r="H10" s="231"/>
      <c r="I10" s="235" t="s">
        <v>407</v>
      </c>
      <c r="J10" s="236"/>
      <c r="K10" s="227"/>
    </row>
    <row r="11" spans="1:11" ht="15.6" x14ac:dyDescent="0.3">
      <c r="G11" s="231"/>
      <c r="H11" s="231"/>
      <c r="I11" s="235" t="s">
        <v>281</v>
      </c>
      <c r="J11" s="236"/>
      <c r="K11" s="227"/>
    </row>
    <row r="12" spans="1:11" ht="14.1" customHeight="1" x14ac:dyDescent="0.3">
      <c r="G12" s="231"/>
      <c r="H12" s="231"/>
      <c r="I12" s="6" t="s">
        <v>408</v>
      </c>
      <c r="J12" s="237"/>
      <c r="K12" s="227"/>
    </row>
    <row r="13" spans="1:11" ht="20.25" customHeight="1" x14ac:dyDescent="0.3">
      <c r="G13" s="231"/>
      <c r="H13" s="231"/>
      <c r="I13" s="238" t="s">
        <v>275</v>
      </c>
      <c r="J13" s="239"/>
      <c r="K13" s="227"/>
    </row>
    <row r="14" spans="1:11" ht="15.6" x14ac:dyDescent="0.25">
      <c r="G14" s="231"/>
      <c r="H14" s="231"/>
      <c r="I14" s="240" t="s">
        <v>409</v>
      </c>
      <c r="K14" s="227"/>
    </row>
    <row r="15" spans="1:11" s="235" customFormat="1" ht="15.6" x14ac:dyDescent="0.3">
      <c r="A15" s="227"/>
      <c r="B15" s="228"/>
      <c r="C15" s="229"/>
      <c r="D15" s="230"/>
      <c r="E15" s="231"/>
      <c r="F15" s="229"/>
      <c r="G15" s="231"/>
      <c r="H15" s="231"/>
      <c r="I15" s="231"/>
      <c r="K15" s="241"/>
    </row>
    <row r="16" spans="1:11" ht="27" customHeight="1" x14ac:dyDescent="0.25">
      <c r="A16" s="923" t="s">
        <v>410</v>
      </c>
      <c r="B16" s="923"/>
      <c r="C16" s="923"/>
      <c r="D16" s="923"/>
      <c r="E16" s="923"/>
      <c r="F16" s="923"/>
      <c r="G16" s="923"/>
      <c r="H16" s="923"/>
      <c r="I16" s="923"/>
      <c r="J16" s="923"/>
      <c r="K16" s="923"/>
    </row>
    <row r="17" spans="1:11" ht="28.35" customHeight="1" x14ac:dyDescent="0.25">
      <c r="A17" s="924">
        <v>1559100000</v>
      </c>
      <c r="B17" s="924"/>
      <c r="C17" s="924"/>
      <c r="D17" s="925"/>
      <c r="E17" s="925"/>
      <c r="F17" s="925"/>
      <c r="G17" s="925"/>
      <c r="H17" s="925"/>
      <c r="I17" s="925"/>
      <c r="J17" s="925"/>
      <c r="K17" s="925"/>
    </row>
    <row r="18" spans="1:11" ht="22.2" customHeight="1" thickBot="1" x14ac:dyDescent="0.3">
      <c r="A18" s="926" t="s">
        <v>0</v>
      </c>
      <c r="B18" s="926"/>
      <c r="C18" s="926"/>
      <c r="D18" s="242"/>
      <c r="E18" s="242"/>
      <c r="F18" s="243"/>
      <c r="G18" s="242"/>
      <c r="H18" s="242"/>
      <c r="I18" s="242"/>
      <c r="J18" s="242"/>
      <c r="K18" s="244" t="s">
        <v>282</v>
      </c>
    </row>
    <row r="19" spans="1:11" s="235" customFormat="1" ht="77.25" customHeight="1" x14ac:dyDescent="0.3">
      <c r="A19" s="927" t="s">
        <v>10</v>
      </c>
      <c r="B19" s="929" t="s">
        <v>11</v>
      </c>
      <c r="C19" s="931" t="s">
        <v>411</v>
      </c>
      <c r="D19" s="929" t="s">
        <v>412</v>
      </c>
      <c r="E19" s="931" t="s">
        <v>413</v>
      </c>
      <c r="F19" s="929" t="s">
        <v>414</v>
      </c>
      <c r="G19" s="931" t="s">
        <v>415</v>
      </c>
      <c r="H19" s="933" t="s">
        <v>416</v>
      </c>
      <c r="I19" s="929" t="s">
        <v>417</v>
      </c>
      <c r="J19" s="933" t="s">
        <v>418</v>
      </c>
      <c r="K19" s="921" t="s">
        <v>419</v>
      </c>
    </row>
    <row r="20" spans="1:11" s="235" customFormat="1" ht="157.94999999999999" customHeight="1" thickBot="1" x14ac:dyDescent="0.35">
      <c r="A20" s="928"/>
      <c r="B20" s="930"/>
      <c r="C20" s="932"/>
      <c r="D20" s="930"/>
      <c r="E20" s="932"/>
      <c r="F20" s="930"/>
      <c r="G20" s="932"/>
      <c r="H20" s="934"/>
      <c r="I20" s="930"/>
      <c r="J20" s="934"/>
      <c r="K20" s="922"/>
    </row>
    <row r="21" spans="1:11" s="99" customFormat="1" ht="24" customHeight="1" thickBot="1" x14ac:dyDescent="0.35">
      <c r="A21" s="245" t="s">
        <v>420</v>
      </c>
      <c r="B21" s="246" t="s">
        <v>421</v>
      </c>
      <c r="C21" s="247" t="s">
        <v>422</v>
      </c>
      <c r="D21" s="246" t="s">
        <v>423</v>
      </c>
      <c r="E21" s="246" t="s">
        <v>424</v>
      </c>
      <c r="F21" s="246" t="s">
        <v>425</v>
      </c>
      <c r="G21" s="246" t="s">
        <v>426</v>
      </c>
      <c r="H21" s="247" t="s">
        <v>427</v>
      </c>
      <c r="I21" s="247" t="s">
        <v>428</v>
      </c>
      <c r="J21" s="248">
        <v>10</v>
      </c>
      <c r="K21" s="249">
        <v>11</v>
      </c>
    </row>
    <row r="22" spans="1:11" s="99" customFormat="1" ht="52.8" thickBot="1" x14ac:dyDescent="0.35">
      <c r="A22" s="250" t="s">
        <v>15</v>
      </c>
      <c r="B22" s="251"/>
      <c r="C22" s="252"/>
      <c r="D22" s="253" t="s">
        <v>678</v>
      </c>
      <c r="E22" s="254"/>
      <c r="F22" s="255"/>
      <c r="G22" s="256"/>
      <c r="H22" s="257"/>
      <c r="I22" s="257"/>
      <c r="J22" s="258">
        <f>J23</f>
        <v>59189664</v>
      </c>
      <c r="K22" s="259"/>
    </row>
    <row r="23" spans="1:11" s="99" customFormat="1" ht="60" customHeight="1" x14ac:dyDescent="0.3">
      <c r="A23" s="260" t="s">
        <v>17</v>
      </c>
      <c r="B23" s="261"/>
      <c r="C23" s="261"/>
      <c r="D23" s="262" t="s">
        <v>678</v>
      </c>
      <c r="E23" s="263"/>
      <c r="F23" s="264"/>
      <c r="G23" s="265"/>
      <c r="H23" s="266"/>
      <c r="I23" s="266"/>
      <c r="J23" s="267">
        <f>SUM(J24:J31)</f>
        <v>59189664</v>
      </c>
      <c r="K23" s="268"/>
    </row>
    <row r="24" spans="1:11" s="99" customFormat="1" ht="101.25" customHeight="1" x14ac:dyDescent="0.3">
      <c r="A24" s="269" t="s">
        <v>172</v>
      </c>
      <c r="B24" s="270" t="s">
        <v>173</v>
      </c>
      <c r="C24" s="270" t="s">
        <v>18</v>
      </c>
      <c r="D24" s="539" t="s">
        <v>174</v>
      </c>
      <c r="E24" s="271" t="s">
        <v>429</v>
      </c>
      <c r="F24" s="272"/>
      <c r="G24" s="273"/>
      <c r="H24" s="273"/>
      <c r="I24" s="273"/>
      <c r="J24" s="274">
        <f>338000</f>
        <v>338000</v>
      </c>
      <c r="K24" s="275"/>
    </row>
    <row r="25" spans="1:11" s="99" customFormat="1" ht="54" customHeight="1" x14ac:dyDescent="0.3">
      <c r="A25" s="269" t="s">
        <v>19</v>
      </c>
      <c r="B25" s="424" t="s">
        <v>20</v>
      </c>
      <c r="C25" s="424" t="s">
        <v>21</v>
      </c>
      <c r="D25" s="723" t="s">
        <v>22</v>
      </c>
      <c r="E25" s="271" t="s">
        <v>487</v>
      </c>
      <c r="F25" s="272"/>
      <c r="G25" s="273"/>
      <c r="H25" s="273"/>
      <c r="I25" s="273"/>
      <c r="J25" s="274">
        <v>2173600</v>
      </c>
      <c r="K25" s="275"/>
    </row>
    <row r="26" spans="1:11" s="99" customFormat="1" ht="74.25" customHeight="1" x14ac:dyDescent="0.3">
      <c r="A26" s="276" t="s">
        <v>23</v>
      </c>
      <c r="B26" s="277" t="s">
        <v>24</v>
      </c>
      <c r="C26" s="277" t="s">
        <v>25</v>
      </c>
      <c r="D26" s="431" t="s">
        <v>26</v>
      </c>
      <c r="E26" s="271" t="s">
        <v>429</v>
      </c>
      <c r="F26" s="272"/>
      <c r="G26" s="273"/>
      <c r="H26" s="273"/>
      <c r="I26" s="273"/>
      <c r="J26" s="274">
        <v>372400</v>
      </c>
      <c r="K26" s="275"/>
    </row>
    <row r="27" spans="1:11" s="99" customFormat="1" ht="63" customHeight="1" x14ac:dyDescent="0.3">
      <c r="A27" s="747" t="s">
        <v>30</v>
      </c>
      <c r="B27" s="636" t="s">
        <v>31</v>
      </c>
      <c r="C27" s="636" t="s">
        <v>32</v>
      </c>
      <c r="D27" s="431" t="s">
        <v>430</v>
      </c>
      <c r="E27" s="271" t="s">
        <v>429</v>
      </c>
      <c r="F27" s="272"/>
      <c r="G27" s="273"/>
      <c r="H27" s="273"/>
      <c r="I27" s="273"/>
      <c r="J27" s="274">
        <v>53364</v>
      </c>
      <c r="K27" s="275"/>
    </row>
    <row r="28" spans="1:11" s="99" customFormat="1" ht="71.25" customHeight="1" x14ac:dyDescent="0.3">
      <c r="A28" s="747" t="s">
        <v>254</v>
      </c>
      <c r="B28" s="636">
        <v>7650</v>
      </c>
      <c r="C28" s="636" t="s">
        <v>177</v>
      </c>
      <c r="D28" s="431" t="s">
        <v>255</v>
      </c>
      <c r="E28" s="271" t="s">
        <v>431</v>
      </c>
      <c r="F28" s="272"/>
      <c r="G28" s="273"/>
      <c r="H28" s="273"/>
      <c r="I28" s="273"/>
      <c r="J28" s="274">
        <v>57000</v>
      </c>
      <c r="K28" s="275"/>
    </row>
    <row r="29" spans="1:11" s="99" customFormat="1" ht="99.75" customHeight="1" x14ac:dyDescent="0.3">
      <c r="A29" s="747" t="s">
        <v>256</v>
      </c>
      <c r="B29" s="636" t="s">
        <v>257</v>
      </c>
      <c r="C29" s="636" t="s">
        <v>177</v>
      </c>
      <c r="D29" s="431" t="s">
        <v>258</v>
      </c>
      <c r="E29" s="271" t="s">
        <v>431</v>
      </c>
      <c r="F29" s="272"/>
      <c r="G29" s="273"/>
      <c r="H29" s="273"/>
      <c r="I29" s="273"/>
      <c r="J29" s="274">
        <v>16900</v>
      </c>
      <c r="K29" s="275"/>
    </row>
    <row r="30" spans="1:11" s="99" customFormat="1" ht="54" customHeight="1" x14ac:dyDescent="0.3">
      <c r="A30" s="747" t="s">
        <v>158</v>
      </c>
      <c r="B30" s="636" t="s">
        <v>179</v>
      </c>
      <c r="C30" s="636" t="s">
        <v>36</v>
      </c>
      <c r="D30" s="623" t="s">
        <v>159</v>
      </c>
      <c r="E30" s="271" t="s">
        <v>487</v>
      </c>
      <c r="F30" s="272"/>
      <c r="G30" s="273"/>
      <c r="H30" s="273"/>
      <c r="I30" s="273"/>
      <c r="J30" s="274">
        <v>900000</v>
      </c>
      <c r="K30" s="275"/>
    </row>
    <row r="31" spans="1:11" s="99" customFormat="1" ht="77.25" customHeight="1" thickBot="1" x14ac:dyDescent="0.35">
      <c r="A31" s="753" t="s">
        <v>343</v>
      </c>
      <c r="B31" s="755" t="s">
        <v>432</v>
      </c>
      <c r="C31" s="755" t="s">
        <v>225</v>
      </c>
      <c r="D31" s="538" t="s">
        <v>344</v>
      </c>
      <c r="E31" s="278" t="s">
        <v>433</v>
      </c>
      <c r="F31" s="279"/>
      <c r="G31" s="280"/>
      <c r="H31" s="280"/>
      <c r="I31" s="280"/>
      <c r="J31" s="281">
        <f>0+1000000+150000+2937000+26000+310400+1500000+4000000+3000000+5000000+1300000+4572000+4000000-4000000+5000000+3000000+1000000+2500000+900000+1000000+3000000+5000000+1083000+9000000</f>
        <v>55278400</v>
      </c>
      <c r="K31" s="282"/>
    </row>
    <row r="32" spans="1:11" s="99" customFormat="1" ht="54" customHeight="1" thickBot="1" x14ac:dyDescent="0.35">
      <c r="A32" s="596" t="s">
        <v>42</v>
      </c>
      <c r="B32" s="597"/>
      <c r="C32" s="597"/>
      <c r="D32" s="671" t="s">
        <v>525</v>
      </c>
      <c r="E32" s="598"/>
      <c r="F32" s="599"/>
      <c r="G32" s="600"/>
      <c r="H32" s="600"/>
      <c r="I32" s="600"/>
      <c r="J32" s="288">
        <f>J33</f>
        <v>1537216</v>
      </c>
      <c r="K32" s="601"/>
    </row>
    <row r="33" spans="1:11" s="99" customFormat="1" ht="43.5" customHeight="1" x14ac:dyDescent="0.3">
      <c r="A33" s="602" t="s">
        <v>44</v>
      </c>
      <c r="B33" s="291" t="s">
        <v>16</v>
      </c>
      <c r="C33" s="291" t="s">
        <v>16</v>
      </c>
      <c r="D33" s="540" t="s">
        <v>525</v>
      </c>
      <c r="E33" s="317"/>
      <c r="F33" s="324"/>
      <c r="G33" s="603"/>
      <c r="H33" s="603"/>
      <c r="I33" s="603"/>
      <c r="J33" s="296">
        <f>J34+J35</f>
        <v>1537216</v>
      </c>
      <c r="K33" s="624"/>
    </row>
    <row r="34" spans="1:11" s="99" customFormat="1" ht="45.75" customHeight="1" x14ac:dyDescent="0.3">
      <c r="A34" s="750" t="s">
        <v>46</v>
      </c>
      <c r="B34" s="636" t="s">
        <v>47</v>
      </c>
      <c r="C34" s="636" t="s">
        <v>48</v>
      </c>
      <c r="D34" s="539" t="s">
        <v>49</v>
      </c>
      <c r="E34" s="271" t="s">
        <v>429</v>
      </c>
      <c r="F34" s="604"/>
      <c r="G34" s="605"/>
      <c r="H34" s="605"/>
      <c r="I34" s="605"/>
      <c r="J34" s="274">
        <v>499750</v>
      </c>
      <c r="K34" s="625"/>
    </row>
    <row r="35" spans="1:11" s="99" customFormat="1" ht="102" customHeight="1" thickBot="1" x14ac:dyDescent="0.35">
      <c r="A35" s="753" t="s">
        <v>519</v>
      </c>
      <c r="B35" s="754" t="s">
        <v>520</v>
      </c>
      <c r="C35" s="754" t="s">
        <v>58</v>
      </c>
      <c r="D35" s="798" t="s">
        <v>521</v>
      </c>
      <c r="E35" s="300" t="s">
        <v>429</v>
      </c>
      <c r="F35" s="655"/>
      <c r="G35" s="656"/>
      <c r="H35" s="656"/>
      <c r="I35" s="656"/>
      <c r="J35" s="308">
        <f>1049568-12102</f>
        <v>1037466</v>
      </c>
      <c r="K35" s="657"/>
    </row>
    <row r="36" spans="1:11" s="99" customFormat="1" ht="66" customHeight="1" thickBot="1" x14ac:dyDescent="0.35">
      <c r="A36" s="283" t="s">
        <v>69</v>
      </c>
      <c r="B36" s="284" t="s">
        <v>16</v>
      </c>
      <c r="C36" s="284" t="s">
        <v>16</v>
      </c>
      <c r="D36" s="658" t="s">
        <v>70</v>
      </c>
      <c r="E36" s="285"/>
      <c r="F36" s="286"/>
      <c r="G36" s="287"/>
      <c r="H36" s="287"/>
      <c r="I36" s="287"/>
      <c r="J36" s="288">
        <f>J37</f>
        <v>3834633</v>
      </c>
      <c r="K36" s="289"/>
    </row>
    <row r="37" spans="1:11" s="99" customFormat="1" ht="54" x14ac:dyDescent="0.3">
      <c r="A37" s="290" t="s">
        <v>71</v>
      </c>
      <c r="B37" s="291" t="s">
        <v>16</v>
      </c>
      <c r="C37" s="291" t="s">
        <v>16</v>
      </c>
      <c r="D37" s="292" t="s">
        <v>70</v>
      </c>
      <c r="E37" s="293"/>
      <c r="F37" s="294"/>
      <c r="G37" s="295"/>
      <c r="H37" s="295"/>
      <c r="I37" s="295"/>
      <c r="J37" s="296">
        <f>J38+J39+J40</f>
        <v>3834633</v>
      </c>
      <c r="K37" s="297"/>
    </row>
    <row r="38" spans="1:11" s="99" customFormat="1" ht="66" customHeight="1" x14ac:dyDescent="0.3">
      <c r="A38" s="276" t="s">
        <v>187</v>
      </c>
      <c r="B38" s="277" t="s">
        <v>45</v>
      </c>
      <c r="C38" s="277" t="s">
        <v>18</v>
      </c>
      <c r="D38" s="431" t="s">
        <v>181</v>
      </c>
      <c r="E38" s="271" t="s">
        <v>429</v>
      </c>
      <c r="F38" s="272"/>
      <c r="G38" s="273"/>
      <c r="H38" s="273"/>
      <c r="I38" s="273"/>
      <c r="J38" s="274">
        <v>46000</v>
      </c>
      <c r="K38" s="275"/>
    </row>
    <row r="39" spans="1:11" s="99" customFormat="1" ht="56.25" customHeight="1" x14ac:dyDescent="0.3">
      <c r="A39" s="298" t="s">
        <v>188</v>
      </c>
      <c r="B39" s="299" t="s">
        <v>189</v>
      </c>
      <c r="C39" s="299" t="s">
        <v>47</v>
      </c>
      <c r="D39" s="538" t="s">
        <v>190</v>
      </c>
      <c r="E39" s="300" t="s">
        <v>429</v>
      </c>
      <c r="F39" s="279"/>
      <c r="G39" s="280"/>
      <c r="H39" s="280"/>
      <c r="I39" s="280"/>
      <c r="J39" s="281">
        <v>80500</v>
      </c>
      <c r="K39" s="282"/>
    </row>
    <row r="40" spans="1:11" s="99" customFormat="1" ht="408.75" customHeight="1" x14ac:dyDescent="0.3">
      <c r="A40" s="550" t="s">
        <v>476</v>
      </c>
      <c r="B40" s="748" t="s">
        <v>477</v>
      </c>
      <c r="C40" s="748" t="s">
        <v>478</v>
      </c>
      <c r="D40" s="551" t="s">
        <v>479</v>
      </c>
      <c r="E40" s="361" t="s">
        <v>480</v>
      </c>
      <c r="F40" s="272"/>
      <c r="G40" s="273"/>
      <c r="H40" s="273"/>
      <c r="I40" s="273"/>
      <c r="J40" s="274">
        <f>2164782+1543351</f>
        <v>3708133</v>
      </c>
      <c r="K40" s="275"/>
    </row>
    <row r="41" spans="1:11" s="99" customFormat="1" ht="66.75" customHeight="1" thickBot="1" x14ac:dyDescent="0.35">
      <c r="A41" s="607" t="s">
        <v>89</v>
      </c>
      <c r="B41" s="608" t="s">
        <v>16</v>
      </c>
      <c r="C41" s="608" t="s">
        <v>16</v>
      </c>
      <c r="D41" s="606" t="s">
        <v>90</v>
      </c>
      <c r="E41" s="609"/>
      <c r="F41" s="610"/>
      <c r="G41" s="611"/>
      <c r="H41" s="611"/>
      <c r="I41" s="611"/>
      <c r="J41" s="612">
        <f>J42</f>
        <v>1884997</v>
      </c>
      <c r="K41" s="613"/>
    </row>
    <row r="42" spans="1:11" s="99" customFormat="1" ht="54" x14ac:dyDescent="0.3">
      <c r="A42" s="290" t="s">
        <v>91</v>
      </c>
      <c r="B42" s="291" t="s">
        <v>16</v>
      </c>
      <c r="C42" s="291" t="s">
        <v>16</v>
      </c>
      <c r="D42" s="292" t="s">
        <v>90</v>
      </c>
      <c r="E42" s="301"/>
      <c r="F42" s="302"/>
      <c r="G42" s="303"/>
      <c r="H42" s="303"/>
      <c r="I42" s="303"/>
      <c r="J42" s="296">
        <f>J43+J44+J45+J46+J47+J48</f>
        <v>1884997</v>
      </c>
      <c r="K42" s="304"/>
    </row>
    <row r="43" spans="1:11" s="99" customFormat="1" ht="55.2" customHeight="1" x14ac:dyDescent="0.3">
      <c r="A43" s="276" t="s">
        <v>92</v>
      </c>
      <c r="B43" s="277" t="s">
        <v>93</v>
      </c>
      <c r="C43" s="277" t="s">
        <v>56</v>
      </c>
      <c r="D43" s="665" t="s">
        <v>94</v>
      </c>
      <c r="E43" s="271" t="s">
        <v>429</v>
      </c>
      <c r="F43" s="305"/>
      <c r="G43" s="306"/>
      <c r="H43" s="306"/>
      <c r="I43" s="306"/>
      <c r="J43" s="274">
        <f>27000+26699</f>
        <v>53699</v>
      </c>
      <c r="K43" s="307"/>
    </row>
    <row r="44" spans="1:11" s="99" customFormat="1" ht="52.95" customHeight="1" x14ac:dyDescent="0.3">
      <c r="A44" s="276" t="s">
        <v>98</v>
      </c>
      <c r="B44" s="277" t="s">
        <v>99</v>
      </c>
      <c r="C44" s="277" t="s">
        <v>100</v>
      </c>
      <c r="D44" s="665" t="s">
        <v>101</v>
      </c>
      <c r="E44" s="271" t="s">
        <v>429</v>
      </c>
      <c r="F44" s="305"/>
      <c r="G44" s="306"/>
      <c r="H44" s="306"/>
      <c r="I44" s="306"/>
      <c r="J44" s="274">
        <f>50000+67999</f>
        <v>117999</v>
      </c>
      <c r="K44" s="307"/>
    </row>
    <row r="45" spans="1:11" s="99" customFormat="1" ht="49.95" customHeight="1" x14ac:dyDescent="0.3">
      <c r="A45" s="276" t="s">
        <v>102</v>
      </c>
      <c r="B45" s="277" t="s">
        <v>103</v>
      </c>
      <c r="C45" s="277" t="s">
        <v>100</v>
      </c>
      <c r="D45" s="665" t="s">
        <v>104</v>
      </c>
      <c r="E45" s="271" t="s">
        <v>429</v>
      </c>
      <c r="F45" s="305"/>
      <c r="G45" s="306"/>
      <c r="H45" s="306"/>
      <c r="I45" s="306"/>
      <c r="J45" s="274">
        <v>50299</v>
      </c>
      <c r="K45" s="307"/>
    </row>
    <row r="46" spans="1:11" s="99" customFormat="1" ht="51.6" customHeight="1" x14ac:dyDescent="0.3">
      <c r="A46" s="276" t="s">
        <v>199</v>
      </c>
      <c r="B46" s="277" t="s">
        <v>200</v>
      </c>
      <c r="C46" s="277" t="s">
        <v>109</v>
      </c>
      <c r="D46" s="666" t="s">
        <v>201</v>
      </c>
      <c r="E46" s="300" t="s">
        <v>429</v>
      </c>
      <c r="F46" s="305"/>
      <c r="G46" s="306"/>
      <c r="H46" s="306"/>
      <c r="I46" s="306"/>
      <c r="J46" s="274">
        <v>23000</v>
      </c>
      <c r="K46" s="307"/>
    </row>
    <row r="47" spans="1:11" s="99" customFormat="1" ht="51.6" customHeight="1" x14ac:dyDescent="0.4">
      <c r="A47" s="276">
        <v>1015041</v>
      </c>
      <c r="B47" s="277">
        <v>5041</v>
      </c>
      <c r="C47" s="636" t="s">
        <v>115</v>
      </c>
      <c r="D47" s="667" t="s">
        <v>160</v>
      </c>
      <c r="E47" s="668" t="s">
        <v>487</v>
      </c>
      <c r="F47" s="305"/>
      <c r="G47" s="306"/>
      <c r="H47" s="306"/>
      <c r="I47" s="306"/>
      <c r="J47" s="274">
        <v>1594000</v>
      </c>
      <c r="K47" s="307"/>
    </row>
    <row r="48" spans="1:11" s="99" customFormat="1" ht="87" customHeight="1" thickBot="1" x14ac:dyDescent="0.45">
      <c r="A48" s="659">
        <v>1015061</v>
      </c>
      <c r="B48" s="660">
        <v>5061</v>
      </c>
      <c r="C48" s="661" t="s">
        <v>115</v>
      </c>
      <c r="D48" s="667" t="s">
        <v>122</v>
      </c>
      <c r="E48" s="668" t="s">
        <v>487</v>
      </c>
      <c r="F48" s="662"/>
      <c r="G48" s="663"/>
      <c r="H48" s="663"/>
      <c r="I48" s="663"/>
      <c r="J48" s="281">
        <f>0+46000</f>
        <v>46000</v>
      </c>
      <c r="K48" s="664"/>
    </row>
    <row r="49" spans="1:11" s="99" customFormat="1" ht="72.599999999999994" customHeight="1" thickBot="1" x14ac:dyDescent="0.35">
      <c r="A49" s="309" t="s">
        <v>126</v>
      </c>
      <c r="B49" s="251"/>
      <c r="C49" s="251"/>
      <c r="D49" s="310" t="s">
        <v>434</v>
      </c>
      <c r="E49" s="311"/>
      <c r="F49" s="255"/>
      <c r="G49" s="312"/>
      <c r="H49" s="312"/>
      <c r="I49" s="312"/>
      <c r="J49" s="313">
        <f>J50</f>
        <v>10470500</v>
      </c>
      <c r="K49" s="259"/>
    </row>
    <row r="50" spans="1:11" s="99" customFormat="1" ht="77.25" customHeight="1" x14ac:dyDescent="0.3">
      <c r="A50" s="314" t="s">
        <v>128</v>
      </c>
      <c r="B50" s="315"/>
      <c r="C50" s="315"/>
      <c r="D50" s="316" t="s">
        <v>434</v>
      </c>
      <c r="E50" s="317"/>
      <c r="F50" s="318"/>
      <c r="G50" s="319"/>
      <c r="H50" s="319"/>
      <c r="I50" s="319"/>
      <c r="J50" s="320">
        <f>SUM(J51:J53)</f>
        <v>10470500</v>
      </c>
      <c r="K50" s="321"/>
    </row>
    <row r="51" spans="1:11" s="99" customFormat="1" ht="60.75" customHeight="1" x14ac:dyDescent="0.3">
      <c r="A51" s="269" t="s">
        <v>129</v>
      </c>
      <c r="B51" s="270" t="s">
        <v>45</v>
      </c>
      <c r="C51" s="270" t="s">
        <v>18</v>
      </c>
      <c r="D51" s="539" t="s">
        <v>435</v>
      </c>
      <c r="E51" s="271" t="s">
        <v>429</v>
      </c>
      <c r="F51" s="375"/>
      <c r="G51" s="425"/>
      <c r="H51" s="425"/>
      <c r="I51" s="425"/>
      <c r="J51" s="274">
        <f>23000+23000</f>
        <v>46000</v>
      </c>
      <c r="K51" s="530"/>
    </row>
    <row r="52" spans="1:11" s="99" customFormat="1" ht="60.75" customHeight="1" x14ac:dyDescent="0.3">
      <c r="A52" s="269" t="s">
        <v>535</v>
      </c>
      <c r="B52" s="270" t="s">
        <v>536</v>
      </c>
      <c r="C52" s="270" t="s">
        <v>28</v>
      </c>
      <c r="D52" s="539" t="s">
        <v>356</v>
      </c>
      <c r="E52" s="271" t="s">
        <v>487</v>
      </c>
      <c r="F52" s="375"/>
      <c r="G52" s="425"/>
      <c r="H52" s="425"/>
      <c r="I52" s="425"/>
      <c r="J52" s="274">
        <v>5400000</v>
      </c>
      <c r="K52" s="530"/>
    </row>
    <row r="53" spans="1:11" s="99" customFormat="1" ht="45" customHeight="1" thickBot="1" x14ac:dyDescent="0.35">
      <c r="A53" s="426" t="s">
        <v>137</v>
      </c>
      <c r="B53" s="427" t="s">
        <v>27</v>
      </c>
      <c r="C53" s="427" t="s">
        <v>28</v>
      </c>
      <c r="D53" s="539" t="s">
        <v>29</v>
      </c>
      <c r="E53" s="271" t="s">
        <v>487</v>
      </c>
      <c r="F53" s="428"/>
      <c r="G53" s="429"/>
      <c r="H53" s="429"/>
      <c r="I53" s="429"/>
      <c r="J53" s="638">
        <f>4960000+64500</f>
        <v>5024500</v>
      </c>
      <c r="K53" s="430"/>
    </row>
    <row r="54" spans="1:11" s="443" customFormat="1" ht="64.5" customHeight="1" thickBot="1" x14ac:dyDescent="0.35">
      <c r="A54" s="552" t="s">
        <v>146</v>
      </c>
      <c r="B54" s="553"/>
      <c r="C54" s="553"/>
      <c r="D54" s="554" t="s">
        <v>436</v>
      </c>
      <c r="E54" s="555"/>
      <c r="F54" s="553"/>
      <c r="G54" s="556"/>
      <c r="H54" s="556"/>
      <c r="I54" s="556"/>
      <c r="J54" s="557">
        <f>J55</f>
        <v>118308057</v>
      </c>
      <c r="K54" s="558"/>
    </row>
    <row r="55" spans="1:11" s="99" customFormat="1" ht="57.75" customHeight="1" x14ac:dyDescent="0.3">
      <c r="A55" s="314" t="s">
        <v>148</v>
      </c>
      <c r="B55" s="294"/>
      <c r="C55" s="302"/>
      <c r="D55" s="322" t="s">
        <v>436</v>
      </c>
      <c r="E55" s="323"/>
      <c r="F55" s="324"/>
      <c r="G55" s="325"/>
      <c r="H55" s="325"/>
      <c r="I55" s="325"/>
      <c r="J55" s="325">
        <f>J57+J61+J63+J68+J70+J75+J87+J92+J95+J97+J98+J103+J64+J67+J79+J81+J94+J99+J104+J56+J83+J84+J90+J91+J108+J109+J66+J86+J101+J102+J73+J74+J60+J85</f>
        <v>118308057</v>
      </c>
      <c r="K55" s="326"/>
    </row>
    <row r="56" spans="1:11" s="99" customFormat="1" ht="60.75" customHeight="1" x14ac:dyDescent="0.3">
      <c r="A56" s="426" t="s">
        <v>204</v>
      </c>
      <c r="B56" s="279" t="s">
        <v>45</v>
      </c>
      <c r="C56" s="279" t="s">
        <v>18</v>
      </c>
      <c r="D56" s="431" t="s">
        <v>181</v>
      </c>
      <c r="E56" s="271" t="s">
        <v>429</v>
      </c>
      <c r="F56" s="324"/>
      <c r="G56" s="325"/>
      <c r="H56" s="325"/>
      <c r="I56" s="325"/>
      <c r="J56" s="432">
        <f>198750+49800</f>
        <v>248550</v>
      </c>
      <c r="K56" s="326"/>
    </row>
    <row r="57" spans="1:11" s="99" customFormat="1" ht="187.5" customHeight="1" x14ac:dyDescent="0.3">
      <c r="A57" s="938" t="s">
        <v>437</v>
      </c>
      <c r="B57" s="902" t="s">
        <v>51</v>
      </c>
      <c r="C57" s="902" t="s">
        <v>52</v>
      </c>
      <c r="D57" s="935" t="s">
        <v>351</v>
      </c>
      <c r="E57" s="541" t="s">
        <v>488</v>
      </c>
      <c r="F57" s="911" t="s">
        <v>443</v>
      </c>
      <c r="G57" s="334">
        <v>16389490</v>
      </c>
      <c r="H57" s="329">
        <v>11185952</v>
      </c>
      <c r="I57" s="330">
        <f>(H57/G57)*100%</f>
        <v>0.68250763141501047</v>
      </c>
      <c r="J57" s="334">
        <f>5203538-896882-388420</f>
        <v>3918236</v>
      </c>
      <c r="K57" s="331">
        <f>(H57+J57)/G57</f>
        <v>0.92157766959191534</v>
      </c>
    </row>
    <row r="58" spans="1:11" s="352" customFormat="1" ht="24" customHeight="1" x14ac:dyDescent="0.35">
      <c r="A58" s="939"/>
      <c r="B58" s="903"/>
      <c r="C58" s="903"/>
      <c r="D58" s="937"/>
      <c r="E58" s="433" t="s">
        <v>441</v>
      </c>
      <c r="F58" s="911"/>
      <c r="G58" s="434">
        <v>276327</v>
      </c>
      <c r="H58" s="435">
        <v>276327</v>
      </c>
      <c r="I58" s="436">
        <v>1</v>
      </c>
      <c r="J58" s="379"/>
      <c r="K58" s="340">
        <v>1</v>
      </c>
    </row>
    <row r="59" spans="1:11" s="352" customFormat="1" ht="29.4" customHeight="1" x14ac:dyDescent="0.35">
      <c r="A59" s="940"/>
      <c r="B59" s="904"/>
      <c r="C59" s="904"/>
      <c r="D59" s="936"/>
      <c r="E59" s="437" t="s">
        <v>489</v>
      </c>
      <c r="F59" s="911"/>
      <c r="G59" s="438">
        <v>587560</v>
      </c>
      <c r="H59" s="439">
        <v>379945</v>
      </c>
      <c r="I59" s="436">
        <v>0.65</v>
      </c>
      <c r="J59" s="379">
        <v>183500</v>
      </c>
      <c r="K59" s="340">
        <v>1</v>
      </c>
    </row>
    <row r="60" spans="1:11" s="352" customFormat="1" ht="210" x14ac:dyDescent="0.35">
      <c r="A60" s="740" t="s">
        <v>437</v>
      </c>
      <c r="B60" s="729" t="s">
        <v>51</v>
      </c>
      <c r="C60" s="729" t="s">
        <v>52</v>
      </c>
      <c r="D60" s="738" t="s">
        <v>351</v>
      </c>
      <c r="E60" s="541" t="s">
        <v>556</v>
      </c>
      <c r="F60" s="669" t="s">
        <v>557</v>
      </c>
      <c r="G60" s="670">
        <v>1486740</v>
      </c>
      <c r="H60" s="439">
        <v>0</v>
      </c>
      <c r="I60" s="330">
        <v>0</v>
      </c>
      <c r="J60" s="334">
        <v>48398</v>
      </c>
      <c r="K60" s="331">
        <f>(H60+J60)/G60</f>
        <v>3.255310276174718E-2</v>
      </c>
    </row>
    <row r="61" spans="1:11" s="99" customFormat="1" ht="205.95" customHeight="1" x14ac:dyDescent="0.3">
      <c r="A61" s="938" t="s">
        <v>437</v>
      </c>
      <c r="B61" s="902" t="s">
        <v>51</v>
      </c>
      <c r="C61" s="902" t="s">
        <v>52</v>
      </c>
      <c r="D61" s="935" t="s">
        <v>351</v>
      </c>
      <c r="E61" s="332" t="s">
        <v>439</v>
      </c>
      <c r="F61" s="913" t="s">
        <v>440</v>
      </c>
      <c r="G61" s="333">
        <v>23825333</v>
      </c>
      <c r="H61" s="329">
        <f>H62</f>
        <v>274112.37</v>
      </c>
      <c r="I61" s="330">
        <f>H61/G61</f>
        <v>1.150508032773351E-2</v>
      </c>
      <c r="J61" s="329">
        <f>15000000+1205842-5000000+12345379</f>
        <v>23551221</v>
      </c>
      <c r="K61" s="331">
        <v>1</v>
      </c>
    </row>
    <row r="62" spans="1:11" s="99" customFormat="1" ht="25.5" customHeight="1" x14ac:dyDescent="0.3">
      <c r="A62" s="941"/>
      <c r="B62" s="918"/>
      <c r="C62" s="918"/>
      <c r="D62" s="936"/>
      <c r="E62" s="335" t="s">
        <v>441</v>
      </c>
      <c r="F62" s="914"/>
      <c r="G62" s="336">
        <v>1675846</v>
      </c>
      <c r="H62" s="337">
        <v>274112.37</v>
      </c>
      <c r="I62" s="338">
        <f>H62/G62</f>
        <v>0.16356656279872972</v>
      </c>
      <c r="J62" s="339">
        <v>1205842</v>
      </c>
      <c r="K62" s="340">
        <v>1</v>
      </c>
    </row>
    <row r="63" spans="1:11" s="99" customFormat="1" ht="264" customHeight="1" x14ac:dyDescent="0.3">
      <c r="A63" s="938" t="s">
        <v>437</v>
      </c>
      <c r="B63" s="902" t="s">
        <v>51</v>
      </c>
      <c r="C63" s="902" t="s">
        <v>52</v>
      </c>
      <c r="D63" s="935" t="s">
        <v>351</v>
      </c>
      <c r="E63" s="626" t="s">
        <v>490</v>
      </c>
      <c r="F63" s="915" t="s">
        <v>438</v>
      </c>
      <c r="G63" s="334">
        <v>4900988</v>
      </c>
      <c r="H63" s="329">
        <v>0</v>
      </c>
      <c r="I63" s="330">
        <v>0</v>
      </c>
      <c r="J63" s="334">
        <v>4658554</v>
      </c>
      <c r="K63" s="331">
        <v>0.95</v>
      </c>
    </row>
    <row r="64" spans="1:11" s="99" customFormat="1" ht="204" hidden="1" customHeight="1" x14ac:dyDescent="0.3">
      <c r="A64" s="939"/>
      <c r="B64" s="903"/>
      <c r="C64" s="903"/>
      <c r="D64" s="937"/>
      <c r="E64" s="361" t="s">
        <v>444</v>
      </c>
      <c r="F64" s="916"/>
      <c r="G64" s="334">
        <v>874564</v>
      </c>
      <c r="H64" s="329">
        <v>0</v>
      </c>
      <c r="I64" s="330">
        <v>0</v>
      </c>
      <c r="J64" s="334">
        <f>874564-874564</f>
        <v>0</v>
      </c>
      <c r="K64" s="331">
        <v>1</v>
      </c>
    </row>
    <row r="65" spans="1:11" s="99" customFormat="1" ht="21.75" customHeight="1" x14ac:dyDescent="0.3">
      <c r="A65" s="940"/>
      <c r="B65" s="904"/>
      <c r="C65" s="904"/>
      <c r="D65" s="936"/>
      <c r="E65" s="559" t="s">
        <v>454</v>
      </c>
      <c r="F65" s="917"/>
      <c r="G65" s="379">
        <v>268825</v>
      </c>
      <c r="H65" s="358">
        <v>0</v>
      </c>
      <c r="I65" s="436">
        <v>0</v>
      </c>
      <c r="J65" s="379">
        <v>242435</v>
      </c>
      <c r="K65" s="340">
        <v>1</v>
      </c>
    </row>
    <row r="66" spans="1:11" s="99" customFormat="1" ht="188.25" customHeight="1" x14ac:dyDescent="0.3">
      <c r="A66" s="741" t="s">
        <v>437</v>
      </c>
      <c r="B66" s="730" t="s">
        <v>51</v>
      </c>
      <c r="C66" s="730" t="s">
        <v>52</v>
      </c>
      <c r="D66" s="739" t="s">
        <v>351</v>
      </c>
      <c r="E66" s="560" t="s">
        <v>526</v>
      </c>
      <c r="F66" s="737" t="s">
        <v>442</v>
      </c>
      <c r="G66" s="334">
        <v>258243</v>
      </c>
      <c r="H66" s="329"/>
      <c r="I66" s="330"/>
      <c r="J66" s="334">
        <v>258243</v>
      </c>
      <c r="K66" s="331">
        <v>1</v>
      </c>
    </row>
    <row r="67" spans="1:11" s="99" customFormat="1" ht="137.25" customHeight="1" x14ac:dyDescent="0.3">
      <c r="A67" s="740" t="s">
        <v>445</v>
      </c>
      <c r="B67" s="729" t="s">
        <v>20</v>
      </c>
      <c r="C67" s="729" t="s">
        <v>21</v>
      </c>
      <c r="D67" s="440" t="s">
        <v>22</v>
      </c>
      <c r="E67" s="560" t="s">
        <v>446</v>
      </c>
      <c r="F67" s="746" t="s">
        <v>447</v>
      </c>
      <c r="G67" s="334">
        <v>1463482</v>
      </c>
      <c r="H67" s="329">
        <v>1264348</v>
      </c>
      <c r="I67" s="330">
        <f>(H67/G67)*100%</f>
        <v>0.86393136369289136</v>
      </c>
      <c r="J67" s="334">
        <v>103135</v>
      </c>
      <c r="K67" s="331">
        <v>1</v>
      </c>
    </row>
    <row r="68" spans="1:11" s="99" customFormat="1" ht="98.25" customHeight="1" x14ac:dyDescent="0.3">
      <c r="A68" s="942">
        <v>1514060</v>
      </c>
      <c r="B68" s="943">
        <v>4060</v>
      </c>
      <c r="C68" s="944" t="s">
        <v>107</v>
      </c>
      <c r="D68" s="945" t="s">
        <v>108</v>
      </c>
      <c r="E68" s="341" t="s">
        <v>448</v>
      </c>
      <c r="F68" s="912" t="s">
        <v>438</v>
      </c>
      <c r="G68" s="342">
        <v>6058427</v>
      </c>
      <c r="H68" s="343">
        <v>2726948.29</v>
      </c>
      <c r="I68" s="344">
        <f>H68/G68</f>
        <v>0.45010830203945679</v>
      </c>
      <c r="J68" s="345">
        <f>2295144-694188-1600956+3169264-690455</f>
        <v>2478809</v>
      </c>
      <c r="K68" s="346">
        <v>1</v>
      </c>
    </row>
    <row r="69" spans="1:11" s="352" customFormat="1" ht="28.2" customHeight="1" x14ac:dyDescent="0.35">
      <c r="A69" s="942"/>
      <c r="B69" s="943"/>
      <c r="C69" s="944"/>
      <c r="D69" s="945"/>
      <c r="E69" s="347" t="s">
        <v>441</v>
      </c>
      <c r="F69" s="912"/>
      <c r="G69" s="348">
        <v>181142</v>
      </c>
      <c r="H69" s="349">
        <v>178959.68</v>
      </c>
      <c r="I69" s="350">
        <v>1</v>
      </c>
      <c r="J69" s="345"/>
      <c r="K69" s="351">
        <v>1</v>
      </c>
    </row>
    <row r="70" spans="1:11" s="99" customFormat="1" ht="121.5" customHeight="1" x14ac:dyDescent="0.3">
      <c r="A70" s="896">
        <v>1516012</v>
      </c>
      <c r="B70" s="899">
        <v>6012</v>
      </c>
      <c r="C70" s="902" t="s">
        <v>28</v>
      </c>
      <c r="D70" s="905" t="s">
        <v>243</v>
      </c>
      <c r="E70" s="353" t="s">
        <v>505</v>
      </c>
      <c r="F70" s="899" t="s">
        <v>449</v>
      </c>
      <c r="G70" s="328">
        <v>15864964</v>
      </c>
      <c r="H70" s="329">
        <f>H71+H72</f>
        <v>549821.11</v>
      </c>
      <c r="I70" s="354">
        <f>H70/G70</f>
        <v>3.4656309967044364E-2</v>
      </c>
      <c r="J70" s="355">
        <f>1444539-1444539+752140+1183600+182148+8935634+2704350</f>
        <v>13757872</v>
      </c>
      <c r="K70" s="356">
        <v>1</v>
      </c>
    </row>
    <row r="71" spans="1:11" s="99" customFormat="1" ht="21" x14ac:dyDescent="0.3">
      <c r="A71" s="897"/>
      <c r="B71" s="900"/>
      <c r="C71" s="903"/>
      <c r="D71" s="906"/>
      <c r="E71" s="357" t="s">
        <v>450</v>
      </c>
      <c r="F71" s="900"/>
      <c r="G71" s="358">
        <f>280375.62</f>
        <v>280375.62</v>
      </c>
      <c r="H71" s="358">
        <f>280375.62</f>
        <v>280375.62</v>
      </c>
      <c r="I71" s="359">
        <v>1</v>
      </c>
      <c r="J71" s="349"/>
      <c r="K71" s="360">
        <v>1</v>
      </c>
    </row>
    <row r="72" spans="1:11" s="99" customFormat="1" ht="21" x14ac:dyDescent="0.3">
      <c r="A72" s="898"/>
      <c r="B72" s="901"/>
      <c r="C72" s="904"/>
      <c r="D72" s="906"/>
      <c r="E72" s="639" t="s">
        <v>451</v>
      </c>
      <c r="F72" s="900"/>
      <c r="G72" s="627">
        <v>269445</v>
      </c>
      <c r="H72" s="379">
        <v>269445.49</v>
      </c>
      <c r="I72" s="640">
        <v>1</v>
      </c>
      <c r="J72" s="380"/>
      <c r="K72" s="531">
        <v>1</v>
      </c>
    </row>
    <row r="73" spans="1:11" s="99" customFormat="1" ht="155.4" customHeight="1" x14ac:dyDescent="0.3">
      <c r="A73" s="725">
        <v>1516012</v>
      </c>
      <c r="B73" s="727">
        <v>6012</v>
      </c>
      <c r="C73" s="729" t="s">
        <v>28</v>
      </c>
      <c r="D73" s="745" t="s">
        <v>243</v>
      </c>
      <c r="E73" s="353" t="s">
        <v>549</v>
      </c>
      <c r="F73" s="743" t="s">
        <v>442</v>
      </c>
      <c r="G73" s="343">
        <v>98014</v>
      </c>
      <c r="H73" s="329"/>
      <c r="I73" s="641">
        <v>0</v>
      </c>
      <c r="J73" s="328">
        <v>98014</v>
      </c>
      <c r="K73" s="356">
        <v>1</v>
      </c>
    </row>
    <row r="74" spans="1:11" s="99" customFormat="1" ht="132.6" customHeight="1" x14ac:dyDescent="0.3">
      <c r="A74" s="725">
        <v>1516012</v>
      </c>
      <c r="B74" s="727">
        <v>6012</v>
      </c>
      <c r="C74" s="729" t="s">
        <v>28</v>
      </c>
      <c r="D74" s="745" t="s">
        <v>243</v>
      </c>
      <c r="E74" s="353" t="s">
        <v>550</v>
      </c>
      <c r="F74" s="743" t="s">
        <v>442</v>
      </c>
      <c r="G74" s="343">
        <v>1786248</v>
      </c>
      <c r="H74" s="329"/>
      <c r="I74" s="641">
        <v>0</v>
      </c>
      <c r="J74" s="328">
        <f>1134373+651875</f>
        <v>1786248</v>
      </c>
      <c r="K74" s="356">
        <v>1</v>
      </c>
    </row>
    <row r="75" spans="1:11" s="99" customFormat="1" ht="114.6" customHeight="1" x14ac:dyDescent="0.3">
      <c r="A75" s="896">
        <v>1516012</v>
      </c>
      <c r="B75" s="899">
        <v>6012</v>
      </c>
      <c r="C75" s="902" t="s">
        <v>28</v>
      </c>
      <c r="D75" s="905" t="s">
        <v>243</v>
      </c>
      <c r="E75" s="361" t="s">
        <v>504</v>
      </c>
      <c r="F75" s="908" t="s">
        <v>442</v>
      </c>
      <c r="G75" s="362">
        <v>18595843</v>
      </c>
      <c r="H75" s="363"/>
      <c r="I75" s="364">
        <v>0</v>
      </c>
      <c r="J75" s="328">
        <f>1497526+4000000+10000000</f>
        <v>15497526</v>
      </c>
      <c r="K75" s="346">
        <f>J75/G75*100%</f>
        <v>0.83338658000070232</v>
      </c>
    </row>
    <row r="76" spans="1:11" s="99" customFormat="1" ht="23.4" customHeight="1" x14ac:dyDescent="0.3">
      <c r="A76" s="898"/>
      <c r="B76" s="901"/>
      <c r="C76" s="904"/>
      <c r="D76" s="907"/>
      <c r="E76" s="441" t="s">
        <v>454</v>
      </c>
      <c r="F76" s="910"/>
      <c r="G76" s="348">
        <v>1497526</v>
      </c>
      <c r="H76" s="365"/>
      <c r="I76" s="366">
        <v>0</v>
      </c>
      <c r="J76" s="367">
        <v>1497526</v>
      </c>
      <c r="K76" s="351">
        <v>1</v>
      </c>
    </row>
    <row r="77" spans="1:11" s="99" customFormat="1" ht="22.5" customHeight="1" x14ac:dyDescent="0.3">
      <c r="A77" s="614" t="s">
        <v>527</v>
      </c>
      <c r="B77" s="728"/>
      <c r="C77" s="730"/>
      <c r="D77" s="732" t="s">
        <v>528</v>
      </c>
      <c r="E77" s="615"/>
      <c r="F77" s="734"/>
      <c r="G77" s="616"/>
      <c r="H77" s="389"/>
      <c r="I77" s="617"/>
      <c r="J77" s="618"/>
      <c r="K77" s="351"/>
    </row>
    <row r="78" spans="1:11" s="99" customFormat="1" ht="43.5" customHeight="1" x14ac:dyDescent="0.3">
      <c r="A78" s="742"/>
      <c r="B78" s="743"/>
      <c r="C78" s="744"/>
      <c r="D78" s="619" t="s">
        <v>482</v>
      </c>
      <c r="E78" s="620"/>
      <c r="F78" s="746"/>
      <c r="G78" s="348"/>
      <c r="H78" s="365"/>
      <c r="I78" s="366"/>
      <c r="J78" s="367">
        <v>10000000</v>
      </c>
      <c r="K78" s="351"/>
    </row>
    <row r="79" spans="1:11" s="99" customFormat="1" ht="101.25" customHeight="1" x14ac:dyDescent="0.3">
      <c r="A79" s="896">
        <v>1516012</v>
      </c>
      <c r="B79" s="899">
        <v>6012</v>
      </c>
      <c r="C79" s="902" t="s">
        <v>28</v>
      </c>
      <c r="D79" s="905" t="s">
        <v>243</v>
      </c>
      <c r="E79" s="361" t="s">
        <v>452</v>
      </c>
      <c r="F79" s="908" t="s">
        <v>438</v>
      </c>
      <c r="G79" s="362">
        <v>2011948</v>
      </c>
      <c r="H79" s="363">
        <v>218940</v>
      </c>
      <c r="I79" s="364">
        <f>(H79/G79)*100%</f>
        <v>0.10881990985850529</v>
      </c>
      <c r="J79" s="343">
        <v>1748351</v>
      </c>
      <c r="K79" s="346">
        <v>1</v>
      </c>
    </row>
    <row r="80" spans="1:11" s="352" customFormat="1" ht="21" customHeight="1" x14ac:dyDescent="0.35">
      <c r="A80" s="898"/>
      <c r="B80" s="901"/>
      <c r="C80" s="904"/>
      <c r="D80" s="907"/>
      <c r="E80" s="441" t="s">
        <v>441</v>
      </c>
      <c r="F80" s="910"/>
      <c r="G80" s="348">
        <v>263597</v>
      </c>
      <c r="H80" s="365">
        <v>218940</v>
      </c>
      <c r="I80" s="366">
        <v>1</v>
      </c>
      <c r="J80" s="367"/>
      <c r="K80" s="351">
        <v>1</v>
      </c>
    </row>
    <row r="81" spans="1:11" s="99" customFormat="1" ht="80.25" customHeight="1" x14ac:dyDescent="0.3">
      <c r="A81" s="896">
        <v>1516012</v>
      </c>
      <c r="B81" s="899">
        <v>6012</v>
      </c>
      <c r="C81" s="902" t="s">
        <v>28</v>
      </c>
      <c r="D81" s="905" t="s">
        <v>243</v>
      </c>
      <c r="E81" s="560" t="s">
        <v>453</v>
      </c>
      <c r="F81" s="946" t="s">
        <v>442</v>
      </c>
      <c r="G81" s="362">
        <v>3262468</v>
      </c>
      <c r="H81" s="363">
        <v>0</v>
      </c>
      <c r="I81" s="364">
        <v>0</v>
      </c>
      <c r="J81" s="343">
        <v>2894056</v>
      </c>
      <c r="K81" s="346">
        <v>1</v>
      </c>
    </row>
    <row r="82" spans="1:11" s="352" customFormat="1" ht="23.25" customHeight="1" x14ac:dyDescent="0.35">
      <c r="A82" s="898"/>
      <c r="B82" s="901"/>
      <c r="C82" s="904"/>
      <c r="D82" s="907"/>
      <c r="E82" s="559" t="s">
        <v>454</v>
      </c>
      <c r="F82" s="946"/>
      <c r="G82" s="542">
        <v>49800</v>
      </c>
      <c r="H82" s="370"/>
      <c r="I82" s="543"/>
      <c r="J82" s="349">
        <v>49800</v>
      </c>
      <c r="K82" s="351">
        <v>1</v>
      </c>
    </row>
    <row r="83" spans="1:11" s="352" customFormat="1" ht="84.75" customHeight="1" x14ac:dyDescent="0.35">
      <c r="A83" s="726">
        <v>1516012</v>
      </c>
      <c r="B83" s="728">
        <v>6012</v>
      </c>
      <c r="C83" s="730" t="s">
        <v>28</v>
      </c>
      <c r="D83" s="732" t="s">
        <v>491</v>
      </c>
      <c r="E83" s="561" t="s">
        <v>510</v>
      </c>
      <c r="F83" s="733" t="s">
        <v>438</v>
      </c>
      <c r="G83" s="362">
        <v>187450</v>
      </c>
      <c r="H83" s="363"/>
      <c r="I83" s="364">
        <v>0</v>
      </c>
      <c r="J83" s="328">
        <v>187450</v>
      </c>
      <c r="K83" s="346">
        <v>1</v>
      </c>
    </row>
    <row r="84" spans="1:11" s="352" customFormat="1" ht="102" customHeight="1" x14ac:dyDescent="0.35">
      <c r="A84" s="742">
        <v>1516013</v>
      </c>
      <c r="B84" s="743">
        <v>6013</v>
      </c>
      <c r="C84" s="442" t="s">
        <v>28</v>
      </c>
      <c r="D84" s="797" t="s">
        <v>136</v>
      </c>
      <c r="E84" s="646" t="s">
        <v>492</v>
      </c>
      <c r="F84" s="562" t="s">
        <v>442</v>
      </c>
      <c r="G84" s="362">
        <v>60000</v>
      </c>
      <c r="H84" s="363"/>
      <c r="I84" s="364">
        <v>0</v>
      </c>
      <c r="J84" s="328">
        <v>60000</v>
      </c>
      <c r="K84" s="346">
        <v>1</v>
      </c>
    </row>
    <row r="85" spans="1:11" s="352" customFormat="1" ht="102" customHeight="1" x14ac:dyDescent="0.35">
      <c r="A85" s="792">
        <v>1516013</v>
      </c>
      <c r="B85" s="793">
        <v>6013</v>
      </c>
      <c r="C85" s="442" t="s">
        <v>28</v>
      </c>
      <c r="D85" s="797" t="s">
        <v>136</v>
      </c>
      <c r="E85" s="646" t="s">
        <v>676</v>
      </c>
      <c r="F85" s="562" t="s">
        <v>473</v>
      </c>
      <c r="G85" s="362">
        <v>239729035</v>
      </c>
      <c r="H85" s="363">
        <v>1083210</v>
      </c>
      <c r="I85" s="364">
        <v>5.0000000000000001E-3</v>
      </c>
      <c r="J85" s="328">
        <v>22572500</v>
      </c>
      <c r="K85" s="346">
        <v>9.9000000000000005E-2</v>
      </c>
    </row>
    <row r="86" spans="1:11" s="352" customFormat="1" ht="127.2" customHeight="1" x14ac:dyDescent="0.35">
      <c r="A86" s="742">
        <v>1516013</v>
      </c>
      <c r="B86" s="743">
        <v>6013</v>
      </c>
      <c r="C86" s="442" t="s">
        <v>28</v>
      </c>
      <c r="D86" s="797" t="s">
        <v>136</v>
      </c>
      <c r="E86" s="535" t="s">
        <v>529</v>
      </c>
      <c r="F86" s="562" t="s">
        <v>442</v>
      </c>
      <c r="G86" s="362">
        <v>226222</v>
      </c>
      <c r="H86" s="363"/>
      <c r="I86" s="364">
        <v>0</v>
      </c>
      <c r="J86" s="328">
        <v>226222</v>
      </c>
      <c r="K86" s="346">
        <v>1</v>
      </c>
    </row>
    <row r="87" spans="1:11" s="99" customFormat="1" ht="88.5" customHeight="1" x14ac:dyDescent="0.3">
      <c r="A87" s="896">
        <v>1516030</v>
      </c>
      <c r="B87" s="899">
        <v>6030</v>
      </c>
      <c r="C87" s="902" t="s">
        <v>28</v>
      </c>
      <c r="D87" s="905" t="s">
        <v>29</v>
      </c>
      <c r="E87" s="361" t="s">
        <v>455</v>
      </c>
      <c r="F87" s="908" t="s">
        <v>447</v>
      </c>
      <c r="G87" s="362">
        <v>3777567</v>
      </c>
      <c r="H87" s="368">
        <f>1516531+H89</f>
        <v>1640341.91</v>
      </c>
      <c r="I87" s="369">
        <f>H87/G87</f>
        <v>0.43423238025956917</v>
      </c>
      <c r="J87" s="343">
        <f>1011118+1104357</f>
        <v>2115475</v>
      </c>
      <c r="K87" s="356">
        <v>1</v>
      </c>
    </row>
    <row r="88" spans="1:11" s="99" customFormat="1" ht="20.25" customHeight="1" x14ac:dyDescent="0.3">
      <c r="A88" s="897"/>
      <c r="B88" s="900"/>
      <c r="C88" s="903"/>
      <c r="D88" s="906"/>
      <c r="E88" s="347" t="s">
        <v>456</v>
      </c>
      <c r="F88" s="909"/>
      <c r="G88" s="348">
        <v>49800</v>
      </c>
      <c r="H88" s="370">
        <v>49763</v>
      </c>
      <c r="I88" s="371">
        <v>1</v>
      </c>
      <c r="J88" s="343"/>
      <c r="K88" s="307">
        <v>1</v>
      </c>
    </row>
    <row r="89" spans="1:11" s="99" customFormat="1" ht="42" x14ac:dyDescent="0.3">
      <c r="A89" s="898"/>
      <c r="B89" s="901"/>
      <c r="C89" s="904"/>
      <c r="D89" s="907"/>
      <c r="E89" s="347" t="s">
        <v>457</v>
      </c>
      <c r="F89" s="910"/>
      <c r="G89" s="367">
        <v>140204</v>
      </c>
      <c r="H89" s="367">
        <v>123810.91</v>
      </c>
      <c r="I89" s="371">
        <v>1</v>
      </c>
      <c r="J89" s="343"/>
      <c r="K89" s="307">
        <v>1</v>
      </c>
    </row>
    <row r="90" spans="1:11" s="99" customFormat="1" ht="105" x14ac:dyDescent="0.3">
      <c r="A90" s="742">
        <v>1516030</v>
      </c>
      <c r="B90" s="743">
        <v>6030</v>
      </c>
      <c r="C90" s="744" t="s">
        <v>28</v>
      </c>
      <c r="D90" s="745" t="s">
        <v>29</v>
      </c>
      <c r="E90" s="563" t="s">
        <v>493</v>
      </c>
      <c r="F90" s="746" t="s">
        <v>442</v>
      </c>
      <c r="G90" s="343">
        <v>49800</v>
      </c>
      <c r="H90" s="343"/>
      <c r="I90" s="373">
        <v>0</v>
      </c>
      <c r="J90" s="343">
        <v>49800</v>
      </c>
      <c r="K90" s="275">
        <v>1</v>
      </c>
    </row>
    <row r="91" spans="1:11" s="99" customFormat="1" ht="83.25" customHeight="1" x14ac:dyDescent="0.3">
      <c r="A91" s="742">
        <v>1516030</v>
      </c>
      <c r="B91" s="743">
        <v>6030</v>
      </c>
      <c r="C91" s="744" t="s">
        <v>28</v>
      </c>
      <c r="D91" s="745" t="s">
        <v>29</v>
      </c>
      <c r="E91" s="563" t="s">
        <v>494</v>
      </c>
      <c r="F91" s="734" t="s">
        <v>442</v>
      </c>
      <c r="G91" s="343">
        <v>898690</v>
      </c>
      <c r="H91" s="343"/>
      <c r="I91" s="373">
        <v>0</v>
      </c>
      <c r="J91" s="343">
        <f>500000+153683+67587+177420</f>
        <v>898690</v>
      </c>
      <c r="K91" s="275">
        <v>1</v>
      </c>
    </row>
    <row r="92" spans="1:11" s="99" customFormat="1" ht="113.25" customHeight="1" x14ac:dyDescent="0.3">
      <c r="A92" s="919">
        <v>1516030</v>
      </c>
      <c r="B92" s="902">
        <v>6030</v>
      </c>
      <c r="C92" s="902" t="s">
        <v>28</v>
      </c>
      <c r="D92" s="905" t="s">
        <v>29</v>
      </c>
      <c r="E92" s="372" t="s">
        <v>458</v>
      </c>
      <c r="F92" s="908" t="s">
        <v>459</v>
      </c>
      <c r="G92" s="343">
        <v>3910004</v>
      </c>
      <c r="H92" s="343">
        <v>0</v>
      </c>
      <c r="I92" s="364">
        <v>0</v>
      </c>
      <c r="J92" s="343">
        <f>4003149-93145</f>
        <v>3910004</v>
      </c>
      <c r="K92" s="275">
        <v>1</v>
      </c>
    </row>
    <row r="93" spans="1:11" s="99" customFormat="1" ht="21" x14ac:dyDescent="0.3">
      <c r="A93" s="920"/>
      <c r="B93" s="904"/>
      <c r="C93" s="904"/>
      <c r="D93" s="907"/>
      <c r="E93" s="347" t="s">
        <v>441</v>
      </c>
      <c r="F93" s="910"/>
      <c r="G93" s="367">
        <v>174543</v>
      </c>
      <c r="H93" s="367">
        <v>0</v>
      </c>
      <c r="I93" s="371">
        <v>0</v>
      </c>
      <c r="J93" s="367">
        <v>174543</v>
      </c>
      <c r="K93" s="307">
        <v>1</v>
      </c>
    </row>
    <row r="94" spans="1:11" s="99" customFormat="1" ht="161.25" customHeight="1" x14ac:dyDescent="0.3">
      <c r="A94" s="736">
        <v>1516030</v>
      </c>
      <c r="B94" s="731" t="s">
        <v>27</v>
      </c>
      <c r="C94" s="731" t="s">
        <v>28</v>
      </c>
      <c r="D94" s="732" t="s">
        <v>29</v>
      </c>
      <c r="E94" s="564" t="s">
        <v>511</v>
      </c>
      <c r="F94" s="734" t="s">
        <v>442</v>
      </c>
      <c r="G94" s="343">
        <v>406558</v>
      </c>
      <c r="H94" s="343">
        <v>0</v>
      </c>
      <c r="I94" s="373">
        <v>0</v>
      </c>
      <c r="J94" s="343">
        <v>406558</v>
      </c>
      <c r="K94" s="275">
        <v>1</v>
      </c>
    </row>
    <row r="95" spans="1:11" s="99" customFormat="1" ht="147" x14ac:dyDescent="0.3">
      <c r="A95" s="947" t="s">
        <v>284</v>
      </c>
      <c r="B95" s="948" t="s">
        <v>285</v>
      </c>
      <c r="C95" s="948" t="s">
        <v>286</v>
      </c>
      <c r="D95" s="949" t="s">
        <v>287</v>
      </c>
      <c r="E95" s="361" t="s">
        <v>460</v>
      </c>
      <c r="F95" s="908" t="s">
        <v>438</v>
      </c>
      <c r="G95" s="362">
        <v>6435596</v>
      </c>
      <c r="H95" s="368">
        <v>3693192</v>
      </c>
      <c r="I95" s="369">
        <f>H95/G95</f>
        <v>0.57386945979828441</v>
      </c>
      <c r="J95" s="343">
        <v>2138727</v>
      </c>
      <c r="K95" s="346">
        <v>1</v>
      </c>
    </row>
    <row r="96" spans="1:11" s="99" customFormat="1" ht="21" x14ac:dyDescent="0.3">
      <c r="A96" s="947"/>
      <c r="B96" s="948"/>
      <c r="C96" s="948"/>
      <c r="D96" s="950"/>
      <c r="E96" s="374" t="s">
        <v>461</v>
      </c>
      <c r="F96" s="910"/>
      <c r="G96" s="348">
        <v>169440</v>
      </c>
      <c r="H96" s="370">
        <v>167500</v>
      </c>
      <c r="I96" s="366">
        <v>1</v>
      </c>
      <c r="J96" s="343"/>
      <c r="K96" s="351">
        <v>1</v>
      </c>
    </row>
    <row r="97" spans="1:13" s="99" customFormat="1" ht="135" customHeight="1" x14ac:dyDescent="0.3">
      <c r="A97" s="747" t="s">
        <v>284</v>
      </c>
      <c r="B97" s="748" t="s">
        <v>285</v>
      </c>
      <c r="C97" s="748" t="s">
        <v>286</v>
      </c>
      <c r="D97" s="551" t="s">
        <v>287</v>
      </c>
      <c r="E97" s="375" t="s">
        <v>462</v>
      </c>
      <c r="F97" s="744" t="s">
        <v>442</v>
      </c>
      <c r="G97" s="328">
        <v>49800</v>
      </c>
      <c r="H97" s="328">
        <v>0</v>
      </c>
      <c r="I97" s="376">
        <v>0</v>
      </c>
      <c r="J97" s="355">
        <v>49800</v>
      </c>
      <c r="K97" s="356">
        <v>1</v>
      </c>
    </row>
    <row r="98" spans="1:13" s="99" customFormat="1" ht="144" customHeight="1" x14ac:dyDescent="0.3">
      <c r="A98" s="747" t="s">
        <v>284</v>
      </c>
      <c r="B98" s="748" t="s">
        <v>285</v>
      </c>
      <c r="C98" s="748" t="s">
        <v>286</v>
      </c>
      <c r="D98" s="551" t="s">
        <v>287</v>
      </c>
      <c r="E98" s="375" t="s">
        <v>463</v>
      </c>
      <c r="F98" s="744" t="s">
        <v>442</v>
      </c>
      <c r="G98" s="328">
        <v>1600000</v>
      </c>
      <c r="H98" s="328">
        <v>0</v>
      </c>
      <c r="I98" s="376">
        <v>0</v>
      </c>
      <c r="J98" s="328">
        <f>1550200-400000</f>
        <v>1150200</v>
      </c>
      <c r="K98" s="356">
        <v>1</v>
      </c>
    </row>
    <row r="99" spans="1:13" s="99" customFormat="1" ht="80.25" customHeight="1" x14ac:dyDescent="0.3">
      <c r="A99" s="952" t="s">
        <v>464</v>
      </c>
      <c r="B99" s="954" t="s">
        <v>465</v>
      </c>
      <c r="C99" s="954" t="s">
        <v>286</v>
      </c>
      <c r="D99" s="956" t="s">
        <v>466</v>
      </c>
      <c r="E99" s="565" t="s">
        <v>512</v>
      </c>
      <c r="F99" s="902" t="s">
        <v>467</v>
      </c>
      <c r="G99" s="328">
        <v>1630569</v>
      </c>
      <c r="H99" s="328">
        <v>120891</v>
      </c>
      <c r="I99" s="376">
        <f>(H99/G99)*100%</f>
        <v>7.4140376764184779E-2</v>
      </c>
      <c r="J99" s="328">
        <f>1501526-183812</f>
        <v>1317714</v>
      </c>
      <c r="K99" s="356">
        <v>1</v>
      </c>
    </row>
    <row r="100" spans="1:13" s="352" customFormat="1" ht="44.4" customHeight="1" x14ac:dyDescent="0.35">
      <c r="A100" s="953"/>
      <c r="B100" s="955"/>
      <c r="C100" s="955"/>
      <c r="D100" s="957"/>
      <c r="E100" s="566" t="s">
        <v>457</v>
      </c>
      <c r="F100" s="904"/>
      <c r="G100" s="349">
        <v>129043</v>
      </c>
      <c r="H100" s="349">
        <v>120891</v>
      </c>
      <c r="I100" s="377">
        <v>1</v>
      </c>
      <c r="J100" s="349"/>
      <c r="K100" s="356">
        <v>1</v>
      </c>
    </row>
    <row r="101" spans="1:13" s="352" customFormat="1" ht="105.75" customHeight="1" x14ac:dyDescent="0.35">
      <c r="A101" s="749" t="s">
        <v>464</v>
      </c>
      <c r="B101" s="751" t="s">
        <v>465</v>
      </c>
      <c r="C101" s="751" t="s">
        <v>286</v>
      </c>
      <c r="D101" s="752" t="s">
        <v>466</v>
      </c>
      <c r="E101" s="642" t="s">
        <v>551</v>
      </c>
      <c r="F101" s="731" t="s">
        <v>442</v>
      </c>
      <c r="G101" s="328">
        <v>49950</v>
      </c>
      <c r="H101" s="328"/>
      <c r="I101" s="376">
        <v>0</v>
      </c>
      <c r="J101" s="328">
        <v>49950</v>
      </c>
      <c r="K101" s="356">
        <v>1</v>
      </c>
    </row>
    <row r="102" spans="1:13" s="352" customFormat="1" ht="87" customHeight="1" x14ac:dyDescent="0.35">
      <c r="A102" s="749" t="s">
        <v>464</v>
      </c>
      <c r="B102" s="751" t="s">
        <v>465</v>
      </c>
      <c r="C102" s="751" t="s">
        <v>286</v>
      </c>
      <c r="D102" s="752" t="s">
        <v>466</v>
      </c>
      <c r="E102" s="642" t="s">
        <v>552</v>
      </c>
      <c r="F102" s="731" t="s">
        <v>442</v>
      </c>
      <c r="G102" s="328">
        <v>541861</v>
      </c>
      <c r="H102" s="328"/>
      <c r="I102" s="376">
        <v>0</v>
      </c>
      <c r="J102" s="328">
        <v>541861</v>
      </c>
      <c r="K102" s="356">
        <v>1</v>
      </c>
    </row>
    <row r="103" spans="1:13" s="99" customFormat="1" ht="191.4" customHeight="1" x14ac:dyDescent="0.3">
      <c r="A103" s="740" t="s">
        <v>468</v>
      </c>
      <c r="B103" s="729" t="s">
        <v>469</v>
      </c>
      <c r="C103" s="729" t="s">
        <v>286</v>
      </c>
      <c r="D103" s="738" t="s">
        <v>470</v>
      </c>
      <c r="E103" s="327" t="s">
        <v>471</v>
      </c>
      <c r="F103" s="744" t="s">
        <v>442</v>
      </c>
      <c r="G103" s="329">
        <v>1477980</v>
      </c>
      <c r="H103" s="329">
        <v>0</v>
      </c>
      <c r="I103" s="354">
        <v>0</v>
      </c>
      <c r="J103" s="329">
        <f>1477980-213962</f>
        <v>1264018</v>
      </c>
      <c r="K103" s="331">
        <v>1</v>
      </c>
    </row>
    <row r="104" spans="1:13" s="443" customFormat="1" ht="102" customHeight="1" x14ac:dyDescent="0.3">
      <c r="A104" s="952" t="s">
        <v>472</v>
      </c>
      <c r="B104" s="959" t="s">
        <v>139</v>
      </c>
      <c r="C104" s="959" t="s">
        <v>140</v>
      </c>
      <c r="D104" s="962" t="s">
        <v>141</v>
      </c>
      <c r="E104" s="378" t="s">
        <v>513</v>
      </c>
      <c r="F104" s="902" t="s">
        <v>473</v>
      </c>
      <c r="G104" s="329">
        <v>45050824</v>
      </c>
      <c r="H104" s="328">
        <v>2753824</v>
      </c>
      <c r="I104" s="354">
        <v>7.0000000000000007E-2</v>
      </c>
      <c r="J104" s="328">
        <f>6418944-478735-5940209+7000000+531097-2799508</f>
        <v>4731589</v>
      </c>
      <c r="K104" s="356">
        <f>(J104+H104)/G104</f>
        <v>0.16615485212878681</v>
      </c>
      <c r="M104" s="621"/>
    </row>
    <row r="105" spans="1:13" s="443" customFormat="1" ht="20.25" customHeight="1" x14ac:dyDescent="0.3">
      <c r="A105" s="958"/>
      <c r="B105" s="960"/>
      <c r="C105" s="960"/>
      <c r="D105" s="963"/>
      <c r="E105" s="382" t="s">
        <v>441</v>
      </c>
      <c r="F105" s="903"/>
      <c r="G105" s="358">
        <v>169781</v>
      </c>
      <c r="H105" s="349">
        <v>169781</v>
      </c>
      <c r="I105" s="383">
        <v>1</v>
      </c>
      <c r="J105" s="349"/>
      <c r="K105" s="360">
        <v>1</v>
      </c>
    </row>
    <row r="106" spans="1:13" s="443" customFormat="1" ht="43.5" customHeight="1" x14ac:dyDescent="0.3">
      <c r="A106" s="958"/>
      <c r="B106" s="960"/>
      <c r="C106" s="960"/>
      <c r="D106" s="963"/>
      <c r="E106" s="444" t="s">
        <v>457</v>
      </c>
      <c r="F106" s="903"/>
      <c r="G106" s="379">
        <v>1003085</v>
      </c>
      <c r="H106" s="380">
        <v>1003085</v>
      </c>
      <c r="I106" s="381">
        <v>1</v>
      </c>
      <c r="J106" s="380"/>
      <c r="K106" s="531">
        <v>1</v>
      </c>
    </row>
    <row r="107" spans="1:13" s="443" customFormat="1" ht="101.25" customHeight="1" x14ac:dyDescent="0.3">
      <c r="A107" s="953"/>
      <c r="B107" s="961"/>
      <c r="C107" s="961"/>
      <c r="D107" s="964"/>
      <c r="E107" s="622" t="s">
        <v>530</v>
      </c>
      <c r="F107" s="904"/>
      <c r="G107" s="379">
        <v>10458431</v>
      </c>
      <c r="H107" s="380"/>
      <c r="I107" s="381"/>
      <c r="J107" s="380">
        <f>7531097-2799508</f>
        <v>4731589</v>
      </c>
      <c r="K107" s="531">
        <f>(J107+H107)/G107</f>
        <v>0.45241862761249751</v>
      </c>
    </row>
    <row r="108" spans="1:13" s="443" customFormat="1" ht="96" customHeight="1" x14ac:dyDescent="0.3">
      <c r="A108" s="747" t="s">
        <v>472</v>
      </c>
      <c r="B108" s="636" t="s">
        <v>139</v>
      </c>
      <c r="C108" s="636" t="s">
        <v>140</v>
      </c>
      <c r="D108" s="637" t="s">
        <v>141</v>
      </c>
      <c r="E108" s="541" t="s">
        <v>514</v>
      </c>
      <c r="F108" s="744" t="s">
        <v>442</v>
      </c>
      <c r="G108" s="329">
        <v>148634</v>
      </c>
      <c r="H108" s="328"/>
      <c r="I108" s="354">
        <v>0</v>
      </c>
      <c r="J108" s="328">
        <v>148634</v>
      </c>
      <c r="K108" s="356">
        <v>1</v>
      </c>
    </row>
    <row r="109" spans="1:13" s="443" customFormat="1" ht="99.75" customHeight="1" x14ac:dyDescent="0.3">
      <c r="A109" s="952" t="s">
        <v>495</v>
      </c>
      <c r="B109" s="959" t="s">
        <v>496</v>
      </c>
      <c r="C109" s="959" t="s">
        <v>238</v>
      </c>
      <c r="D109" s="962" t="s">
        <v>239</v>
      </c>
      <c r="E109" s="564" t="s">
        <v>515</v>
      </c>
      <c r="F109" s="902" t="s">
        <v>442</v>
      </c>
      <c r="G109" s="329">
        <f>G110+G112</f>
        <v>5455092</v>
      </c>
      <c r="H109" s="328"/>
      <c r="I109" s="354">
        <v>0</v>
      </c>
      <c r="J109" s="328">
        <f>J110+J112</f>
        <v>5441652</v>
      </c>
      <c r="K109" s="356">
        <v>1</v>
      </c>
      <c r="L109" s="621"/>
      <c r="M109" s="621"/>
    </row>
    <row r="110" spans="1:13" s="443" customFormat="1" ht="127.2" customHeight="1" x14ac:dyDescent="0.3">
      <c r="A110" s="958"/>
      <c r="B110" s="960"/>
      <c r="C110" s="960"/>
      <c r="D110" s="963"/>
      <c r="E110" s="370" t="s">
        <v>553</v>
      </c>
      <c r="F110" s="903"/>
      <c r="G110" s="358">
        <v>3091468</v>
      </c>
      <c r="H110" s="349"/>
      <c r="I110" s="383"/>
      <c r="J110" s="349">
        <f>2042000+1036028</f>
        <v>3078028</v>
      </c>
      <c r="K110" s="360">
        <v>1</v>
      </c>
    </row>
    <row r="111" spans="1:13" s="443" customFormat="1" ht="26.25" customHeight="1" x14ac:dyDescent="0.3">
      <c r="A111" s="958"/>
      <c r="B111" s="960"/>
      <c r="C111" s="960"/>
      <c r="D111" s="963"/>
      <c r="E111" s="370" t="s">
        <v>454</v>
      </c>
      <c r="F111" s="903"/>
      <c r="G111" s="379">
        <v>109440</v>
      </c>
      <c r="H111" s="349"/>
      <c r="I111" s="383"/>
      <c r="J111" s="349">
        <v>96000</v>
      </c>
      <c r="K111" s="360">
        <v>1</v>
      </c>
    </row>
    <row r="112" spans="1:13" s="443" customFormat="1" ht="148.19999999999999" customHeight="1" thickBot="1" x14ac:dyDescent="0.35">
      <c r="A112" s="958"/>
      <c r="B112" s="960"/>
      <c r="C112" s="960"/>
      <c r="D112" s="963"/>
      <c r="E112" s="444" t="s">
        <v>554</v>
      </c>
      <c r="F112" s="903"/>
      <c r="G112" s="379">
        <v>2363624</v>
      </c>
      <c r="H112" s="380"/>
      <c r="I112" s="381"/>
      <c r="J112" s="380">
        <f>2363624</f>
        <v>2363624</v>
      </c>
      <c r="K112" s="531">
        <v>1</v>
      </c>
    </row>
    <row r="113" spans="1:16" s="443" customFormat="1" ht="56.4" customHeight="1" thickBot="1" x14ac:dyDescent="0.35">
      <c r="A113" s="283" t="s">
        <v>205</v>
      </c>
      <c r="B113" s="684"/>
      <c r="C113" s="685"/>
      <c r="D113" s="686" t="s">
        <v>206</v>
      </c>
      <c r="E113" s="687"/>
      <c r="F113" s="688"/>
      <c r="G113" s="689"/>
      <c r="H113" s="690"/>
      <c r="I113" s="691"/>
      <c r="J113" s="556">
        <f>J114</f>
        <v>6968100</v>
      </c>
      <c r="K113" s="692"/>
    </row>
    <row r="114" spans="1:16" s="443" customFormat="1" ht="54.6" customHeight="1" x14ac:dyDescent="0.3">
      <c r="A114" s="750" t="s">
        <v>207</v>
      </c>
      <c r="B114" s="756"/>
      <c r="C114" s="756"/>
      <c r="D114" s="540" t="s">
        <v>206</v>
      </c>
      <c r="E114" s="706"/>
      <c r="F114" s="731"/>
      <c r="G114" s="707"/>
      <c r="H114" s="708"/>
      <c r="I114" s="709"/>
      <c r="J114" s="708">
        <f>J115</f>
        <v>6968100</v>
      </c>
      <c r="K114" s="762"/>
    </row>
    <row r="115" spans="1:16" s="443" customFormat="1" ht="98.4" customHeight="1" thickBot="1" x14ac:dyDescent="0.35">
      <c r="A115" s="753" t="s">
        <v>562</v>
      </c>
      <c r="B115" s="755" t="s">
        <v>563</v>
      </c>
      <c r="C115" s="661" t="s">
        <v>286</v>
      </c>
      <c r="D115" s="431" t="s">
        <v>560</v>
      </c>
      <c r="E115" s="680" t="s">
        <v>564</v>
      </c>
      <c r="F115" s="730"/>
      <c r="G115" s="681"/>
      <c r="H115" s="682"/>
      <c r="I115" s="683"/>
      <c r="J115" s="705">
        <v>6968100</v>
      </c>
      <c r="K115" s="763"/>
    </row>
    <row r="116" spans="1:16" s="99" customFormat="1" ht="61.5" customHeight="1" thickBot="1" x14ac:dyDescent="0.35">
      <c r="A116" s="283" t="s">
        <v>213</v>
      </c>
      <c r="B116" s="284" t="s">
        <v>16</v>
      </c>
      <c r="C116" s="693" t="s">
        <v>16</v>
      </c>
      <c r="D116" s="686" t="s">
        <v>214</v>
      </c>
      <c r="E116" s="694">
        <v>0</v>
      </c>
      <c r="F116" s="695"/>
      <c r="G116" s="696"/>
      <c r="H116" s="697"/>
      <c r="I116" s="698"/>
      <c r="J116" s="699">
        <f>J117</f>
        <v>46000</v>
      </c>
      <c r="K116" s="700"/>
    </row>
    <row r="117" spans="1:16" s="99" customFormat="1" ht="60" customHeight="1" x14ac:dyDescent="0.3">
      <c r="A117" s="290" t="s">
        <v>215</v>
      </c>
      <c r="B117" s="291" t="s">
        <v>16</v>
      </c>
      <c r="C117" s="291" t="s">
        <v>16</v>
      </c>
      <c r="D117" s="540" t="s">
        <v>214</v>
      </c>
      <c r="E117" s="384"/>
      <c r="F117" s="735"/>
      <c r="G117" s="385"/>
      <c r="H117" s="386"/>
      <c r="I117" s="387"/>
      <c r="J117" s="325">
        <f>J118</f>
        <v>46000</v>
      </c>
      <c r="K117" s="388"/>
    </row>
    <row r="118" spans="1:16" s="99" customFormat="1" ht="57.75" customHeight="1" thickBot="1" x14ac:dyDescent="0.35">
      <c r="A118" s="298" t="s">
        <v>216</v>
      </c>
      <c r="B118" s="299" t="s">
        <v>45</v>
      </c>
      <c r="C118" s="299" t="s">
        <v>18</v>
      </c>
      <c r="D118" s="538" t="s">
        <v>181</v>
      </c>
      <c r="E118" s="300" t="s">
        <v>429</v>
      </c>
      <c r="F118" s="733"/>
      <c r="G118" s="701"/>
      <c r="H118" s="389"/>
      <c r="I118" s="702"/>
      <c r="J118" s="703">
        <f>23000+23000</f>
        <v>46000</v>
      </c>
      <c r="K118" s="764"/>
    </row>
    <row r="119" spans="1:16" s="99" customFormat="1" ht="57.75" customHeight="1" thickBot="1" x14ac:dyDescent="0.35">
      <c r="A119" s="283">
        <v>3700000</v>
      </c>
      <c r="B119" s="704"/>
      <c r="C119" s="704"/>
      <c r="D119" s="686" t="s">
        <v>218</v>
      </c>
      <c r="E119" s="285"/>
      <c r="F119" s="695"/>
      <c r="G119" s="696"/>
      <c r="H119" s="697"/>
      <c r="I119" s="698"/>
      <c r="J119" s="699">
        <f>J120</f>
        <v>48200</v>
      </c>
      <c r="K119" s="700"/>
    </row>
    <row r="120" spans="1:16" s="99" customFormat="1" ht="57.75" customHeight="1" x14ac:dyDescent="0.3">
      <c r="A120" s="290">
        <v>3710000</v>
      </c>
      <c r="B120" s="291" t="s">
        <v>16</v>
      </c>
      <c r="C120" s="291" t="s">
        <v>16</v>
      </c>
      <c r="D120" s="540" t="s">
        <v>218</v>
      </c>
      <c r="E120" s="293"/>
      <c r="F120" s="735"/>
      <c r="G120" s="385"/>
      <c r="H120" s="386"/>
      <c r="I120" s="387"/>
      <c r="J120" s="325">
        <f>J121</f>
        <v>48200</v>
      </c>
      <c r="K120" s="388"/>
    </row>
    <row r="121" spans="1:16" s="99" customFormat="1" ht="57.75" customHeight="1" thickBot="1" x14ac:dyDescent="0.35">
      <c r="A121" s="276">
        <v>3710160</v>
      </c>
      <c r="B121" s="277" t="s">
        <v>45</v>
      </c>
      <c r="C121" s="277" t="s">
        <v>18</v>
      </c>
      <c r="D121" s="431" t="s">
        <v>181</v>
      </c>
      <c r="E121" s="271" t="s">
        <v>429</v>
      </c>
      <c r="F121" s="734"/>
      <c r="G121" s="672"/>
      <c r="H121" s="673"/>
      <c r="I121" s="674"/>
      <c r="J121" s="675">
        <f>0+48200</f>
        <v>48200</v>
      </c>
      <c r="K121" s="676"/>
    </row>
    <row r="122" spans="1:16" ht="21" thickBot="1" x14ac:dyDescent="0.3">
      <c r="A122" s="545" t="s">
        <v>474</v>
      </c>
      <c r="B122" s="255" t="s">
        <v>474</v>
      </c>
      <c r="C122" s="255" t="s">
        <v>474</v>
      </c>
      <c r="D122" s="254" t="s">
        <v>149</v>
      </c>
      <c r="E122" s="532" t="s">
        <v>474</v>
      </c>
      <c r="F122" s="533" t="s">
        <v>474</v>
      </c>
      <c r="G122" s="534" t="s">
        <v>474</v>
      </c>
      <c r="H122" s="534" t="s">
        <v>474</v>
      </c>
      <c r="I122" s="534" t="s">
        <v>474</v>
      </c>
      <c r="J122" s="643">
        <f>J22+J36+J41+J49+J54+J116+J32+J119+J113</f>
        <v>202287367</v>
      </c>
      <c r="K122" s="644" t="s">
        <v>474</v>
      </c>
      <c r="M122" s="390"/>
    </row>
    <row r="123" spans="1:16" ht="20.399999999999999" x14ac:dyDescent="0.25">
      <c r="A123" s="391"/>
      <c r="B123" s="392"/>
      <c r="C123" s="392"/>
      <c r="D123" s="393"/>
      <c r="E123" s="394"/>
      <c r="F123" s="395"/>
      <c r="G123" s="396"/>
      <c r="H123" s="396"/>
      <c r="I123" s="396"/>
      <c r="J123" s="397"/>
      <c r="K123" s="398"/>
    </row>
    <row r="124" spans="1:16" s="26" customFormat="1" ht="49.95" customHeight="1" x14ac:dyDescent="0.3">
      <c r="A124" s="951" t="s">
        <v>565</v>
      </c>
      <c r="B124" s="951"/>
      <c r="C124" s="951"/>
      <c r="D124" s="951"/>
      <c r="E124" s="951"/>
      <c r="F124" s="951"/>
      <c r="G124" s="951"/>
      <c r="H124" s="951"/>
      <c r="I124" s="951"/>
      <c r="J124" s="951"/>
      <c r="K124" s="106"/>
      <c r="L124" s="23"/>
      <c r="M124" s="106"/>
      <c r="N124" s="106"/>
      <c r="O124" s="24"/>
      <c r="P124" s="25"/>
    </row>
    <row r="126" spans="1:16" s="18" customFormat="1" ht="21" x14ac:dyDescent="0.4">
      <c r="A126" s="399"/>
      <c r="B126" s="399"/>
      <c r="G126" s="400"/>
      <c r="J126" s="401"/>
    </row>
    <row r="127" spans="1:16" s="403" customFormat="1" ht="21" x14ac:dyDescent="0.4">
      <c r="A127" s="402"/>
      <c r="B127" s="402"/>
    </row>
    <row r="128" spans="1:16" s="404" customFormat="1" ht="21" x14ac:dyDescent="0.4">
      <c r="B128" s="405"/>
      <c r="C128" s="406"/>
      <c r="E128" s="407"/>
      <c r="F128" s="406"/>
      <c r="G128" s="400"/>
      <c r="H128" s="400"/>
      <c r="I128" s="400"/>
      <c r="J128" s="645"/>
      <c r="K128" s="408"/>
    </row>
    <row r="129" s="227" customFormat="1" x14ac:dyDescent="0.25"/>
    <row r="130" s="227" customFormat="1" x14ac:dyDescent="0.25"/>
  </sheetData>
  <mergeCells count="88">
    <mergeCell ref="A124:J124"/>
    <mergeCell ref="A99:A100"/>
    <mergeCell ref="B99:B100"/>
    <mergeCell ref="C99:C100"/>
    <mergeCell ref="D99:D100"/>
    <mergeCell ref="F99:F100"/>
    <mergeCell ref="A104:A107"/>
    <mergeCell ref="B104:B107"/>
    <mergeCell ref="C104:C107"/>
    <mergeCell ref="D104:D107"/>
    <mergeCell ref="F104:F107"/>
    <mergeCell ref="A109:A112"/>
    <mergeCell ref="B109:B112"/>
    <mergeCell ref="C109:C112"/>
    <mergeCell ref="D109:D112"/>
    <mergeCell ref="F109:F112"/>
    <mergeCell ref="A95:A96"/>
    <mergeCell ref="B95:B96"/>
    <mergeCell ref="C95:C96"/>
    <mergeCell ref="D95:D96"/>
    <mergeCell ref="F95:F96"/>
    <mergeCell ref="F75:F76"/>
    <mergeCell ref="A81:A82"/>
    <mergeCell ref="B81:B82"/>
    <mergeCell ref="C81:C82"/>
    <mergeCell ref="D81:D82"/>
    <mergeCell ref="F81:F82"/>
    <mergeCell ref="A79:A80"/>
    <mergeCell ref="B79:B80"/>
    <mergeCell ref="C79:C80"/>
    <mergeCell ref="D79:D80"/>
    <mergeCell ref="A75:A76"/>
    <mergeCell ref="B75:B76"/>
    <mergeCell ref="C75:C76"/>
    <mergeCell ref="D75:D76"/>
    <mergeCell ref="F79:F80"/>
    <mergeCell ref="A70:A72"/>
    <mergeCell ref="A68:A69"/>
    <mergeCell ref="B68:B69"/>
    <mergeCell ref="C68:C69"/>
    <mergeCell ref="D68:D69"/>
    <mergeCell ref="D61:D62"/>
    <mergeCell ref="B63:B65"/>
    <mergeCell ref="C63:C65"/>
    <mergeCell ref="D63:D65"/>
    <mergeCell ref="A57:A59"/>
    <mergeCell ref="B57:B59"/>
    <mergeCell ref="C57:C59"/>
    <mergeCell ref="D57:D59"/>
    <mergeCell ref="A61:A62"/>
    <mergeCell ref="A63:A65"/>
    <mergeCell ref="K19:K20"/>
    <mergeCell ref="I6:J6"/>
    <mergeCell ref="A16:K16"/>
    <mergeCell ref="A17:C17"/>
    <mergeCell ref="D17:K17"/>
    <mergeCell ref="A18:C18"/>
    <mergeCell ref="A19:A20"/>
    <mergeCell ref="B19:B20"/>
    <mergeCell ref="C19:C20"/>
    <mergeCell ref="D19:D20"/>
    <mergeCell ref="E19:E20"/>
    <mergeCell ref="F19:F20"/>
    <mergeCell ref="G19:G20"/>
    <mergeCell ref="H19:H20"/>
    <mergeCell ref="I19:I20"/>
    <mergeCell ref="J19:J20"/>
    <mergeCell ref="A92:A93"/>
    <mergeCell ref="B92:B93"/>
    <mergeCell ref="C92:C93"/>
    <mergeCell ref="D92:D93"/>
    <mergeCell ref="F92:F93"/>
    <mergeCell ref="I9:J9"/>
    <mergeCell ref="A87:A89"/>
    <mergeCell ref="B87:B89"/>
    <mergeCell ref="C87:C89"/>
    <mergeCell ref="D87:D89"/>
    <mergeCell ref="F87:F89"/>
    <mergeCell ref="F70:F72"/>
    <mergeCell ref="B70:B72"/>
    <mergeCell ref="C70:C72"/>
    <mergeCell ref="D70:D72"/>
    <mergeCell ref="F57:F59"/>
    <mergeCell ref="F68:F69"/>
    <mergeCell ref="F61:F62"/>
    <mergeCell ref="F63:F65"/>
    <mergeCell ref="B61:B62"/>
    <mergeCell ref="C61:C62"/>
  </mergeCells>
  <pageMargins left="0.78740157480314965" right="0.51181102362204722" top="0.74803149606299213" bottom="0.35433070866141736" header="0.31496062992125984" footer="0.31496062992125984"/>
  <pageSetup paperSize="9" scale="56" orientation="landscape" r:id="rId1"/>
  <rowBreaks count="2" manualBreakCount="2">
    <brk id="60" max="10" man="1"/>
    <brk id="69"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8</vt:i4>
      </vt:variant>
    </vt:vector>
  </HeadingPairs>
  <TitlesOfParts>
    <vt:vector size="14" baseType="lpstr">
      <vt:lpstr>дод 1 Доходи</vt:lpstr>
      <vt:lpstr>дод 2 Джерела</vt:lpstr>
      <vt:lpstr>дод 3 Видатки</vt:lpstr>
      <vt:lpstr>дод 4 Трансферти</vt:lpstr>
      <vt:lpstr>дод 5 Програми</vt:lpstr>
      <vt:lpstr>дод 6 Бюджет розвитку</vt:lpstr>
      <vt:lpstr>'дод 3 Видатки'!Заголовки_для_печати</vt:lpstr>
      <vt:lpstr>'дод 5 Програми'!Заголовки_для_печати</vt:lpstr>
      <vt:lpstr>'дод 1 Доходи'!Область_печати</vt:lpstr>
      <vt:lpstr>'дод 2 Джерела'!Область_печати</vt:lpstr>
      <vt:lpstr>'дод 3 Видатки'!Область_печати</vt:lpstr>
      <vt:lpstr>'дод 4 Трансферти'!Область_печати</vt:lpstr>
      <vt:lpstr>'дод 5 Програми'!Область_печати</vt:lpstr>
      <vt:lpstr>'дод 6 Бюджет розвитку'!Область_печати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polzovatel</dc:creator>
  <cp:lastModifiedBy>Татьяна</cp:lastModifiedBy>
  <cp:lastPrinted>2025-03-10T08:25:23Z</cp:lastPrinted>
  <dcterms:created xsi:type="dcterms:W3CDTF">2021-12-17T13:26:15Z</dcterms:created>
  <dcterms:modified xsi:type="dcterms:W3CDTF">2025-03-10T08:26:26Z</dcterms:modified>
</cp:coreProperties>
</file>