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Виконання 2024 рік\"/>
    </mc:Choice>
  </mc:AlternateContent>
  <bookViews>
    <workbookView xWindow="-120" yWindow="-120" windowWidth="29040" windowHeight="15840" firstSheet="4" activeTab="6"/>
  </bookViews>
  <sheets>
    <sheet name="дод 1 Доходи " sheetId="29" r:id="rId1"/>
    <sheet name="дод 2 Джерела" sheetId="23" r:id="rId2"/>
    <sheet name="дод 3 Видатки" sheetId="19" r:id="rId3"/>
    <sheet name="дод 4 Кредитування" sheetId="28" r:id="rId4"/>
    <sheet name="дод 5 Трансферти" sheetId="32" r:id="rId5"/>
    <sheet name="дод 6 Програми" sheetId="27" r:id="rId6"/>
    <sheet name="дод 7 Бюдж розвитку" sheetId="21" r:id="rId7"/>
    <sheet name="дод 8 ФОНС " sheetId="26" r:id="rId8"/>
    <sheet name="дод 9 Дороги" sheetId="31" r:id="rId9"/>
  </sheets>
  <definedNames>
    <definedName name="_xlnm.Print_Titles" localSheetId="0">'дод 1 Доходи '!$11:$14</definedName>
    <definedName name="_xlnm.Print_Titles" localSheetId="2">'дод 3 Видатки'!$11:$15</definedName>
    <definedName name="_xlnm.Print_Area" localSheetId="0">'дод 1 Доходи '!$A$1:$K$95</definedName>
    <definedName name="_xlnm.Print_Area" localSheetId="1">'дод 2 Джерела'!$A$1:$J$32</definedName>
    <definedName name="_xlnm.Print_Area" localSheetId="2">'дод 3 Видатки'!$A$1:$M$349</definedName>
    <definedName name="_xlnm.Print_Area" localSheetId="4">'дод 5 Трансферти'!$A$1:$F$73</definedName>
    <definedName name="_xlnm.Print_Area" localSheetId="5">'дод 6 Програми'!$A$1:$O$120</definedName>
    <definedName name="_xlnm.Print_Area" localSheetId="6">'дод 7 Бюдж розвитку'!$A$1:$L$117</definedName>
    <definedName name="_xlnm.Print_Area" localSheetId="7">'дод 8 ФОНС '!$A$1:$H$25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32" l="1"/>
  <c r="E49" i="32"/>
  <c r="D49" i="32"/>
  <c r="F50" i="32"/>
  <c r="F20" i="32"/>
  <c r="D19" i="32"/>
  <c r="E19" i="32"/>
  <c r="F19" i="32" s="1"/>
  <c r="F44" i="32"/>
  <c r="E43" i="32"/>
  <c r="D43" i="32"/>
  <c r="F42" i="32"/>
  <c r="E41" i="32"/>
  <c r="D41" i="32"/>
  <c r="D31" i="32"/>
  <c r="C72" i="29"/>
  <c r="D72" i="29"/>
  <c r="D87" i="29"/>
  <c r="D86" i="29"/>
  <c r="F76" i="29"/>
  <c r="G76" i="29"/>
  <c r="H87" i="29"/>
  <c r="E87" i="29" s="1"/>
  <c r="H86" i="29"/>
  <c r="E86" i="29"/>
  <c r="F43" i="32" l="1"/>
  <c r="F41" i="32"/>
  <c r="C87" i="29"/>
  <c r="J71" i="29" l="1"/>
  <c r="K71" i="29" s="1"/>
  <c r="I71" i="29"/>
  <c r="K72" i="29"/>
  <c r="C86" i="29"/>
  <c r="H81" i="29"/>
  <c r="G71" i="29"/>
  <c r="F71" i="29"/>
  <c r="C71" i="29" s="1"/>
  <c r="E72" i="29"/>
  <c r="H72" i="29"/>
  <c r="G55" i="29"/>
  <c r="C57" i="29"/>
  <c r="E57" i="29"/>
  <c r="D57" i="29"/>
  <c r="H59" i="29"/>
  <c r="E59" i="29" s="1"/>
  <c r="J55" i="29"/>
  <c r="C58" i="29"/>
  <c r="D58" i="29"/>
  <c r="E58" i="29"/>
  <c r="C59" i="29"/>
  <c r="H56" i="29"/>
  <c r="D55" i="29" l="1"/>
  <c r="D71" i="29"/>
  <c r="L56" i="21"/>
  <c r="L84" i="21"/>
  <c r="L73" i="21"/>
  <c r="K67" i="21" l="1"/>
  <c r="L67" i="21" s="1"/>
  <c r="G16" i="31" l="1"/>
  <c r="G15" i="31" s="1"/>
  <c r="G25" i="31" s="1"/>
  <c r="F16" i="31"/>
  <c r="F15" i="31" s="1"/>
  <c r="F25" i="31" s="1"/>
  <c r="G20" i="26"/>
  <c r="F20" i="26"/>
  <c r="G18" i="26"/>
  <c r="F18" i="26"/>
  <c r="G16" i="26"/>
  <c r="G15" i="26" s="1"/>
  <c r="G14" i="26" s="1"/>
  <c r="G13" i="26" s="1"/>
  <c r="G22" i="26" s="1"/>
  <c r="F15" i="26"/>
  <c r="J113" i="21"/>
  <c r="J112" i="21" s="1"/>
  <c r="J111" i="21" s="1"/>
  <c r="K112" i="21"/>
  <c r="K111" i="21" s="1"/>
  <c r="J110" i="21"/>
  <c r="J109" i="21" s="1"/>
  <c r="J108" i="21" s="1"/>
  <c r="K109" i="21"/>
  <c r="K108" i="21" s="1"/>
  <c r="K106" i="21"/>
  <c r="K105" i="21" s="1"/>
  <c r="J106" i="21"/>
  <c r="J105" i="21" s="1"/>
  <c r="J104" i="21"/>
  <c r="K102" i="21"/>
  <c r="J102" i="21"/>
  <c r="G101" i="21"/>
  <c r="J99" i="21"/>
  <c r="L96" i="21"/>
  <c r="J96" i="21"/>
  <c r="J95" i="21"/>
  <c r="J91" i="21"/>
  <c r="I91" i="21"/>
  <c r="J90" i="21"/>
  <c r="I87" i="21"/>
  <c r="L86" i="21"/>
  <c r="J84" i="21"/>
  <c r="J83" i="21"/>
  <c r="J79" i="21"/>
  <c r="H79" i="21"/>
  <c r="I79" i="21" s="1"/>
  <c r="I71" i="21"/>
  <c r="J67" i="21"/>
  <c r="J66" i="21"/>
  <c r="H63" i="21"/>
  <c r="H62" i="21" s="1"/>
  <c r="I62" i="21" s="1"/>
  <c r="G63" i="21"/>
  <c r="J62" i="21"/>
  <c r="J60" i="21"/>
  <c r="I60" i="21"/>
  <c r="I59" i="21"/>
  <c r="I55" i="21"/>
  <c r="J54" i="21"/>
  <c r="H54" i="21"/>
  <c r="L54" i="21" s="1"/>
  <c r="L53" i="21"/>
  <c r="K50" i="21"/>
  <c r="L50" i="21" s="1"/>
  <c r="J50" i="21"/>
  <c r="I50" i="21"/>
  <c r="J49" i="21"/>
  <c r="K46" i="21"/>
  <c r="K43" i="21" s="1"/>
  <c r="K42" i="21" s="1"/>
  <c r="J46" i="21"/>
  <c r="J44" i="21"/>
  <c r="J41" i="21"/>
  <c r="J37" i="21"/>
  <c r="J36" i="21"/>
  <c r="K35" i="21"/>
  <c r="K34" i="21" s="1"/>
  <c r="J33" i="21"/>
  <c r="J30" i="21" s="1"/>
  <c r="J29" i="21" s="1"/>
  <c r="K30" i="21"/>
  <c r="K29" i="21" s="1"/>
  <c r="J28" i="21"/>
  <c r="K26" i="21"/>
  <c r="K25" i="21" s="1"/>
  <c r="J26" i="21"/>
  <c r="J25" i="21" s="1"/>
  <c r="J24" i="21"/>
  <c r="J17" i="21"/>
  <c r="K16" i="21"/>
  <c r="K15" i="21" s="1"/>
  <c r="J35" i="21" l="1"/>
  <c r="J34" i="21" s="1"/>
  <c r="K101" i="21"/>
  <c r="L101" i="21" s="1"/>
  <c r="L102" i="21"/>
  <c r="J16" i="21"/>
  <c r="J15" i="21" s="1"/>
  <c r="J101" i="21"/>
  <c r="J48" i="21" s="1"/>
  <c r="J47" i="21" s="1"/>
  <c r="J43" i="21"/>
  <c r="J42" i="21" s="1"/>
  <c r="F14" i="26"/>
  <c r="F13" i="26" s="1"/>
  <c r="F22" i="26" s="1"/>
  <c r="K48" i="21"/>
  <c r="K47" i="21" s="1"/>
  <c r="K114" i="21" s="1"/>
  <c r="I54" i="21"/>
  <c r="I21" i="23"/>
  <c r="J21" i="23" s="1"/>
  <c r="F21" i="23"/>
  <c r="E19" i="23"/>
  <c r="J114" i="21" l="1"/>
  <c r="N30" i="27"/>
  <c r="M30" i="27"/>
  <c r="H107" i="27"/>
  <c r="I107" i="27"/>
  <c r="J107" i="27"/>
  <c r="K107" i="27"/>
  <c r="L107" i="27"/>
  <c r="G107" i="27"/>
  <c r="N109" i="27"/>
  <c r="M109" i="27"/>
  <c r="L105" i="27"/>
  <c r="K79" i="27"/>
  <c r="I79" i="27"/>
  <c r="N90" i="27"/>
  <c r="M90" i="27"/>
  <c r="N83" i="27"/>
  <c r="M83" i="27"/>
  <c r="O90" i="27" l="1"/>
  <c r="O109" i="27"/>
  <c r="O30" i="27"/>
  <c r="O83" i="27"/>
  <c r="K38" i="27" l="1"/>
  <c r="J38" i="27"/>
  <c r="L38" i="27"/>
  <c r="I38" i="27"/>
  <c r="N50" i="27"/>
  <c r="M50" i="27"/>
  <c r="O50" i="27" l="1"/>
  <c r="N47" i="27"/>
  <c r="M47" i="27"/>
  <c r="M46" i="27"/>
  <c r="N46" i="27"/>
  <c r="H79" i="27"/>
  <c r="G79" i="27"/>
  <c r="H38" i="27"/>
  <c r="G38" i="27"/>
  <c r="O46" i="27" l="1"/>
  <c r="O47" i="27"/>
  <c r="I362" i="19"/>
  <c r="H362" i="19"/>
  <c r="H361" i="19"/>
  <c r="K350" i="19"/>
  <c r="I361" i="19"/>
  <c r="L343" i="19"/>
  <c r="K343" i="19"/>
  <c r="J343" i="19"/>
  <c r="I342" i="19"/>
  <c r="L342" i="19" s="1"/>
  <c r="H342" i="19"/>
  <c r="K342" i="19" s="1"/>
  <c r="J312" i="19"/>
  <c r="I311" i="19"/>
  <c r="I310" i="19" s="1"/>
  <c r="L310" i="19" s="1"/>
  <c r="H311" i="19"/>
  <c r="K311" i="19" s="1"/>
  <c r="L312" i="19"/>
  <c r="K312" i="19"/>
  <c r="J246" i="19"/>
  <c r="I245" i="19"/>
  <c r="I244" i="19" s="1"/>
  <c r="L244" i="19" s="1"/>
  <c r="H245" i="19"/>
  <c r="K245" i="19" s="1"/>
  <c r="L246" i="19"/>
  <c r="K246" i="19"/>
  <c r="J225" i="19"/>
  <c r="L225" i="19"/>
  <c r="K225" i="19"/>
  <c r="I224" i="19"/>
  <c r="L224" i="19" s="1"/>
  <c r="H224" i="19"/>
  <c r="K224" i="19" s="1"/>
  <c r="I190" i="19"/>
  <c r="I123" i="19"/>
  <c r="J124" i="19"/>
  <c r="H123" i="19"/>
  <c r="J111" i="19"/>
  <c r="I110" i="19"/>
  <c r="L110" i="19" s="1"/>
  <c r="H110" i="19"/>
  <c r="H109" i="19" s="1"/>
  <c r="K109" i="19" s="1"/>
  <c r="L111" i="19"/>
  <c r="K111" i="19"/>
  <c r="I94" i="19"/>
  <c r="H94" i="19"/>
  <c r="I71" i="19"/>
  <c r="J75" i="19"/>
  <c r="I74" i="19"/>
  <c r="H74" i="19"/>
  <c r="K74" i="19" s="1"/>
  <c r="L75" i="19"/>
  <c r="K75" i="19"/>
  <c r="J123" i="19" l="1"/>
  <c r="I339" i="19"/>
  <c r="H338" i="19"/>
  <c r="H337" i="19" s="1"/>
  <c r="I338" i="19"/>
  <c r="M343" i="19"/>
  <c r="H339" i="19"/>
  <c r="M342" i="19"/>
  <c r="J342" i="19"/>
  <c r="H70" i="19"/>
  <c r="I220" i="19"/>
  <c r="M312" i="19"/>
  <c r="J224" i="19"/>
  <c r="J245" i="19"/>
  <c r="J311" i="19"/>
  <c r="I304" i="19"/>
  <c r="J110" i="19"/>
  <c r="H220" i="19"/>
  <c r="L311" i="19"/>
  <c r="M311" i="19" s="1"/>
  <c r="H310" i="19"/>
  <c r="H304" i="19" s="1"/>
  <c r="H303" i="19" s="1"/>
  <c r="M246" i="19"/>
  <c r="L245" i="19"/>
  <c r="M245" i="19" s="1"/>
  <c r="H244" i="19"/>
  <c r="M224" i="19"/>
  <c r="M225" i="19"/>
  <c r="M111" i="19"/>
  <c r="I109" i="19"/>
  <c r="K110" i="19"/>
  <c r="M110" i="19" s="1"/>
  <c r="M75" i="19"/>
  <c r="I70" i="19"/>
  <c r="L74" i="19"/>
  <c r="M74" i="19" s="1"/>
  <c r="J74" i="19"/>
  <c r="I41" i="19"/>
  <c r="J338" i="19" l="1"/>
  <c r="I337" i="19"/>
  <c r="J337" i="19" s="1"/>
  <c r="J220" i="19"/>
  <c r="L109" i="19"/>
  <c r="M109" i="19" s="1"/>
  <c r="J109" i="19"/>
  <c r="I303" i="19"/>
  <c r="J303" i="19" s="1"/>
  <c r="J304" i="19"/>
  <c r="J310" i="19"/>
  <c r="K310" i="19"/>
  <c r="M310" i="19" s="1"/>
  <c r="J244" i="19"/>
  <c r="K244" i="19"/>
  <c r="M244" i="19" s="1"/>
  <c r="G336" i="19"/>
  <c r="F335" i="19"/>
  <c r="E335" i="19"/>
  <c r="L258" i="19"/>
  <c r="K258" i="19"/>
  <c r="G258" i="19"/>
  <c r="F257" i="19"/>
  <c r="L257" i="19" s="1"/>
  <c r="E257" i="19"/>
  <c r="K257" i="19" s="1"/>
  <c r="L124" i="19"/>
  <c r="K124" i="19"/>
  <c r="G124" i="19"/>
  <c r="F123" i="19"/>
  <c r="L123" i="19" s="1"/>
  <c r="E123" i="19"/>
  <c r="K123" i="19" s="1"/>
  <c r="L108" i="19"/>
  <c r="K108" i="19"/>
  <c r="G108" i="19"/>
  <c r="F107" i="19"/>
  <c r="L107" i="19" s="1"/>
  <c r="E107" i="19"/>
  <c r="K107" i="19" s="1"/>
  <c r="F56" i="19"/>
  <c r="L56" i="19" s="1"/>
  <c r="E56" i="19"/>
  <c r="L57" i="19"/>
  <c r="K57" i="19"/>
  <c r="K55" i="19"/>
  <c r="G57" i="19"/>
  <c r="G56" i="19" l="1"/>
  <c r="G335" i="19"/>
  <c r="K56" i="19"/>
  <c r="M56" i="19" s="1"/>
  <c r="G123" i="19"/>
  <c r="G257" i="19"/>
  <c r="M258" i="19"/>
  <c r="M124" i="19"/>
  <c r="M257" i="19"/>
  <c r="M123" i="19"/>
  <c r="G107" i="19"/>
  <c r="M107" i="19"/>
  <c r="M108" i="19"/>
  <c r="M57" i="19"/>
  <c r="F26" i="32"/>
  <c r="F65" i="32"/>
  <c r="F64" i="32"/>
  <c r="F52" i="32"/>
  <c r="E81" i="29"/>
  <c r="C81" i="29"/>
  <c r="I335" i="19" l="1"/>
  <c r="H335" i="19"/>
  <c r="L336" i="19"/>
  <c r="K336" i="19"/>
  <c r="L302" i="19"/>
  <c r="K302" i="19"/>
  <c r="J302" i="19"/>
  <c r="I301" i="19"/>
  <c r="I300" i="19" s="1"/>
  <c r="L300" i="19" s="1"/>
  <c r="H301" i="19"/>
  <c r="H300" i="19" s="1"/>
  <c r="I283" i="19"/>
  <c r="I282" i="19" s="1"/>
  <c r="L282" i="19" s="1"/>
  <c r="H283" i="19"/>
  <c r="K283" i="19" s="1"/>
  <c r="L284" i="19"/>
  <c r="K284" i="19"/>
  <c r="J284" i="19"/>
  <c r="J269" i="19"/>
  <c r="I268" i="19"/>
  <c r="L268" i="19" s="1"/>
  <c r="H268" i="19"/>
  <c r="H264" i="19" s="1"/>
  <c r="L269" i="19"/>
  <c r="K269" i="19"/>
  <c r="J250" i="19"/>
  <c r="I249" i="19"/>
  <c r="I247" i="19" s="1"/>
  <c r="H249" i="19"/>
  <c r="K249" i="19" s="1"/>
  <c r="L250" i="19"/>
  <c r="K250" i="19"/>
  <c r="J216" i="19"/>
  <c r="I215" i="19"/>
  <c r="L215" i="19" s="1"/>
  <c r="H215" i="19"/>
  <c r="K215" i="19" s="1"/>
  <c r="L216" i="19"/>
  <c r="K216" i="19"/>
  <c r="J157" i="19"/>
  <c r="L157" i="19"/>
  <c r="K157" i="19"/>
  <c r="I156" i="19"/>
  <c r="I155" i="19" s="1"/>
  <c r="L155" i="19" s="1"/>
  <c r="H156" i="19"/>
  <c r="H155" i="19" s="1"/>
  <c r="K155" i="19" s="1"/>
  <c r="J146" i="19"/>
  <c r="I135" i="19"/>
  <c r="H247" i="19" l="1"/>
  <c r="J247" i="19" s="1"/>
  <c r="L335" i="19"/>
  <c r="I264" i="19"/>
  <c r="K301" i="19"/>
  <c r="J155" i="19"/>
  <c r="I213" i="19"/>
  <c r="K268" i="19"/>
  <c r="M268" i="19" s="1"/>
  <c r="J268" i="19"/>
  <c r="M284" i="19"/>
  <c r="K335" i="19"/>
  <c r="M335" i="19" s="1"/>
  <c r="J249" i="19"/>
  <c r="K156" i="19"/>
  <c r="J156" i="19"/>
  <c r="H213" i="19"/>
  <c r="L249" i="19"/>
  <c r="M249" i="19" s="1"/>
  <c r="J215" i="19"/>
  <c r="J283" i="19"/>
  <c r="M336" i="19"/>
  <c r="L301" i="19"/>
  <c r="M302" i="19"/>
  <c r="J300" i="19"/>
  <c r="K300" i="19"/>
  <c r="M300" i="19" s="1"/>
  <c r="J301" i="19"/>
  <c r="L283" i="19"/>
  <c r="M283" i="19" s="1"/>
  <c r="H282" i="19"/>
  <c r="M215" i="19"/>
  <c r="M269" i="19"/>
  <c r="M250" i="19"/>
  <c r="M216" i="19"/>
  <c r="M157" i="19"/>
  <c r="L156" i="19"/>
  <c r="M155" i="19"/>
  <c r="H111" i="27"/>
  <c r="I111" i="27"/>
  <c r="K111" i="27"/>
  <c r="G111" i="27"/>
  <c r="N113" i="27"/>
  <c r="M113" i="27"/>
  <c r="L113" i="27"/>
  <c r="K93" i="27"/>
  <c r="N93" i="27" s="1"/>
  <c r="I93" i="27"/>
  <c r="M93" i="27" s="1"/>
  <c r="N105" i="27"/>
  <c r="J105" i="27"/>
  <c r="M105" i="27"/>
  <c r="N98" i="27"/>
  <c r="M98" i="27"/>
  <c r="L98" i="27"/>
  <c r="J98" i="27"/>
  <c r="L95" i="27"/>
  <c r="L96" i="27"/>
  <c r="L97" i="27"/>
  <c r="L99" i="27"/>
  <c r="L100" i="27"/>
  <c r="L101" i="27"/>
  <c r="L102" i="27"/>
  <c r="L103" i="27"/>
  <c r="L104" i="27"/>
  <c r="J95" i="27"/>
  <c r="J96" i="27"/>
  <c r="J97" i="27"/>
  <c r="J99" i="27"/>
  <c r="J100" i="27"/>
  <c r="J101" i="27"/>
  <c r="J102" i="27"/>
  <c r="J103" i="27"/>
  <c r="J104" i="27"/>
  <c r="L94" i="27"/>
  <c r="J94" i="27"/>
  <c r="N86" i="27"/>
  <c r="M86" i="27"/>
  <c r="L86" i="27"/>
  <c r="N85" i="27"/>
  <c r="M85" i="27"/>
  <c r="L85" i="27"/>
  <c r="N84" i="27"/>
  <c r="M74" i="27"/>
  <c r="J74" i="27"/>
  <c r="N74" i="27"/>
  <c r="H61" i="27"/>
  <c r="N39" i="27"/>
  <c r="K19" i="27"/>
  <c r="L25" i="27"/>
  <c r="L26" i="27"/>
  <c r="L27" i="27"/>
  <c r="L28" i="27"/>
  <c r="L29" i="27"/>
  <c r="L31" i="27"/>
  <c r="L32" i="27"/>
  <c r="L33" i="27"/>
  <c r="L34" i="27"/>
  <c r="L35" i="27"/>
  <c r="L36" i="27"/>
  <c r="N36" i="27"/>
  <c r="M36" i="27"/>
  <c r="J20" i="27"/>
  <c r="J21" i="27"/>
  <c r="J22" i="27"/>
  <c r="J23" i="27"/>
  <c r="J25" i="27"/>
  <c r="J26" i="27"/>
  <c r="J27" i="27"/>
  <c r="J28" i="27"/>
  <c r="J29" i="27"/>
  <c r="J31" i="27"/>
  <c r="J32" i="27"/>
  <c r="J33" i="27"/>
  <c r="J34" i="27"/>
  <c r="J35" i="27"/>
  <c r="J36" i="27"/>
  <c r="J24" i="27"/>
  <c r="I19" i="27"/>
  <c r="H19" i="27"/>
  <c r="G19" i="27"/>
  <c r="N27" i="27"/>
  <c r="M27" i="27"/>
  <c r="O85" i="27" l="1"/>
  <c r="M79" i="27"/>
  <c r="O113" i="27"/>
  <c r="M301" i="19"/>
  <c r="J264" i="19"/>
  <c r="M156" i="19"/>
  <c r="J213" i="19"/>
  <c r="J282" i="19"/>
  <c r="K282" i="19"/>
  <c r="M282" i="19" s="1"/>
  <c r="J19" i="27"/>
  <c r="O105" i="27"/>
  <c r="J93" i="27"/>
  <c r="N79" i="27"/>
  <c r="J84" i="27"/>
  <c r="J79" i="27" s="1"/>
  <c r="M84" i="27"/>
  <c r="L93" i="27"/>
  <c r="O98" i="27"/>
  <c r="O36" i="27"/>
  <c r="O86" i="27"/>
  <c r="O27" i="27"/>
  <c r="I54" i="19" l="1"/>
  <c r="L54" i="19" s="1"/>
  <c r="L55" i="19"/>
  <c r="J45" i="19"/>
  <c r="J55" i="19"/>
  <c r="H54" i="19"/>
  <c r="K54" i="19" s="1"/>
  <c r="L29" i="19"/>
  <c r="K29" i="19"/>
  <c r="J29" i="19"/>
  <c r="I28" i="19"/>
  <c r="I26" i="19" s="1"/>
  <c r="H28" i="19"/>
  <c r="K28" i="19" s="1"/>
  <c r="I18" i="19"/>
  <c r="E357" i="19"/>
  <c r="F357" i="19"/>
  <c r="F354" i="19"/>
  <c r="E354" i="19"/>
  <c r="L321" i="19"/>
  <c r="K321" i="19"/>
  <c r="G321" i="19"/>
  <c r="F320" i="19"/>
  <c r="L320" i="19" s="1"/>
  <c r="E320" i="19"/>
  <c r="K320" i="19" s="1"/>
  <c r="E182" i="19"/>
  <c r="L113" i="19"/>
  <c r="L114" i="19"/>
  <c r="K113" i="19"/>
  <c r="K114" i="19"/>
  <c r="G113" i="19"/>
  <c r="G114" i="19"/>
  <c r="F112" i="19"/>
  <c r="E112" i="19"/>
  <c r="E70" i="19"/>
  <c r="F70" i="19"/>
  <c r="L49" i="19"/>
  <c r="K49" i="19"/>
  <c r="K47" i="19"/>
  <c r="G49" i="19"/>
  <c r="F48" i="19"/>
  <c r="L48" i="19" s="1"/>
  <c r="E48" i="19"/>
  <c r="K48" i="19" s="1"/>
  <c r="F24" i="19"/>
  <c r="E18" i="19"/>
  <c r="L112" i="19" l="1"/>
  <c r="H26" i="19"/>
  <c r="J26" i="19" s="1"/>
  <c r="M55" i="19"/>
  <c r="J28" i="19"/>
  <c r="G112" i="19"/>
  <c r="H52" i="19"/>
  <c r="G48" i="19"/>
  <c r="G320" i="19"/>
  <c r="M321" i="19"/>
  <c r="M54" i="19"/>
  <c r="J54" i="19"/>
  <c r="I52" i="19"/>
  <c r="M29" i="19"/>
  <c r="L28" i="19"/>
  <c r="M28" i="19" s="1"/>
  <c r="M320" i="19"/>
  <c r="M113" i="19"/>
  <c r="M114" i="19"/>
  <c r="K112" i="19"/>
  <c r="M48" i="19"/>
  <c r="M49" i="19"/>
  <c r="E25" i="32"/>
  <c r="D25" i="32"/>
  <c r="F31" i="32"/>
  <c r="F30" i="32"/>
  <c r="E31" i="32"/>
  <c r="E37" i="32"/>
  <c r="D81" i="29"/>
  <c r="D77" i="29"/>
  <c r="C77" i="29"/>
  <c r="H77" i="29"/>
  <c r="H80" i="29"/>
  <c r="F25" i="32" l="1"/>
  <c r="M112" i="19"/>
  <c r="E77" i="29"/>
  <c r="J52" i="19"/>
  <c r="N108" i="27"/>
  <c r="M108" i="27"/>
  <c r="M56" i="27"/>
  <c r="N56" i="27"/>
  <c r="O108" i="27" l="1"/>
  <c r="O56" i="27"/>
  <c r="N104" i="27"/>
  <c r="M104" i="27"/>
  <c r="N103" i="27"/>
  <c r="M103" i="27"/>
  <c r="N102" i="27"/>
  <c r="M102" i="27"/>
  <c r="N100" i="27"/>
  <c r="M100" i="27"/>
  <c r="N97" i="27"/>
  <c r="M97" i="27"/>
  <c r="N94" i="27"/>
  <c r="N95" i="27"/>
  <c r="M94" i="27"/>
  <c r="M95" i="27"/>
  <c r="N91" i="27"/>
  <c r="M89" i="27"/>
  <c r="N89" i="27"/>
  <c r="N66" i="27"/>
  <c r="M66" i="27"/>
  <c r="N49" i="27"/>
  <c r="N51" i="27"/>
  <c r="M49" i="27"/>
  <c r="M51" i="27"/>
  <c r="N48" i="27"/>
  <c r="M48" i="27"/>
  <c r="N32" i="27"/>
  <c r="N33" i="27"/>
  <c r="N34" i="27"/>
  <c r="N35" i="27"/>
  <c r="M32" i="27"/>
  <c r="M33" i="27"/>
  <c r="M34" i="27"/>
  <c r="M35" i="27"/>
  <c r="N116" i="27"/>
  <c r="N117" i="27"/>
  <c r="M116" i="27"/>
  <c r="M117" i="27"/>
  <c r="H115" i="27"/>
  <c r="I115" i="27"/>
  <c r="J115" i="27"/>
  <c r="J114" i="27" s="1"/>
  <c r="K115" i="27"/>
  <c r="K114" i="27" s="1"/>
  <c r="L115" i="27"/>
  <c r="L114" i="27" s="1"/>
  <c r="G115" i="27"/>
  <c r="H106" i="27"/>
  <c r="J106" i="27"/>
  <c r="L106" i="27"/>
  <c r="G106" i="27"/>
  <c r="H53" i="27"/>
  <c r="O89" i="27" l="1"/>
  <c r="G114" i="27"/>
  <c r="M115" i="27"/>
  <c r="H114" i="27"/>
  <c r="N114" i="27" s="1"/>
  <c r="N115" i="27"/>
  <c r="O48" i="27"/>
  <c r="O34" i="27"/>
  <c r="M107" i="27"/>
  <c r="O66" i="27"/>
  <c r="O104" i="27"/>
  <c r="K106" i="27"/>
  <c r="N106" i="27" s="1"/>
  <c r="N107" i="27"/>
  <c r="I106" i="27"/>
  <c r="M106" i="27" s="1"/>
  <c r="O102" i="27"/>
  <c r="O103" i="27"/>
  <c r="O100" i="27"/>
  <c r="O95" i="27"/>
  <c r="O116" i="27"/>
  <c r="O117" i="27"/>
  <c r="O97" i="27"/>
  <c r="O94" i="27"/>
  <c r="O35" i="27"/>
  <c r="O51" i="27"/>
  <c r="O49" i="27"/>
  <c r="I114" i="27"/>
  <c r="O33" i="27"/>
  <c r="O32" i="27"/>
  <c r="O115" i="27" l="1"/>
  <c r="M114" i="27"/>
  <c r="O114" i="27" s="1"/>
  <c r="O107" i="27"/>
  <c r="O106" i="27"/>
  <c r="F68" i="32" l="1"/>
  <c r="F67" i="32" s="1"/>
  <c r="E67" i="32"/>
  <c r="D67" i="32"/>
  <c r="D71" i="32" s="1"/>
  <c r="F63" i="32"/>
  <c r="F62" i="32" s="1"/>
  <c r="E62" i="32"/>
  <c r="E70" i="32" s="1"/>
  <c r="D62" i="32"/>
  <c r="D70" i="32" s="1"/>
  <c r="D61" i="32"/>
  <c r="D60" i="32" s="1"/>
  <c r="E51" i="32"/>
  <c r="E55" i="32" s="1"/>
  <c r="D51" i="32"/>
  <c r="D55" i="32" s="1"/>
  <c r="F46" i="32"/>
  <c r="F45" i="32" s="1"/>
  <c r="E45" i="32"/>
  <c r="D45" i="32"/>
  <c r="F40" i="32"/>
  <c r="E39" i="32"/>
  <c r="D39" i="32"/>
  <c r="F38" i="32"/>
  <c r="D37" i="32"/>
  <c r="F36" i="32"/>
  <c r="E35" i="32"/>
  <c r="D35" i="32"/>
  <c r="E33" i="32"/>
  <c r="D33" i="32"/>
  <c r="E29" i="32"/>
  <c r="D29" i="32"/>
  <c r="F28" i="32"/>
  <c r="E27" i="32"/>
  <c r="D27" i="32"/>
  <c r="F24" i="32"/>
  <c r="F23" i="32" s="1"/>
  <c r="E23" i="32"/>
  <c r="D23" i="32"/>
  <c r="F22" i="32"/>
  <c r="E21" i="32"/>
  <c r="D21" i="32"/>
  <c r="F18" i="32"/>
  <c r="E17" i="32"/>
  <c r="D17" i="32"/>
  <c r="E54" i="32" l="1"/>
  <c r="E71" i="32"/>
  <c r="E69" i="32" s="1"/>
  <c r="D54" i="32"/>
  <c r="D53" i="32" s="1"/>
  <c r="D69" i="32"/>
  <c r="F55" i="32"/>
  <c r="F51" i="32"/>
  <c r="F27" i="32"/>
  <c r="F21" i="32"/>
  <c r="F29" i="32"/>
  <c r="F37" i="32"/>
  <c r="F17" i="32"/>
  <c r="F35" i="32"/>
  <c r="F39" i="32"/>
  <c r="F70" i="32"/>
  <c r="F71" i="32"/>
  <c r="E53" i="32" l="1"/>
  <c r="F53" i="32" s="1"/>
  <c r="F54" i="32"/>
  <c r="F69" i="32"/>
  <c r="I363" i="19" l="1"/>
  <c r="I184" i="19"/>
  <c r="L350" i="19"/>
  <c r="H41" i="19"/>
  <c r="L42" i="19"/>
  <c r="K42" i="19"/>
  <c r="J42" i="19"/>
  <c r="I44" i="19"/>
  <c r="H44" i="19"/>
  <c r="L45" i="19"/>
  <c r="K45" i="19"/>
  <c r="M45" i="19" l="1"/>
  <c r="M42" i="19"/>
  <c r="D89" i="29"/>
  <c r="H88" i="29"/>
  <c r="E88" i="29" s="1"/>
  <c r="D88" i="29"/>
  <c r="C88" i="29"/>
  <c r="H85" i="29"/>
  <c r="E85" i="29" s="1"/>
  <c r="D85" i="29"/>
  <c r="C85" i="29"/>
  <c r="H84" i="29"/>
  <c r="E84" i="29" s="1"/>
  <c r="D84" i="29"/>
  <c r="C84" i="29"/>
  <c r="H83" i="29"/>
  <c r="E83" i="29" s="1"/>
  <c r="D83" i="29"/>
  <c r="C83" i="29"/>
  <c r="H82" i="29"/>
  <c r="E82" i="29" s="1"/>
  <c r="D82" i="29"/>
  <c r="C82" i="29"/>
  <c r="E80" i="29"/>
  <c r="D80" i="29"/>
  <c r="C80" i="29"/>
  <c r="K79" i="29"/>
  <c r="E79" i="29" s="1"/>
  <c r="D79" i="29"/>
  <c r="C79" i="29"/>
  <c r="H78" i="29"/>
  <c r="D78" i="29"/>
  <c r="C78" i="29"/>
  <c r="J76" i="29"/>
  <c r="J68" i="29" s="1"/>
  <c r="I76" i="29"/>
  <c r="I68" i="29" s="1"/>
  <c r="I67" i="29" s="1"/>
  <c r="H75" i="29"/>
  <c r="H74" i="29" s="1"/>
  <c r="D75" i="29"/>
  <c r="C75" i="29"/>
  <c r="G74" i="29"/>
  <c r="D74" i="29" s="1"/>
  <c r="F74" i="29"/>
  <c r="C74" i="29" s="1"/>
  <c r="H73" i="29"/>
  <c r="D73" i="29"/>
  <c r="C73" i="29"/>
  <c r="H70" i="29"/>
  <c r="D70" i="29"/>
  <c r="C70" i="29"/>
  <c r="G69" i="29"/>
  <c r="D69" i="29" s="1"/>
  <c r="F69" i="29"/>
  <c r="C69" i="29" s="1"/>
  <c r="E65" i="29"/>
  <c r="D65" i="29"/>
  <c r="C65" i="29"/>
  <c r="C64" i="29" s="1"/>
  <c r="K64" i="29"/>
  <c r="E64" i="29" s="1"/>
  <c r="J64" i="29"/>
  <c r="D64" i="29" s="1"/>
  <c r="I64" i="29"/>
  <c r="D63" i="29"/>
  <c r="K62" i="29"/>
  <c r="D62" i="29"/>
  <c r="C62" i="29"/>
  <c r="J61" i="29"/>
  <c r="I61" i="29"/>
  <c r="C61" i="29" s="1"/>
  <c r="K60" i="29"/>
  <c r="D60" i="29"/>
  <c r="C60" i="29"/>
  <c r="D59" i="29"/>
  <c r="E56" i="29"/>
  <c r="D56" i="29"/>
  <c r="C56" i="29"/>
  <c r="I55" i="29"/>
  <c r="F55" i="29"/>
  <c r="H54" i="29"/>
  <c r="D54" i="29"/>
  <c r="C54" i="29"/>
  <c r="H53" i="29"/>
  <c r="D53" i="29"/>
  <c r="C53" i="29"/>
  <c r="D52" i="29"/>
  <c r="C52" i="29"/>
  <c r="H51" i="29"/>
  <c r="D51" i="29"/>
  <c r="C51" i="29"/>
  <c r="H50" i="29"/>
  <c r="D50" i="29"/>
  <c r="C50" i="29"/>
  <c r="H49" i="29"/>
  <c r="D49" i="29"/>
  <c r="C49" i="29"/>
  <c r="G48" i="29"/>
  <c r="F48" i="29"/>
  <c r="C48" i="29" s="1"/>
  <c r="H47" i="29"/>
  <c r="D47" i="29"/>
  <c r="C47" i="29"/>
  <c r="D46" i="29"/>
  <c r="C46" i="29"/>
  <c r="H45" i="29"/>
  <c r="D45" i="29"/>
  <c r="C45" i="29"/>
  <c r="E44" i="29"/>
  <c r="D44" i="29"/>
  <c r="C44" i="29"/>
  <c r="G43" i="29"/>
  <c r="F43" i="29"/>
  <c r="C43" i="29" s="1"/>
  <c r="K41" i="29"/>
  <c r="D41" i="29"/>
  <c r="C41" i="29"/>
  <c r="J40" i="29"/>
  <c r="J15" i="29" s="1"/>
  <c r="I40" i="29"/>
  <c r="C40" i="29" s="1"/>
  <c r="H39" i="29"/>
  <c r="D39" i="29"/>
  <c r="C39" i="29"/>
  <c r="H38" i="29"/>
  <c r="D38" i="29"/>
  <c r="C38" i="29"/>
  <c r="D37" i="29"/>
  <c r="C37" i="29"/>
  <c r="H36" i="29"/>
  <c r="D36" i="29"/>
  <c r="C36" i="29"/>
  <c r="H35" i="29"/>
  <c r="D35" i="29"/>
  <c r="C35" i="29"/>
  <c r="H34" i="29"/>
  <c r="D34" i="29"/>
  <c r="C34" i="29"/>
  <c r="H33" i="29"/>
  <c r="D33" i="29"/>
  <c r="C33" i="29"/>
  <c r="G32" i="29"/>
  <c r="D32" i="29" s="1"/>
  <c r="F32" i="29"/>
  <c r="C32" i="29" s="1"/>
  <c r="H31" i="29"/>
  <c r="D31" i="29"/>
  <c r="C31" i="29"/>
  <c r="H30" i="29"/>
  <c r="D30" i="29"/>
  <c r="C30" i="29"/>
  <c r="H29" i="29"/>
  <c r="D29" i="29"/>
  <c r="C29" i="29"/>
  <c r="H28" i="29"/>
  <c r="D28" i="29"/>
  <c r="C28" i="29"/>
  <c r="G27" i="29"/>
  <c r="F27" i="29"/>
  <c r="H24" i="29"/>
  <c r="D24" i="29"/>
  <c r="C24" i="29"/>
  <c r="H23" i="29"/>
  <c r="D23" i="29"/>
  <c r="C23" i="29"/>
  <c r="H22" i="29"/>
  <c r="D22" i="29"/>
  <c r="C22" i="29"/>
  <c r="G21" i="29"/>
  <c r="D21" i="29" s="1"/>
  <c r="F21" i="29"/>
  <c r="C21" i="29" s="1"/>
  <c r="D20" i="29"/>
  <c r="G19" i="29"/>
  <c r="D19" i="29" s="1"/>
  <c r="E18" i="29"/>
  <c r="D18" i="29"/>
  <c r="C18" i="29"/>
  <c r="H17" i="29"/>
  <c r="D17" i="29"/>
  <c r="C17" i="29"/>
  <c r="G16" i="29"/>
  <c r="F16" i="29"/>
  <c r="C16" i="29" s="1"/>
  <c r="C55" i="29" l="1"/>
  <c r="C76" i="29"/>
  <c r="J67" i="29"/>
  <c r="D76" i="29"/>
  <c r="E24" i="29"/>
  <c r="E70" i="29"/>
  <c r="E74" i="29"/>
  <c r="K76" i="29"/>
  <c r="E35" i="29"/>
  <c r="H43" i="29"/>
  <c r="G42" i="29"/>
  <c r="E69" i="29"/>
  <c r="E78" i="29"/>
  <c r="I15" i="29"/>
  <c r="K15" i="29" s="1"/>
  <c r="E22" i="29"/>
  <c r="E23" i="29"/>
  <c r="E36" i="29"/>
  <c r="D43" i="29"/>
  <c r="E43" i="29" s="1"/>
  <c r="E47" i="29"/>
  <c r="K55" i="29"/>
  <c r="E60" i="29"/>
  <c r="E34" i="29"/>
  <c r="E53" i="29"/>
  <c r="E31" i="29"/>
  <c r="E32" i="29"/>
  <c r="E17" i="29"/>
  <c r="G26" i="29"/>
  <c r="E41" i="29"/>
  <c r="E33" i="29"/>
  <c r="E54" i="29"/>
  <c r="H21" i="29"/>
  <c r="E21" i="29" s="1"/>
  <c r="F42" i="29"/>
  <c r="H48" i="29"/>
  <c r="E51" i="29"/>
  <c r="E73" i="29"/>
  <c r="D40" i="29"/>
  <c r="E40" i="29" s="1"/>
  <c r="H69" i="29"/>
  <c r="J42" i="29"/>
  <c r="J66" i="29" s="1"/>
  <c r="E62" i="29"/>
  <c r="G68" i="29"/>
  <c r="E75" i="29"/>
  <c r="F26" i="29"/>
  <c r="C27" i="29"/>
  <c r="H16" i="29"/>
  <c r="H27" i="29"/>
  <c r="E30" i="29"/>
  <c r="E39" i="29"/>
  <c r="E50" i="29"/>
  <c r="F68" i="29"/>
  <c r="C68" i="29" s="1"/>
  <c r="D16" i="29"/>
  <c r="E16" i="29" s="1"/>
  <c r="E29" i="29"/>
  <c r="H32" i="29"/>
  <c r="E38" i="29"/>
  <c r="E45" i="29"/>
  <c r="E49" i="29"/>
  <c r="H55" i="29"/>
  <c r="K61" i="29"/>
  <c r="E28" i="29"/>
  <c r="K40" i="29"/>
  <c r="I42" i="29"/>
  <c r="I66" i="29" s="1"/>
  <c r="H76" i="29"/>
  <c r="H71" i="29"/>
  <c r="D27" i="29"/>
  <c r="D48" i="29"/>
  <c r="E48" i="29" s="1"/>
  <c r="D61" i="29"/>
  <c r="E61" i="29" s="1"/>
  <c r="D42" i="29" l="1"/>
  <c r="C42" i="29"/>
  <c r="G67" i="29"/>
  <c r="D67" i="29" s="1"/>
  <c r="D68" i="29"/>
  <c r="E71" i="29"/>
  <c r="I91" i="29"/>
  <c r="E55" i="29"/>
  <c r="H26" i="29"/>
  <c r="E76" i="29"/>
  <c r="H42" i="29"/>
  <c r="D26" i="29"/>
  <c r="G25" i="29"/>
  <c r="J91" i="29"/>
  <c r="F67" i="29"/>
  <c r="C67" i="29" s="1"/>
  <c r="H68" i="29"/>
  <c r="C26" i="29"/>
  <c r="F25" i="29"/>
  <c r="E27" i="29"/>
  <c r="K42" i="29"/>
  <c r="K91" i="29" l="1"/>
  <c r="E68" i="29"/>
  <c r="E26" i="29"/>
  <c r="K66" i="29"/>
  <c r="E42" i="29"/>
  <c r="G15" i="29"/>
  <c r="D25" i="29"/>
  <c r="E67" i="29"/>
  <c r="H67" i="29"/>
  <c r="C25" i="29"/>
  <c r="F15" i="29"/>
  <c r="H25" i="29"/>
  <c r="E25" i="29" l="1"/>
  <c r="G66" i="29"/>
  <c r="D15" i="29"/>
  <c r="C15" i="29"/>
  <c r="F66" i="29"/>
  <c r="C66" i="29" s="1"/>
  <c r="H15" i="29"/>
  <c r="F91" i="29" l="1"/>
  <c r="E15" i="29"/>
  <c r="G91" i="29"/>
  <c r="D91" i="29" s="1"/>
  <c r="D66" i="29"/>
  <c r="H66" i="29"/>
  <c r="E66" i="29" l="1"/>
  <c r="C91" i="29"/>
  <c r="E91" i="29" s="1"/>
  <c r="H91" i="29"/>
  <c r="F20" i="23" l="1"/>
  <c r="F27" i="23" s="1"/>
  <c r="E20" i="23"/>
  <c r="E27" i="23" l="1"/>
  <c r="E18" i="23"/>
  <c r="F18" i="23"/>
  <c r="C19" i="23"/>
  <c r="L330" i="19"/>
  <c r="I329" i="19"/>
  <c r="L329" i="19" s="1"/>
  <c r="H329" i="19"/>
  <c r="K329" i="19" s="1"/>
  <c r="K330" i="19"/>
  <c r="J328" i="19"/>
  <c r="L299" i="19" l="1"/>
  <c r="K299" i="19"/>
  <c r="J299" i="19"/>
  <c r="I298" i="19"/>
  <c r="L298" i="19" s="1"/>
  <c r="H298" i="19"/>
  <c r="L296" i="19"/>
  <c r="K296" i="19"/>
  <c r="J296" i="19"/>
  <c r="I295" i="19"/>
  <c r="L295" i="19" s="1"/>
  <c r="H295" i="19"/>
  <c r="L293" i="19"/>
  <c r="K293" i="19"/>
  <c r="J293" i="19"/>
  <c r="I292" i="19"/>
  <c r="L292" i="19" s="1"/>
  <c r="H292" i="19"/>
  <c r="L281" i="19"/>
  <c r="K281" i="19"/>
  <c r="J281" i="19"/>
  <c r="I280" i="19"/>
  <c r="L280" i="19" s="1"/>
  <c r="H280" i="19"/>
  <c r="L275" i="19"/>
  <c r="K275" i="19"/>
  <c r="J275" i="19"/>
  <c r="I274" i="19"/>
  <c r="L274" i="19" s="1"/>
  <c r="H274" i="19"/>
  <c r="J272" i="19"/>
  <c r="I271" i="19"/>
  <c r="H271" i="19"/>
  <c r="K271" i="19" s="1"/>
  <c r="L272" i="19"/>
  <c r="K272" i="19"/>
  <c r="J121" i="19"/>
  <c r="I120" i="19"/>
  <c r="H120" i="19"/>
  <c r="L121" i="19"/>
  <c r="K121" i="19"/>
  <c r="H84" i="19"/>
  <c r="L89" i="19"/>
  <c r="L88" i="19"/>
  <c r="K88" i="19"/>
  <c r="H38" i="19"/>
  <c r="H36" i="19" s="1"/>
  <c r="I38" i="19"/>
  <c r="L38" i="19" s="1"/>
  <c r="L39" i="19"/>
  <c r="K39" i="19"/>
  <c r="J39" i="19"/>
  <c r="L63" i="19"/>
  <c r="K63" i="19"/>
  <c r="J63" i="19"/>
  <c r="I62" i="19"/>
  <c r="I60" i="19" s="1"/>
  <c r="H62" i="19"/>
  <c r="F344" i="19"/>
  <c r="L230" i="19"/>
  <c r="K230" i="19"/>
  <c r="G230" i="19"/>
  <c r="F339" i="19"/>
  <c r="E339" i="19"/>
  <c r="K339" i="19" s="1"/>
  <c r="F333" i="19"/>
  <c r="L333" i="19" s="1"/>
  <c r="E333" i="19"/>
  <c r="K333" i="19" s="1"/>
  <c r="L332" i="19"/>
  <c r="L334" i="19"/>
  <c r="K332" i="19"/>
  <c r="K334" i="19"/>
  <c r="G325" i="19"/>
  <c r="G326" i="19"/>
  <c r="G332" i="19"/>
  <c r="G334" i="19"/>
  <c r="F331" i="19"/>
  <c r="E331" i="19"/>
  <c r="K331" i="19" s="1"/>
  <c r="F308" i="19"/>
  <c r="L308" i="19" s="1"/>
  <c r="E308" i="19"/>
  <c r="K308" i="19" s="1"/>
  <c r="L309" i="19"/>
  <c r="K309" i="19"/>
  <c r="G309" i="19"/>
  <c r="F255" i="19"/>
  <c r="L255" i="19" s="1"/>
  <c r="E255" i="19"/>
  <c r="L256" i="19"/>
  <c r="K256" i="19"/>
  <c r="G256" i="19"/>
  <c r="F218" i="19"/>
  <c r="L218" i="19" s="1"/>
  <c r="E218" i="19"/>
  <c r="G219" i="19"/>
  <c r="L219" i="19"/>
  <c r="K219" i="19"/>
  <c r="F182" i="19"/>
  <c r="F103" i="19"/>
  <c r="F125" i="19"/>
  <c r="L125" i="19" s="1"/>
  <c r="E125" i="19"/>
  <c r="L127" i="19"/>
  <c r="L128" i="19"/>
  <c r="K127" i="19"/>
  <c r="K128" i="19"/>
  <c r="G127" i="19"/>
  <c r="G128" i="19"/>
  <c r="F118" i="19"/>
  <c r="E118" i="19"/>
  <c r="K118" i="19" s="1"/>
  <c r="L119" i="19"/>
  <c r="L126" i="19"/>
  <c r="K119" i="19"/>
  <c r="K126" i="19"/>
  <c r="G119" i="19"/>
  <c r="G126" i="19"/>
  <c r="F116" i="19"/>
  <c r="F115" i="19" s="1"/>
  <c r="E116" i="19"/>
  <c r="E115" i="19" s="1"/>
  <c r="L117" i="19"/>
  <c r="K117" i="19"/>
  <c r="G117" i="19"/>
  <c r="F18" i="19"/>
  <c r="F60" i="19"/>
  <c r="L61" i="19"/>
  <c r="K61" i="19"/>
  <c r="G61" i="19"/>
  <c r="E60" i="19"/>
  <c r="F338" i="19" l="1"/>
  <c r="L339" i="19"/>
  <c r="L120" i="19"/>
  <c r="K120" i="19"/>
  <c r="K115" i="19"/>
  <c r="K125" i="19"/>
  <c r="M125" i="19" s="1"/>
  <c r="L118" i="19"/>
  <c r="M118" i="19" s="1"/>
  <c r="J292" i="19"/>
  <c r="K116" i="19"/>
  <c r="L122" i="19"/>
  <c r="I36" i="19"/>
  <c r="J36" i="19" s="1"/>
  <c r="J62" i="19"/>
  <c r="J274" i="19"/>
  <c r="H60" i="19"/>
  <c r="J60" i="19" s="1"/>
  <c r="J280" i="19"/>
  <c r="K38" i="19"/>
  <c r="M38" i="19" s="1"/>
  <c r="H270" i="19"/>
  <c r="J271" i="19"/>
  <c r="I273" i="19"/>
  <c r="L273" i="19" s="1"/>
  <c r="G218" i="19"/>
  <c r="L271" i="19"/>
  <c r="M271" i="19" s="1"/>
  <c r="I291" i="19"/>
  <c r="L291" i="19" s="1"/>
  <c r="M293" i="19"/>
  <c r="M299" i="19"/>
  <c r="M332" i="19"/>
  <c r="I297" i="19"/>
  <c r="L297" i="19" s="1"/>
  <c r="J298" i="19"/>
  <c r="K298" i="19"/>
  <c r="M298" i="19" s="1"/>
  <c r="H297" i="19"/>
  <c r="M296" i="19"/>
  <c r="I294" i="19"/>
  <c r="L294" i="19" s="1"/>
  <c r="J295" i="19"/>
  <c r="K295" i="19"/>
  <c r="M295" i="19" s="1"/>
  <c r="H294" i="19"/>
  <c r="M281" i="19"/>
  <c r="K292" i="19"/>
  <c r="M292" i="19" s="1"/>
  <c r="H291" i="19"/>
  <c r="M275" i="19"/>
  <c r="I279" i="19"/>
  <c r="L279" i="19" s="1"/>
  <c r="K280" i="19"/>
  <c r="M280" i="19" s="1"/>
  <c r="H279" i="19"/>
  <c r="K274" i="19"/>
  <c r="M274" i="19" s="1"/>
  <c r="H273" i="19"/>
  <c r="M272" i="19"/>
  <c r="I270" i="19"/>
  <c r="L270" i="19" s="1"/>
  <c r="J122" i="19"/>
  <c r="E217" i="19"/>
  <c r="K217" i="19" s="1"/>
  <c r="M334" i="19"/>
  <c r="K122" i="19"/>
  <c r="F217" i="19"/>
  <c r="L217" i="19" s="1"/>
  <c r="G331" i="19"/>
  <c r="J120" i="19"/>
  <c r="M121" i="19"/>
  <c r="K218" i="19"/>
  <c r="M218" i="19" s="1"/>
  <c r="G116" i="19"/>
  <c r="G125" i="19"/>
  <c r="G255" i="19"/>
  <c r="M230" i="19"/>
  <c r="M119" i="19"/>
  <c r="G115" i="19"/>
  <c r="L115" i="19"/>
  <c r="M115" i="19" s="1"/>
  <c r="L331" i="19"/>
  <c r="M331" i="19" s="1"/>
  <c r="L116" i="19"/>
  <c r="K255" i="19"/>
  <c r="M255" i="19" s="1"/>
  <c r="J38" i="19"/>
  <c r="G308" i="19"/>
  <c r="K62" i="19"/>
  <c r="I84" i="19"/>
  <c r="L62" i="19"/>
  <c r="M39" i="19"/>
  <c r="K89" i="19"/>
  <c r="M63" i="19"/>
  <c r="L60" i="19"/>
  <c r="M333" i="19"/>
  <c r="G333" i="19"/>
  <c r="M256" i="19"/>
  <c r="M308" i="19"/>
  <c r="M309" i="19"/>
  <c r="M219" i="19"/>
  <c r="M127" i="19"/>
  <c r="M128" i="19"/>
  <c r="M126" i="19"/>
  <c r="G118" i="19"/>
  <c r="M117" i="19"/>
  <c r="M61" i="19"/>
  <c r="G60" i="19"/>
  <c r="M120" i="19" l="1"/>
  <c r="K270" i="19"/>
  <c r="M270" i="19" s="1"/>
  <c r="M116" i="19"/>
  <c r="M122" i="19"/>
  <c r="K60" i="19"/>
  <c r="M60" i="19" s="1"/>
  <c r="J270" i="19"/>
  <c r="G217" i="19"/>
  <c r="J297" i="19"/>
  <c r="K297" i="19"/>
  <c r="M297" i="19" s="1"/>
  <c r="J294" i="19"/>
  <c r="K294" i="19"/>
  <c r="M294" i="19" s="1"/>
  <c r="K291" i="19"/>
  <c r="M291" i="19" s="1"/>
  <c r="J291" i="19"/>
  <c r="K279" i="19"/>
  <c r="M279" i="19" s="1"/>
  <c r="J279" i="19"/>
  <c r="J273" i="19"/>
  <c r="K273" i="19"/>
  <c r="M273" i="19" s="1"/>
  <c r="M217" i="19"/>
  <c r="M62" i="19"/>
  <c r="J28" i="23" l="1"/>
  <c r="I28" i="23"/>
  <c r="I25" i="23" s="1"/>
  <c r="J25" i="23" s="1"/>
  <c r="F28" i="23"/>
  <c r="F26" i="23"/>
  <c r="D26" i="23" s="1"/>
  <c r="D27" i="23"/>
  <c r="D19" i="23"/>
  <c r="D20" i="23"/>
  <c r="D21" i="23"/>
  <c r="I18" i="23"/>
  <c r="I17" i="23" s="1"/>
  <c r="I22" i="23" s="1"/>
  <c r="J18" i="23"/>
  <c r="J17" i="23" s="1"/>
  <c r="C27" i="23"/>
  <c r="C20" i="23"/>
  <c r="D28" i="23" l="1"/>
  <c r="I24" i="23"/>
  <c r="I29" i="23"/>
  <c r="D18" i="23"/>
  <c r="J22" i="23"/>
  <c r="J29" i="23" s="1"/>
  <c r="J24" i="23"/>
  <c r="F25" i="23"/>
  <c r="D25" i="23" s="1"/>
  <c r="F17" i="23"/>
  <c r="F22" i="23" l="1"/>
  <c r="F24" i="23"/>
  <c r="D24" i="23" s="1"/>
  <c r="D17" i="23"/>
  <c r="F29" i="23" l="1"/>
  <c r="D29" i="23" s="1"/>
  <c r="D22" i="23"/>
  <c r="L21" i="28" l="1"/>
  <c r="H21" i="28"/>
  <c r="K20" i="28"/>
  <c r="K19" i="28" s="1"/>
  <c r="K18" i="28" s="1"/>
  <c r="K22" i="28" s="1"/>
  <c r="J20" i="28"/>
  <c r="J19" i="28" s="1"/>
  <c r="J18" i="28" s="1"/>
  <c r="J22" i="28" s="1"/>
  <c r="I20" i="28"/>
  <c r="L20" i="28" s="1"/>
  <c r="E20" i="28"/>
  <c r="H20" i="28" s="1"/>
  <c r="G19" i="28"/>
  <c r="G18" i="28" s="1"/>
  <c r="G22" i="28" s="1"/>
  <c r="F19" i="28"/>
  <c r="F18" i="28" s="1"/>
  <c r="F22" i="28" s="1"/>
  <c r="E19" i="28" l="1"/>
  <c r="I19" i="28"/>
  <c r="N112" i="27"/>
  <c r="M112" i="27"/>
  <c r="L112" i="27"/>
  <c r="L111" i="27" s="1"/>
  <c r="J112" i="27"/>
  <c r="K110" i="27"/>
  <c r="L110" i="27" s="1"/>
  <c r="I110" i="27"/>
  <c r="H110" i="27"/>
  <c r="N101" i="27"/>
  <c r="M101" i="27"/>
  <c r="N99" i="27"/>
  <c r="M99" i="27"/>
  <c r="N96" i="27"/>
  <c r="M96" i="27"/>
  <c r="K92" i="27"/>
  <c r="N92" i="27" s="1"/>
  <c r="M91" i="27"/>
  <c r="N88" i="27"/>
  <c r="M88" i="27"/>
  <c r="N87" i="27"/>
  <c r="M87" i="27"/>
  <c r="L84" i="27"/>
  <c r="L79" i="27" s="1"/>
  <c r="N82" i="27"/>
  <c r="M82" i="27"/>
  <c r="N81" i="27"/>
  <c r="M81" i="27"/>
  <c r="N80" i="27"/>
  <c r="M80" i="27"/>
  <c r="K78" i="27"/>
  <c r="J78" i="27"/>
  <c r="I78" i="27"/>
  <c r="G78" i="27"/>
  <c r="N77" i="27"/>
  <c r="M77" i="27"/>
  <c r="N76" i="27"/>
  <c r="M76" i="27"/>
  <c r="N75" i="27"/>
  <c r="M75" i="27"/>
  <c r="N73" i="27"/>
  <c r="M73" i="27"/>
  <c r="N72" i="27"/>
  <c r="M72" i="27"/>
  <c r="N71" i="27"/>
  <c r="M71" i="27"/>
  <c r="N70" i="27"/>
  <c r="M70" i="27"/>
  <c r="N69" i="27"/>
  <c r="M69" i="27"/>
  <c r="N68" i="27"/>
  <c r="M68" i="27"/>
  <c r="N67" i="27"/>
  <c r="M67" i="27"/>
  <c r="N65" i="27"/>
  <c r="M65" i="27"/>
  <c r="L64" i="27"/>
  <c r="L63" i="27" s="1"/>
  <c r="K64" i="27"/>
  <c r="J64" i="27"/>
  <c r="J63" i="27" s="1"/>
  <c r="I64" i="27"/>
  <c r="I63" i="27" s="1"/>
  <c r="H64" i="27"/>
  <c r="H63" i="27" s="1"/>
  <c r="G64" i="27"/>
  <c r="G63" i="27" s="1"/>
  <c r="N62" i="27"/>
  <c r="M62" i="27"/>
  <c r="L61" i="27"/>
  <c r="L60" i="27" s="1"/>
  <c r="K61" i="27"/>
  <c r="J61" i="27"/>
  <c r="J60" i="27" s="1"/>
  <c r="I60" i="27"/>
  <c r="H60" i="27"/>
  <c r="G61" i="27"/>
  <c r="G60" i="27" s="1"/>
  <c r="N59" i="27"/>
  <c r="M59" i="27"/>
  <c r="N58" i="27"/>
  <c r="M58" i="27"/>
  <c r="N57" i="27"/>
  <c r="M57" i="27"/>
  <c r="N55" i="27"/>
  <c r="M55" i="27"/>
  <c r="N54" i="27"/>
  <c r="M54" i="27"/>
  <c r="L53" i="27"/>
  <c r="L52" i="27" s="1"/>
  <c r="K53" i="27"/>
  <c r="K52" i="27" s="1"/>
  <c r="J53" i="27"/>
  <c r="J52" i="27" s="1"/>
  <c r="I53" i="27"/>
  <c r="I52" i="27" s="1"/>
  <c r="G53" i="27"/>
  <c r="G52" i="27" s="1"/>
  <c r="N45" i="27"/>
  <c r="M45" i="27"/>
  <c r="N44" i="27"/>
  <c r="M44" i="27"/>
  <c r="N43" i="27"/>
  <c r="M43" i="27"/>
  <c r="N42" i="27"/>
  <c r="M42" i="27"/>
  <c r="N41" i="27"/>
  <c r="M41" i="27"/>
  <c r="N40" i="27"/>
  <c r="M40" i="27"/>
  <c r="M39" i="27"/>
  <c r="L37" i="27"/>
  <c r="K37" i="27"/>
  <c r="J37" i="27"/>
  <c r="I37" i="27"/>
  <c r="H37" i="27"/>
  <c r="G37" i="27"/>
  <c r="N31" i="27"/>
  <c r="M31" i="27"/>
  <c r="N29" i="27"/>
  <c r="M29" i="27"/>
  <c r="N28" i="27"/>
  <c r="M28" i="27"/>
  <c r="N26" i="27"/>
  <c r="M26" i="27"/>
  <c r="N25" i="27"/>
  <c r="M25" i="27"/>
  <c r="N24" i="27"/>
  <c r="M24" i="27"/>
  <c r="L24" i="27"/>
  <c r="L19" i="27" s="1"/>
  <c r="N23" i="27"/>
  <c r="M23" i="27"/>
  <c r="N22" i="27"/>
  <c r="M22" i="27"/>
  <c r="N21" i="27"/>
  <c r="M21" i="27"/>
  <c r="N20" i="27"/>
  <c r="M20" i="27"/>
  <c r="K18" i="27"/>
  <c r="I18" i="27"/>
  <c r="H18" i="27"/>
  <c r="G18" i="27"/>
  <c r="M38" i="27" l="1"/>
  <c r="N38" i="27"/>
  <c r="N37" i="27"/>
  <c r="L78" i="27"/>
  <c r="J111" i="27"/>
  <c r="J110" i="27" s="1"/>
  <c r="N19" i="27"/>
  <c r="K60" i="27"/>
  <c r="N61" i="27"/>
  <c r="N60" i="27" s="1"/>
  <c r="M19" i="27"/>
  <c r="M18" i="27"/>
  <c r="M37" i="27"/>
  <c r="J92" i="27"/>
  <c r="O42" i="27"/>
  <c r="J18" i="27"/>
  <c r="O28" i="27"/>
  <c r="O44" i="27"/>
  <c r="O39" i="27"/>
  <c r="O41" i="27"/>
  <c r="O45" i="27"/>
  <c r="O101" i="27"/>
  <c r="M111" i="27"/>
  <c r="O22" i="27"/>
  <c r="O26" i="27"/>
  <c r="O73" i="27"/>
  <c r="O77" i="27"/>
  <c r="N53" i="27"/>
  <c r="N52" i="27" s="1"/>
  <c r="O55" i="27"/>
  <c r="O62" i="27"/>
  <c r="O67" i="27"/>
  <c r="O69" i="27"/>
  <c r="L18" i="27"/>
  <c r="O99" i="27"/>
  <c r="H52" i="27"/>
  <c r="N64" i="27"/>
  <c r="N63" i="27" s="1"/>
  <c r="O81" i="27"/>
  <c r="O112" i="27"/>
  <c r="O23" i="27"/>
  <c r="O24" i="27"/>
  <c r="O75" i="27"/>
  <c r="N110" i="27"/>
  <c r="O43" i="27"/>
  <c r="O58" i="27"/>
  <c r="O82" i="27"/>
  <c r="O91" i="27"/>
  <c r="L92" i="27"/>
  <c r="E18" i="28"/>
  <c r="H19" i="28"/>
  <c r="I18" i="28"/>
  <c r="L19" i="28"/>
  <c r="O54" i="27"/>
  <c r="O70" i="27"/>
  <c r="O72" i="27"/>
  <c r="N78" i="27"/>
  <c r="O88" i="27"/>
  <c r="O20" i="27"/>
  <c r="O29" i="27"/>
  <c r="O25" i="27"/>
  <c r="O21" i="27"/>
  <c r="O31" i="27"/>
  <c r="O40" i="27"/>
  <c r="O57" i="27"/>
  <c r="O59" i="27"/>
  <c r="M61" i="27"/>
  <c r="O71" i="27"/>
  <c r="O74" i="27"/>
  <c r="O76" i="27"/>
  <c r="H78" i="27"/>
  <c r="O80" i="27"/>
  <c r="O84" i="27"/>
  <c r="O87" i="27"/>
  <c r="O96" i="27"/>
  <c r="M60" i="27"/>
  <c r="O65" i="27"/>
  <c r="O68" i="27"/>
  <c r="G110" i="27"/>
  <c r="M110" i="27" s="1"/>
  <c r="N18" i="27"/>
  <c r="I92" i="27"/>
  <c r="M92" i="27" s="1"/>
  <c r="O92" i="27" s="1"/>
  <c r="O93" i="27"/>
  <c r="M53" i="27"/>
  <c r="M52" i="27" s="1"/>
  <c r="M64" i="27"/>
  <c r="M63" i="27" s="1"/>
  <c r="N111" i="27"/>
  <c r="M78" i="27"/>
  <c r="K63" i="27"/>
  <c r="H363" i="19"/>
  <c r="I357" i="19"/>
  <c r="I358" i="19" s="1"/>
  <c r="H357" i="19"/>
  <c r="H358" i="19" s="1"/>
  <c r="I354" i="19"/>
  <c r="I355" i="19" s="1"/>
  <c r="H354" i="19"/>
  <c r="H355" i="19" s="1"/>
  <c r="F358" i="19"/>
  <c r="E358" i="19"/>
  <c r="F355" i="19"/>
  <c r="E355" i="19"/>
  <c r="L340" i="19"/>
  <c r="L341" i="19"/>
  <c r="L345" i="19"/>
  <c r="K340" i="19"/>
  <c r="K341" i="19"/>
  <c r="K345" i="19"/>
  <c r="F337" i="19"/>
  <c r="E344" i="19"/>
  <c r="E338" i="19" s="1"/>
  <c r="E337" i="19" s="1"/>
  <c r="G345" i="19"/>
  <c r="G340" i="19"/>
  <c r="G341" i="19"/>
  <c r="L326" i="19"/>
  <c r="L328" i="19"/>
  <c r="L325" i="19"/>
  <c r="K326" i="19"/>
  <c r="K328" i="19"/>
  <c r="K325" i="19"/>
  <c r="I327" i="19"/>
  <c r="H327" i="19"/>
  <c r="K327" i="19" s="1"/>
  <c r="F324" i="19"/>
  <c r="F323" i="19" s="1"/>
  <c r="E324" i="19"/>
  <c r="E323" i="19" s="1"/>
  <c r="L316" i="19"/>
  <c r="L317" i="19"/>
  <c r="L319" i="19"/>
  <c r="K316" i="19"/>
  <c r="K317" i="19"/>
  <c r="K319" i="19"/>
  <c r="F318" i="19"/>
  <c r="L318" i="19" s="1"/>
  <c r="E318" i="19"/>
  <c r="K318" i="19" s="1"/>
  <c r="G319" i="19"/>
  <c r="F315" i="19"/>
  <c r="E315" i="19"/>
  <c r="G317" i="19"/>
  <c r="G316" i="19"/>
  <c r="L306" i="19"/>
  <c r="L307" i="19"/>
  <c r="K306" i="19"/>
  <c r="K307" i="19"/>
  <c r="G306" i="19"/>
  <c r="G307" i="19"/>
  <c r="F305" i="19"/>
  <c r="E305" i="19"/>
  <c r="L265" i="19"/>
  <c r="L266" i="19"/>
  <c r="L267" i="19"/>
  <c r="L278" i="19"/>
  <c r="L287" i="19"/>
  <c r="L290" i="19"/>
  <c r="K265" i="19"/>
  <c r="K266" i="19"/>
  <c r="K267" i="19"/>
  <c r="K278" i="19"/>
  <c r="K287" i="19"/>
  <c r="K290" i="19"/>
  <c r="J290" i="19"/>
  <c r="I289" i="19"/>
  <c r="L289" i="19" s="1"/>
  <c r="H289" i="19"/>
  <c r="H288" i="19" s="1"/>
  <c r="K288" i="19" s="1"/>
  <c r="J287" i="19"/>
  <c r="I286" i="19"/>
  <c r="L286" i="19" s="1"/>
  <c r="H286" i="19"/>
  <c r="H285" i="19" s="1"/>
  <c r="J278" i="19"/>
  <c r="I277" i="19"/>
  <c r="I276" i="19" s="1"/>
  <c r="H277" i="19"/>
  <c r="H276" i="19" s="1"/>
  <c r="G265" i="19"/>
  <c r="G266" i="19"/>
  <c r="G267" i="19"/>
  <c r="F264" i="19"/>
  <c r="L264" i="19" s="1"/>
  <c r="E264" i="19"/>
  <c r="K264" i="19" s="1"/>
  <c r="L234" i="19"/>
  <c r="L235" i="19"/>
  <c r="L237" i="19"/>
  <c r="L239" i="19"/>
  <c r="L241" i="19"/>
  <c r="L243" i="19"/>
  <c r="L248" i="19"/>
  <c r="L252" i="19"/>
  <c r="L254" i="19"/>
  <c r="L260" i="19"/>
  <c r="K234" i="19"/>
  <c r="K235" i="19"/>
  <c r="K237" i="19"/>
  <c r="K239" i="19"/>
  <c r="K241" i="19"/>
  <c r="K243" i="19"/>
  <c r="K248" i="19"/>
  <c r="K252" i="19"/>
  <c r="K254" i="19"/>
  <c r="K260" i="19"/>
  <c r="J260" i="19"/>
  <c r="I259" i="19"/>
  <c r="K261" i="19"/>
  <c r="F253" i="19"/>
  <c r="L253" i="19" s="1"/>
  <c r="E253" i="19"/>
  <c r="K253" i="19" s="1"/>
  <c r="G254" i="19"/>
  <c r="F251" i="19"/>
  <c r="L251" i="19" s="1"/>
  <c r="E251" i="19"/>
  <c r="K251" i="19" s="1"/>
  <c r="G252" i="19"/>
  <c r="F247" i="19"/>
  <c r="L247" i="19" s="1"/>
  <c r="E247" i="19"/>
  <c r="K247" i="19" s="1"/>
  <c r="G248" i="19"/>
  <c r="F242" i="19"/>
  <c r="L242" i="19" s="1"/>
  <c r="E242" i="19"/>
  <c r="K242" i="19" s="1"/>
  <c r="G243" i="19"/>
  <c r="G241" i="19"/>
  <c r="F240" i="19"/>
  <c r="L240" i="19" s="1"/>
  <c r="E240" i="19"/>
  <c r="K240" i="19" s="1"/>
  <c r="G239" i="19"/>
  <c r="F238" i="19"/>
  <c r="L238" i="19" s="1"/>
  <c r="E238" i="19"/>
  <c r="K238" i="19" s="1"/>
  <c r="J237" i="19"/>
  <c r="I236" i="19"/>
  <c r="I233" i="19" s="1"/>
  <c r="H236" i="19"/>
  <c r="H233" i="19" s="1"/>
  <c r="G234" i="19"/>
  <c r="G235" i="19"/>
  <c r="F233" i="19"/>
  <c r="E233" i="19"/>
  <c r="L174" i="19"/>
  <c r="L175" i="19"/>
  <c r="L178" i="19"/>
  <c r="L179" i="19"/>
  <c r="L181" i="19"/>
  <c r="L182" i="19"/>
  <c r="L183" i="19"/>
  <c r="L185" i="19"/>
  <c r="L186" i="19"/>
  <c r="L187" i="19"/>
  <c r="L189" i="19"/>
  <c r="L191" i="19"/>
  <c r="L192" i="19"/>
  <c r="L193" i="19"/>
  <c r="L195" i="19"/>
  <c r="L197" i="19"/>
  <c r="L198" i="19"/>
  <c r="L199" i="19"/>
  <c r="L201" i="19"/>
  <c r="L202" i="19"/>
  <c r="L204" i="19"/>
  <c r="L206" i="19"/>
  <c r="L208" i="19"/>
  <c r="L210" i="19"/>
  <c r="L211" i="19"/>
  <c r="L212" i="19"/>
  <c r="L214" i="19"/>
  <c r="L221" i="19"/>
  <c r="L222" i="19"/>
  <c r="L223" i="19"/>
  <c r="L227" i="19"/>
  <c r="L229" i="19"/>
  <c r="K174" i="19"/>
  <c r="K175" i="19"/>
  <c r="K178" i="19"/>
  <c r="K179" i="19"/>
  <c r="K181" i="19"/>
  <c r="K182" i="19"/>
  <c r="K183" i="19"/>
  <c r="K185" i="19"/>
  <c r="K186" i="19"/>
  <c r="K187" i="19"/>
  <c r="K189" i="19"/>
  <c r="M189" i="19" s="1"/>
  <c r="K191" i="19"/>
  <c r="K192" i="19"/>
  <c r="K193" i="19"/>
  <c r="K195" i="19"/>
  <c r="K197" i="19"/>
  <c r="K198" i="19"/>
  <c r="K199" i="19"/>
  <c r="K201" i="19"/>
  <c r="K202" i="19"/>
  <c r="K204" i="19"/>
  <c r="K206" i="19"/>
  <c r="K208" i="19"/>
  <c r="K210" i="19"/>
  <c r="K211" i="19"/>
  <c r="K212" i="19"/>
  <c r="K214" i="19"/>
  <c r="K221" i="19"/>
  <c r="K222" i="19"/>
  <c r="K223" i="19"/>
  <c r="K227" i="19"/>
  <c r="K229" i="19"/>
  <c r="F228" i="19"/>
  <c r="L228" i="19" s="1"/>
  <c r="E228" i="19"/>
  <c r="K228" i="19" s="1"/>
  <c r="G229" i="19"/>
  <c r="F226" i="19"/>
  <c r="L226" i="19" s="1"/>
  <c r="E226" i="19"/>
  <c r="K226" i="19" s="1"/>
  <c r="G227" i="19"/>
  <c r="F220" i="19"/>
  <c r="L220" i="19" s="1"/>
  <c r="E220" i="19"/>
  <c r="K220" i="19" s="1"/>
  <c r="G223" i="19"/>
  <c r="G222" i="19"/>
  <c r="G221" i="19"/>
  <c r="F213" i="19"/>
  <c r="L213" i="19" s="1"/>
  <c r="E213" i="19"/>
  <c r="K213" i="19" s="1"/>
  <c r="G214" i="19"/>
  <c r="F209" i="19"/>
  <c r="E209" i="19"/>
  <c r="K209" i="19" s="1"/>
  <c r="G212" i="19"/>
  <c r="G211" i="19"/>
  <c r="G210" i="19"/>
  <c r="G208" i="19"/>
  <c r="F207" i="19"/>
  <c r="L207" i="19" s="1"/>
  <c r="E207" i="19"/>
  <c r="K207" i="19" s="1"/>
  <c r="G206" i="19"/>
  <c r="F205" i="19"/>
  <c r="L205" i="19" s="1"/>
  <c r="E205" i="19"/>
  <c r="K205" i="19" s="1"/>
  <c r="I203" i="19"/>
  <c r="L203" i="19" s="1"/>
  <c r="H203" i="19"/>
  <c r="J197" i="19"/>
  <c r="J204" i="19"/>
  <c r="F200" i="19"/>
  <c r="E200" i="19"/>
  <c r="G202" i="19"/>
  <c r="G201" i="19"/>
  <c r="F196" i="19"/>
  <c r="E196" i="19"/>
  <c r="I196" i="19"/>
  <c r="H196" i="19"/>
  <c r="G197" i="19"/>
  <c r="G198" i="19"/>
  <c r="G199" i="19"/>
  <c r="H194" i="19"/>
  <c r="H190" i="19" s="1"/>
  <c r="J195" i="19"/>
  <c r="G191" i="19"/>
  <c r="G192" i="19"/>
  <c r="G193" i="19"/>
  <c r="F190" i="19"/>
  <c r="E190" i="19"/>
  <c r="J189" i="19"/>
  <c r="H188" i="19"/>
  <c r="H184" i="19" s="1"/>
  <c r="G185" i="19"/>
  <c r="G186" i="19"/>
  <c r="G187" i="19"/>
  <c r="F184" i="19"/>
  <c r="E184" i="19"/>
  <c r="J178" i="19"/>
  <c r="J181" i="19"/>
  <c r="I180" i="19"/>
  <c r="L180" i="19" s="1"/>
  <c r="H180" i="19"/>
  <c r="K180" i="19" s="1"/>
  <c r="I177" i="19"/>
  <c r="L177" i="19" s="1"/>
  <c r="H177" i="19"/>
  <c r="G179" i="19"/>
  <c r="G178" i="19"/>
  <c r="F176" i="19"/>
  <c r="E176" i="19"/>
  <c r="G177" i="19"/>
  <c r="G174" i="19"/>
  <c r="G175" i="19"/>
  <c r="F173" i="19"/>
  <c r="E173" i="19"/>
  <c r="L167" i="19"/>
  <c r="L168" i="19"/>
  <c r="L170" i="19"/>
  <c r="K167" i="19"/>
  <c r="K168" i="19"/>
  <c r="K170" i="19"/>
  <c r="F169" i="19"/>
  <c r="L169" i="19" s="1"/>
  <c r="E169" i="19"/>
  <c r="K169" i="19" s="1"/>
  <c r="G170" i="19"/>
  <c r="F166" i="19"/>
  <c r="L166" i="19" s="1"/>
  <c r="E166" i="19"/>
  <c r="G167" i="19"/>
  <c r="G168" i="19"/>
  <c r="L132" i="19"/>
  <c r="L133" i="19"/>
  <c r="L134" i="19"/>
  <c r="L135" i="19"/>
  <c r="L136" i="19"/>
  <c r="L138" i="19"/>
  <c r="L140" i="19"/>
  <c r="L142" i="19"/>
  <c r="L143" i="19"/>
  <c r="L144" i="19"/>
  <c r="L146" i="19"/>
  <c r="L148" i="19"/>
  <c r="L150" i="19"/>
  <c r="L152" i="19"/>
  <c r="L154" i="19"/>
  <c r="L159" i="19"/>
  <c r="L160" i="19"/>
  <c r="L161" i="19"/>
  <c r="L163" i="19"/>
  <c r="K132" i="19"/>
  <c r="K133" i="19"/>
  <c r="K134" i="19"/>
  <c r="K136" i="19"/>
  <c r="K138" i="19"/>
  <c r="K140" i="19"/>
  <c r="K142" i="19"/>
  <c r="K143" i="19"/>
  <c r="K144" i="19"/>
  <c r="K146" i="19"/>
  <c r="K148" i="19"/>
  <c r="K150" i="19"/>
  <c r="K152" i="19"/>
  <c r="K154" i="19"/>
  <c r="K159" i="19"/>
  <c r="K160" i="19"/>
  <c r="K161" i="19"/>
  <c r="K163" i="19"/>
  <c r="I162" i="19"/>
  <c r="F162" i="19"/>
  <c r="E162" i="19"/>
  <c r="K162" i="19" s="1"/>
  <c r="G163" i="19"/>
  <c r="J159" i="19"/>
  <c r="I158" i="19"/>
  <c r="H158" i="19"/>
  <c r="F158" i="19"/>
  <c r="E158" i="19"/>
  <c r="G161" i="19"/>
  <c r="G160" i="19"/>
  <c r="G159" i="19"/>
  <c r="F153" i="19"/>
  <c r="L153" i="19" s="1"/>
  <c r="E153" i="19"/>
  <c r="K153" i="19" s="1"/>
  <c r="G154" i="19"/>
  <c r="F151" i="19"/>
  <c r="L151" i="19" s="1"/>
  <c r="E151" i="19"/>
  <c r="K151" i="19" s="1"/>
  <c r="G152" i="19"/>
  <c r="I145" i="19"/>
  <c r="L145" i="19" s="1"/>
  <c r="H145" i="19"/>
  <c r="K145" i="19" s="1"/>
  <c r="F141" i="19"/>
  <c r="E141" i="19"/>
  <c r="G143" i="19"/>
  <c r="G144" i="19"/>
  <c r="G142" i="19"/>
  <c r="F149" i="19"/>
  <c r="L149" i="19" s="1"/>
  <c r="E149" i="19"/>
  <c r="K149" i="19" s="1"/>
  <c r="G150" i="19"/>
  <c r="F147" i="19"/>
  <c r="L147" i="19" s="1"/>
  <c r="E147" i="19"/>
  <c r="K147" i="19" s="1"/>
  <c r="G148" i="19"/>
  <c r="G140" i="19"/>
  <c r="F139" i="19"/>
  <c r="L139" i="19" s="1"/>
  <c r="E139" i="19"/>
  <c r="K139" i="19" s="1"/>
  <c r="G138" i="19"/>
  <c r="F137" i="19"/>
  <c r="E137" i="19"/>
  <c r="K137" i="19" s="1"/>
  <c r="J136" i="19"/>
  <c r="I131" i="19"/>
  <c r="H135" i="19"/>
  <c r="J135" i="19" s="1"/>
  <c r="F131" i="19"/>
  <c r="E131" i="19"/>
  <c r="G134" i="19"/>
  <c r="G133" i="19"/>
  <c r="G132" i="19"/>
  <c r="L67" i="19"/>
  <c r="L68" i="19"/>
  <c r="L69" i="19"/>
  <c r="L72" i="19"/>
  <c r="L73" i="19"/>
  <c r="L77" i="19"/>
  <c r="L78" i="19"/>
  <c r="L79" i="19"/>
  <c r="L83" i="19"/>
  <c r="L85" i="19"/>
  <c r="L86" i="19"/>
  <c r="L87" i="19"/>
  <c r="L91" i="19"/>
  <c r="L92" i="19"/>
  <c r="L93" i="19"/>
  <c r="L95" i="19"/>
  <c r="L97" i="19"/>
  <c r="L98" i="19"/>
  <c r="L99" i="19"/>
  <c r="L101" i="19"/>
  <c r="L102" i="19"/>
  <c r="L104" i="19"/>
  <c r="L105" i="19"/>
  <c r="L106" i="19"/>
  <c r="K67" i="19"/>
  <c r="K68" i="19"/>
  <c r="K69" i="19"/>
  <c r="K71" i="19"/>
  <c r="K72" i="19"/>
  <c r="K73" i="19"/>
  <c r="K77" i="19"/>
  <c r="K78" i="19"/>
  <c r="K79" i="19"/>
  <c r="K80" i="19"/>
  <c r="K83" i="19"/>
  <c r="K85" i="19"/>
  <c r="K86" i="19"/>
  <c r="K87" i="19"/>
  <c r="K91" i="19"/>
  <c r="K92" i="19"/>
  <c r="K93" i="19"/>
  <c r="K95" i="19"/>
  <c r="K97" i="19"/>
  <c r="K98" i="19"/>
  <c r="K99" i="19"/>
  <c r="K101" i="19"/>
  <c r="K102" i="19"/>
  <c r="K104" i="19"/>
  <c r="K105" i="19"/>
  <c r="K106" i="19"/>
  <c r="G106" i="19"/>
  <c r="L103" i="19"/>
  <c r="E103" i="19"/>
  <c r="K103" i="19" s="1"/>
  <c r="G105" i="19"/>
  <c r="G104" i="19"/>
  <c r="G101" i="19"/>
  <c r="G102" i="19"/>
  <c r="F100" i="19"/>
  <c r="E100" i="19"/>
  <c r="K100" i="19" s="1"/>
  <c r="I96" i="19"/>
  <c r="G98" i="19"/>
  <c r="G99" i="19"/>
  <c r="F96" i="19"/>
  <c r="E96" i="19"/>
  <c r="K96" i="19" s="1"/>
  <c r="G97" i="19"/>
  <c r="K118" i="27" l="1"/>
  <c r="J118" i="27"/>
  <c r="K158" i="19"/>
  <c r="E232" i="19"/>
  <c r="E231" i="19" s="1"/>
  <c r="I118" i="27"/>
  <c r="K190" i="19"/>
  <c r="I232" i="19"/>
  <c r="I231" i="19" s="1"/>
  <c r="L118" i="27"/>
  <c r="F232" i="19"/>
  <c r="M197" i="19"/>
  <c r="L209" i="19"/>
  <c r="M209" i="19" s="1"/>
  <c r="F172" i="19"/>
  <c r="K324" i="19"/>
  <c r="K323" i="19" s="1"/>
  <c r="H263" i="19"/>
  <c r="H262" i="19" s="1"/>
  <c r="K285" i="19"/>
  <c r="L259" i="19"/>
  <c r="M326" i="19"/>
  <c r="E314" i="19"/>
  <c r="E313" i="19" s="1"/>
  <c r="F314" i="19"/>
  <c r="F313" i="19" s="1"/>
  <c r="O111" i="27"/>
  <c r="G118" i="27"/>
  <c r="O61" i="27"/>
  <c r="O110" i="27"/>
  <c r="H118" i="27"/>
  <c r="O38" i="27"/>
  <c r="O52" i="27"/>
  <c r="M325" i="19"/>
  <c r="O19" i="27"/>
  <c r="M181" i="19"/>
  <c r="M319" i="19"/>
  <c r="L165" i="19"/>
  <c r="O37" i="27"/>
  <c r="L327" i="19"/>
  <c r="M327" i="19" s="1"/>
  <c r="J327" i="19"/>
  <c r="M328" i="19"/>
  <c r="J203" i="19"/>
  <c r="H176" i="19"/>
  <c r="L194" i="19"/>
  <c r="K233" i="19"/>
  <c r="K232" i="19" s="1"/>
  <c r="L315" i="19"/>
  <c r="L314" i="19" s="1"/>
  <c r="K173" i="19"/>
  <c r="E172" i="19"/>
  <c r="E171" i="19" s="1"/>
  <c r="L233" i="19"/>
  <c r="L173" i="19"/>
  <c r="K315" i="19"/>
  <c r="K314" i="19" s="1"/>
  <c r="E322" i="19"/>
  <c r="F322" i="19"/>
  <c r="L305" i="19"/>
  <c r="L304" i="19" s="1"/>
  <c r="F304" i="19"/>
  <c r="F303" i="19" s="1"/>
  <c r="K305" i="19"/>
  <c r="K304" i="19" s="1"/>
  <c r="E304" i="19"/>
  <c r="E303" i="19" s="1"/>
  <c r="L100" i="19"/>
  <c r="M100" i="19" s="1"/>
  <c r="M260" i="19"/>
  <c r="M243" i="19"/>
  <c r="M254" i="19"/>
  <c r="L196" i="19"/>
  <c r="M317" i="19"/>
  <c r="I200" i="19"/>
  <c r="L200" i="19" s="1"/>
  <c r="M267" i="19"/>
  <c r="M212" i="19"/>
  <c r="M207" i="19"/>
  <c r="M195" i="19"/>
  <c r="M264" i="19"/>
  <c r="M345" i="19"/>
  <c r="F263" i="19"/>
  <c r="L184" i="19"/>
  <c r="K196" i="19"/>
  <c r="M222" i="19"/>
  <c r="M211" i="19"/>
  <c r="M192" i="19"/>
  <c r="M339" i="19"/>
  <c r="M187" i="19"/>
  <c r="K286" i="19"/>
  <c r="M286" i="19" s="1"/>
  <c r="M161" i="19"/>
  <c r="M229" i="19"/>
  <c r="M221" i="19"/>
  <c r="M179" i="19"/>
  <c r="M287" i="19"/>
  <c r="M265" i="19"/>
  <c r="M307" i="19"/>
  <c r="M208" i="19"/>
  <c r="M238" i="19"/>
  <c r="M252" i="19"/>
  <c r="M278" i="19"/>
  <c r="M341" i="19"/>
  <c r="M340" i="19"/>
  <c r="E22" i="28"/>
  <c r="H18" i="28"/>
  <c r="H22" i="28" s="1"/>
  <c r="I22" i="28"/>
  <c r="L22" i="28" s="1"/>
  <c r="L18" i="28"/>
  <c r="M228" i="19"/>
  <c r="M186" i="19"/>
  <c r="M174" i="19"/>
  <c r="M316" i="19"/>
  <c r="K135" i="19"/>
  <c r="M135" i="19" s="1"/>
  <c r="M154" i="19"/>
  <c r="M168" i="19"/>
  <c r="M223" i="19"/>
  <c r="M214" i="19"/>
  <c r="M204" i="19"/>
  <c r="M198" i="19"/>
  <c r="M193" i="19"/>
  <c r="M182" i="19"/>
  <c r="M175" i="19"/>
  <c r="H259" i="19"/>
  <c r="K259" i="19" s="1"/>
  <c r="M241" i="19"/>
  <c r="M235" i="19"/>
  <c r="L236" i="19"/>
  <c r="E263" i="19"/>
  <c r="E262" i="19" s="1"/>
  <c r="I285" i="19"/>
  <c r="M290" i="19"/>
  <c r="I324" i="19"/>
  <c r="I323" i="19" s="1"/>
  <c r="M266" i="19"/>
  <c r="E165" i="19"/>
  <c r="E164" i="19" s="1"/>
  <c r="M180" i="19"/>
  <c r="K184" i="19"/>
  <c r="M205" i="19"/>
  <c r="M213" i="19"/>
  <c r="M226" i="19"/>
  <c r="M201" i="19"/>
  <c r="M191" i="19"/>
  <c r="M185" i="19"/>
  <c r="M251" i="19"/>
  <c r="M248" i="19"/>
  <c r="M239" i="19"/>
  <c r="M234" i="19"/>
  <c r="J286" i="19"/>
  <c r="K344" i="19"/>
  <c r="K338" i="19" s="1"/>
  <c r="M202" i="19"/>
  <c r="M253" i="19"/>
  <c r="H131" i="19"/>
  <c r="M159" i="19"/>
  <c r="M143" i="19"/>
  <c r="K166" i="19"/>
  <c r="K165" i="19" s="1"/>
  <c r="M227" i="19"/>
  <c r="M210" i="19"/>
  <c r="M206" i="19"/>
  <c r="M199" i="19"/>
  <c r="M183" i="19"/>
  <c r="M178" i="19"/>
  <c r="M237" i="19"/>
  <c r="J277" i="19"/>
  <c r="K277" i="19"/>
  <c r="L277" i="19"/>
  <c r="M306" i="19"/>
  <c r="O18" i="27"/>
  <c r="O78" i="27"/>
  <c r="O79" i="27"/>
  <c r="O64" i="27"/>
  <c r="O60" i="27"/>
  <c r="O53" i="27"/>
  <c r="O63" i="27"/>
  <c r="M220" i="19"/>
  <c r="M247" i="19"/>
  <c r="K276" i="19"/>
  <c r="M240" i="19"/>
  <c r="M242" i="19"/>
  <c r="M318" i="19"/>
  <c r="M170" i="19"/>
  <c r="J236" i="19"/>
  <c r="J261" i="19"/>
  <c r="I288" i="19"/>
  <c r="L288" i="19" s="1"/>
  <c r="M288" i="19" s="1"/>
  <c r="L344" i="19"/>
  <c r="L338" i="19" s="1"/>
  <c r="K177" i="19"/>
  <c r="M177" i="19" s="1"/>
  <c r="M148" i="19"/>
  <c r="J188" i="19"/>
  <c r="K188" i="19"/>
  <c r="K236" i="19"/>
  <c r="K289" i="19"/>
  <c r="M289" i="19" s="1"/>
  <c r="H324" i="19"/>
  <c r="H323" i="19" s="1"/>
  <c r="G344" i="19"/>
  <c r="F130" i="19"/>
  <c r="M167" i="19"/>
  <c r="H200" i="19"/>
  <c r="K200" i="19" s="1"/>
  <c r="K203" i="19"/>
  <c r="M203" i="19" s="1"/>
  <c r="L188" i="19"/>
  <c r="J289" i="19"/>
  <c r="K194" i="19"/>
  <c r="L276" i="19"/>
  <c r="L261" i="19"/>
  <c r="M261" i="19" s="1"/>
  <c r="M149" i="19"/>
  <c r="M136" i="19"/>
  <c r="M132" i="19"/>
  <c r="E130" i="19"/>
  <c r="E129" i="19" s="1"/>
  <c r="M145" i="19"/>
  <c r="M153" i="19"/>
  <c r="L162" i="19"/>
  <c r="M162" i="19" s="1"/>
  <c r="M142" i="19"/>
  <c r="J177" i="19"/>
  <c r="L131" i="19"/>
  <c r="I141" i="19"/>
  <c r="I130" i="19" s="1"/>
  <c r="M151" i="19"/>
  <c r="L158" i="19"/>
  <c r="M163" i="19"/>
  <c r="M152" i="19"/>
  <c r="M146" i="19"/>
  <c r="M140" i="19"/>
  <c r="M134" i="19"/>
  <c r="M169" i="19"/>
  <c r="J194" i="19"/>
  <c r="M139" i="19"/>
  <c r="M147" i="19"/>
  <c r="M160" i="19"/>
  <c r="M150" i="19"/>
  <c r="M144" i="19"/>
  <c r="M138" i="19"/>
  <c r="M133" i="19"/>
  <c r="G169" i="19"/>
  <c r="J180" i="19"/>
  <c r="M95" i="19"/>
  <c r="M79" i="19"/>
  <c r="J145" i="19"/>
  <c r="L137" i="19"/>
  <c r="M137" i="19" s="1"/>
  <c r="F165" i="19"/>
  <c r="F164" i="19" s="1"/>
  <c r="M68" i="19"/>
  <c r="M98" i="19"/>
  <c r="H141" i="19"/>
  <c r="K141" i="19" s="1"/>
  <c r="M67" i="19"/>
  <c r="M97" i="19"/>
  <c r="I176" i="19"/>
  <c r="L190" i="19"/>
  <c r="L96" i="19"/>
  <c r="M96" i="19" s="1"/>
  <c r="M99" i="19"/>
  <c r="M69" i="19"/>
  <c r="M85" i="19"/>
  <c r="M91" i="19"/>
  <c r="M106" i="19"/>
  <c r="M101" i="19"/>
  <c r="M104" i="19"/>
  <c r="M93" i="19"/>
  <c r="M86" i="19"/>
  <c r="M103" i="19"/>
  <c r="M72" i="19"/>
  <c r="M92" i="19"/>
  <c r="M102" i="19"/>
  <c r="M78" i="19"/>
  <c r="M83" i="19"/>
  <c r="M77" i="19"/>
  <c r="M105" i="19"/>
  <c r="M87" i="19"/>
  <c r="M73" i="19"/>
  <c r="F94" i="19"/>
  <c r="E94" i="19"/>
  <c r="K94" i="19" s="1"/>
  <c r="G95" i="19"/>
  <c r="F90" i="19"/>
  <c r="L90" i="19" s="1"/>
  <c r="E90" i="19"/>
  <c r="K90" i="19" s="1"/>
  <c r="G91" i="19"/>
  <c r="G92" i="19"/>
  <c r="G93" i="19"/>
  <c r="G85" i="19"/>
  <c r="G86" i="19"/>
  <c r="G87" i="19"/>
  <c r="F84" i="19"/>
  <c r="L84" i="19" s="1"/>
  <c r="E84" i="19"/>
  <c r="K84" i="19" s="1"/>
  <c r="G83" i="19"/>
  <c r="F82" i="19"/>
  <c r="E82" i="19"/>
  <c r="K82" i="19" s="1"/>
  <c r="L80" i="19"/>
  <c r="J77" i="19"/>
  <c r="J78" i="19"/>
  <c r="J79" i="19"/>
  <c r="H76" i="19"/>
  <c r="H65" i="19" s="1"/>
  <c r="G77" i="19"/>
  <c r="G78" i="19"/>
  <c r="G79" i="19"/>
  <c r="F76" i="19"/>
  <c r="E76" i="19"/>
  <c r="G73" i="19"/>
  <c r="G72" i="19"/>
  <c r="G71" i="19"/>
  <c r="F66" i="19"/>
  <c r="E66" i="19"/>
  <c r="G67" i="19"/>
  <c r="G68" i="19"/>
  <c r="G69" i="19"/>
  <c r="L19" i="19"/>
  <c r="L20" i="19"/>
  <c r="L21" i="19"/>
  <c r="L23" i="19"/>
  <c r="L24" i="19"/>
  <c r="L25" i="19"/>
  <c r="L27" i="19"/>
  <c r="L31" i="19"/>
  <c r="L33" i="19"/>
  <c r="L35" i="19"/>
  <c r="L37" i="19"/>
  <c r="L41" i="19"/>
  <c r="L44" i="19"/>
  <c r="L47" i="19"/>
  <c r="L51" i="19"/>
  <c r="L53" i="19"/>
  <c r="L59" i="19"/>
  <c r="K19" i="19"/>
  <c r="K20" i="19"/>
  <c r="K21" i="19"/>
  <c r="K23" i="19"/>
  <c r="K25" i="19"/>
  <c r="K27" i="19"/>
  <c r="K31" i="19"/>
  <c r="K33" i="19"/>
  <c r="K35" i="19"/>
  <c r="K37" i="19"/>
  <c r="K41" i="19"/>
  <c r="K44" i="19"/>
  <c r="K51" i="19"/>
  <c r="K53" i="19"/>
  <c r="K59" i="19"/>
  <c r="I43" i="19"/>
  <c r="L43" i="19" s="1"/>
  <c r="H43" i="19"/>
  <c r="K43" i="19" s="1"/>
  <c r="I40" i="19"/>
  <c r="L40" i="19" s="1"/>
  <c r="H40" i="19"/>
  <c r="K40" i="19" s="1"/>
  <c r="J41" i="19"/>
  <c r="J44" i="19"/>
  <c r="J33" i="19"/>
  <c r="I32" i="19"/>
  <c r="I30" i="19" s="1"/>
  <c r="H32" i="19"/>
  <c r="H30" i="19" s="1"/>
  <c r="J23" i="19"/>
  <c r="J158" i="19"/>
  <c r="J184" i="19"/>
  <c r="J196" i="19"/>
  <c r="J233" i="19"/>
  <c r="J276" i="19"/>
  <c r="L18" i="19"/>
  <c r="H22" i="19"/>
  <c r="H18" i="19" s="1"/>
  <c r="G19" i="19"/>
  <c r="G20" i="19"/>
  <c r="G21" i="19"/>
  <c r="F50" i="19"/>
  <c r="L50" i="19" s="1"/>
  <c r="E50" i="19"/>
  <c r="K50" i="19" s="1"/>
  <c r="G51" i="19"/>
  <c r="F58" i="19"/>
  <c r="E58" i="19"/>
  <c r="K58" i="19" s="1"/>
  <c r="G59" i="19"/>
  <c r="F52" i="19"/>
  <c r="E52" i="19"/>
  <c r="G53" i="19"/>
  <c r="F46" i="19"/>
  <c r="L46" i="19" s="1"/>
  <c r="E46" i="19"/>
  <c r="K46" i="19" s="1"/>
  <c r="G47" i="19"/>
  <c r="F36" i="19"/>
  <c r="L36" i="19" s="1"/>
  <c r="E36" i="19"/>
  <c r="G37" i="19"/>
  <c r="F34" i="19"/>
  <c r="L34" i="19" s="1"/>
  <c r="E34" i="19"/>
  <c r="F30" i="19"/>
  <c r="E30" i="19"/>
  <c r="G31" i="19"/>
  <c r="G27" i="19"/>
  <c r="F26" i="19"/>
  <c r="E26" i="19"/>
  <c r="K26" i="19" s="1"/>
  <c r="E24" i="19"/>
  <c r="G25" i="19"/>
  <c r="G18" i="19"/>
  <c r="G35" i="19"/>
  <c r="G96" i="19"/>
  <c r="G100" i="19"/>
  <c r="G103" i="19"/>
  <c r="G131" i="19"/>
  <c r="G137" i="19"/>
  <c r="G139" i="19"/>
  <c r="G141" i="19"/>
  <c r="G147" i="19"/>
  <c r="G149" i="19"/>
  <c r="G151" i="19"/>
  <c r="G153" i="19"/>
  <c r="G158" i="19"/>
  <c r="G162" i="19"/>
  <c r="G166" i="19"/>
  <c r="G173" i="19"/>
  <c r="G176" i="19"/>
  <c r="G182" i="19"/>
  <c r="G184" i="19"/>
  <c r="G190" i="19"/>
  <c r="G196" i="19"/>
  <c r="G200" i="19"/>
  <c r="G205" i="19"/>
  <c r="G207" i="19"/>
  <c r="G209" i="19"/>
  <c r="G213" i="19"/>
  <c r="G220" i="19"/>
  <c r="G226" i="19"/>
  <c r="G228" i="19"/>
  <c r="G233" i="19"/>
  <c r="G238" i="19"/>
  <c r="G240" i="19"/>
  <c r="G242" i="19"/>
  <c r="G247" i="19"/>
  <c r="G251" i="19"/>
  <c r="G253" i="19"/>
  <c r="G264" i="19"/>
  <c r="G305" i="19"/>
  <c r="G315" i="19"/>
  <c r="G318" i="19"/>
  <c r="G324" i="19"/>
  <c r="G339" i="19"/>
  <c r="K263" i="19" l="1"/>
  <c r="L232" i="19"/>
  <c r="H17" i="19"/>
  <c r="H16" i="19" s="1"/>
  <c r="I172" i="19"/>
  <c r="E17" i="19"/>
  <c r="H232" i="19"/>
  <c r="H231" i="19" s="1"/>
  <c r="J231" i="19" s="1"/>
  <c r="L58" i="19"/>
  <c r="M58" i="19" s="1"/>
  <c r="F17" i="19"/>
  <c r="I263" i="19"/>
  <c r="I262" i="19" s="1"/>
  <c r="J262" i="19" s="1"/>
  <c r="N118" i="27"/>
  <c r="K231" i="19"/>
  <c r="K176" i="19"/>
  <c r="K172" i="19" s="1"/>
  <c r="H172" i="19"/>
  <c r="H171" i="19" s="1"/>
  <c r="K131" i="19"/>
  <c r="K130" i="19" s="1"/>
  <c r="H130" i="19"/>
  <c r="H129" i="19" s="1"/>
  <c r="L285" i="19"/>
  <c r="K18" i="19"/>
  <c r="I17" i="19"/>
  <c r="L66" i="19"/>
  <c r="L52" i="19"/>
  <c r="K52" i="19"/>
  <c r="M194" i="19"/>
  <c r="L324" i="19"/>
  <c r="L323" i="19" s="1"/>
  <c r="H322" i="19"/>
  <c r="K337" i="19"/>
  <c r="K164" i="19"/>
  <c r="K322" i="19"/>
  <c r="K303" i="19"/>
  <c r="M173" i="19"/>
  <c r="K313" i="19"/>
  <c r="L313" i="19"/>
  <c r="J324" i="19"/>
  <c r="M233" i="19"/>
  <c r="H64" i="19"/>
  <c r="M315" i="19"/>
  <c r="M259" i="19"/>
  <c r="M305" i="19"/>
  <c r="M188" i="19"/>
  <c r="M158" i="19"/>
  <c r="M196" i="19"/>
  <c r="M190" i="19"/>
  <c r="M276" i="19"/>
  <c r="M184" i="19"/>
  <c r="K24" i="19"/>
  <c r="M24" i="19" s="1"/>
  <c r="J200" i="19"/>
  <c r="J259" i="19"/>
  <c r="M166" i="19"/>
  <c r="M236" i="19"/>
  <c r="J288" i="19"/>
  <c r="J176" i="19"/>
  <c r="M344" i="19"/>
  <c r="J131" i="19"/>
  <c r="J285" i="19"/>
  <c r="M277" i="19"/>
  <c r="M118" i="27"/>
  <c r="K262" i="19"/>
  <c r="M200" i="19"/>
  <c r="L303" i="19"/>
  <c r="L141" i="19"/>
  <c r="M141" i="19" s="1"/>
  <c r="J190" i="19"/>
  <c r="L176" i="19"/>
  <c r="L172" i="19" s="1"/>
  <c r="L231" i="19"/>
  <c r="G34" i="19"/>
  <c r="G84" i="19"/>
  <c r="I171" i="19"/>
  <c r="L164" i="19"/>
  <c r="J141" i="19"/>
  <c r="L32" i="19"/>
  <c r="G58" i="19"/>
  <c r="L30" i="19"/>
  <c r="G36" i="19"/>
  <c r="J43" i="19"/>
  <c r="K70" i="19"/>
  <c r="K76" i="19"/>
  <c r="I76" i="19"/>
  <c r="K32" i="19"/>
  <c r="G90" i="19"/>
  <c r="G24" i="19"/>
  <c r="K30" i="19"/>
  <c r="J32" i="19"/>
  <c r="F81" i="19"/>
  <c r="L81" i="19" s="1"/>
  <c r="L82" i="19"/>
  <c r="M82" i="19" s="1"/>
  <c r="M84" i="19"/>
  <c r="M90" i="19"/>
  <c r="K66" i="19"/>
  <c r="G70" i="19"/>
  <c r="J71" i="19"/>
  <c r="L71" i="19"/>
  <c r="M71" i="19" s="1"/>
  <c r="G94" i="19"/>
  <c r="L94" i="19"/>
  <c r="M94" i="19" s="1"/>
  <c r="E81" i="19"/>
  <c r="K81" i="19" s="1"/>
  <c r="M47" i="19"/>
  <c r="M37" i="19"/>
  <c r="M35" i="19"/>
  <c r="M27" i="19"/>
  <c r="M19" i="19"/>
  <c r="M44" i="19"/>
  <c r="M31" i="19"/>
  <c r="M23" i="19"/>
  <c r="G82" i="19"/>
  <c r="G52" i="19"/>
  <c r="M40" i="19"/>
  <c r="M53" i="19"/>
  <c r="G76" i="19"/>
  <c r="G50" i="19"/>
  <c r="M51" i="19"/>
  <c r="M43" i="19"/>
  <c r="M21" i="19"/>
  <c r="G66" i="19"/>
  <c r="J22" i="19"/>
  <c r="J40" i="19"/>
  <c r="K22" i="19"/>
  <c r="M59" i="19"/>
  <c r="M41" i="19"/>
  <c r="M33" i="19"/>
  <c r="M25" i="19"/>
  <c r="M20" i="19"/>
  <c r="M46" i="19"/>
  <c r="J30" i="19"/>
  <c r="M50" i="19"/>
  <c r="L22" i="19"/>
  <c r="J18" i="19"/>
  <c r="K36" i="19"/>
  <c r="M36" i="19" s="1"/>
  <c r="L26" i="19"/>
  <c r="M26" i="19" s="1"/>
  <c r="G26" i="19"/>
  <c r="K34" i="19"/>
  <c r="M34" i="19" s="1"/>
  <c r="G46" i="19"/>
  <c r="G30" i="19"/>
  <c r="K65" i="19" l="1"/>
  <c r="K353" i="19"/>
  <c r="K354" i="19" s="1"/>
  <c r="E65" i="19"/>
  <c r="E64" i="19" s="1"/>
  <c r="K17" i="19"/>
  <c r="O118" i="27"/>
  <c r="L76" i="19"/>
  <c r="I65" i="19"/>
  <c r="I64" i="19" s="1"/>
  <c r="F65" i="19"/>
  <c r="F64" i="19" s="1"/>
  <c r="J171" i="19"/>
  <c r="M131" i="19"/>
  <c r="K129" i="19"/>
  <c r="M285" i="19"/>
  <c r="L263" i="19"/>
  <c r="L262" i="19" s="1"/>
  <c r="M262" i="19" s="1"/>
  <c r="L130" i="19"/>
  <c r="M304" i="19"/>
  <c r="L17" i="19"/>
  <c r="M52" i="19"/>
  <c r="M314" i="19"/>
  <c r="M313" i="19"/>
  <c r="M324" i="19"/>
  <c r="M164" i="19"/>
  <c r="M165" i="19"/>
  <c r="M303" i="19"/>
  <c r="E16" i="19"/>
  <c r="K16" i="19" s="1"/>
  <c r="L322" i="19"/>
  <c r="M322" i="19" s="1"/>
  <c r="M323" i="19"/>
  <c r="J263" i="19"/>
  <c r="I322" i="19"/>
  <c r="M231" i="19"/>
  <c r="M232" i="19"/>
  <c r="H346" i="19"/>
  <c r="H351" i="19" s="1"/>
  <c r="J232" i="19"/>
  <c r="L337" i="19"/>
  <c r="M337" i="19" s="1"/>
  <c r="M338" i="19"/>
  <c r="M176" i="19"/>
  <c r="L171" i="19"/>
  <c r="K171" i="19"/>
  <c r="J76" i="19"/>
  <c r="M18" i="19"/>
  <c r="J172" i="19"/>
  <c r="M30" i="19"/>
  <c r="M22" i="19"/>
  <c r="M32" i="19"/>
  <c r="M76" i="19"/>
  <c r="M66" i="19"/>
  <c r="L70" i="19"/>
  <c r="L65" i="19" s="1"/>
  <c r="M81" i="19"/>
  <c r="G81" i="19"/>
  <c r="J70" i="19"/>
  <c r="I129" i="19"/>
  <c r="J129" i="19" s="1"/>
  <c r="J130" i="19"/>
  <c r="G338" i="19"/>
  <c r="G323" i="19"/>
  <c r="G314" i="19"/>
  <c r="G304" i="19"/>
  <c r="G263" i="19"/>
  <c r="G232" i="19"/>
  <c r="G172" i="19"/>
  <c r="G165" i="19"/>
  <c r="G130" i="19"/>
  <c r="G17" i="19"/>
  <c r="L353" i="19" l="1"/>
  <c r="L354" i="19" s="1"/>
  <c r="M263" i="19"/>
  <c r="M130" i="19"/>
  <c r="L64" i="19"/>
  <c r="E346" i="19"/>
  <c r="E351" i="19" s="1"/>
  <c r="L129" i="19"/>
  <c r="M129" i="19" s="1"/>
  <c r="M172" i="19"/>
  <c r="M171" i="19"/>
  <c r="J64" i="19"/>
  <c r="M17" i="19"/>
  <c r="G65" i="19"/>
  <c r="K64" i="19"/>
  <c r="M70" i="19"/>
  <c r="J65" i="19"/>
  <c r="F129" i="19"/>
  <c r="G129" i="19" s="1"/>
  <c r="F171" i="19"/>
  <c r="G171" i="19" s="1"/>
  <c r="F262" i="19"/>
  <c r="G262" i="19" s="1"/>
  <c r="G313" i="19"/>
  <c r="G337" i="19"/>
  <c r="G164" i="19"/>
  <c r="F231" i="19"/>
  <c r="G231" i="19" s="1"/>
  <c r="G303" i="19"/>
  <c r="G322" i="19"/>
  <c r="G64" i="19"/>
  <c r="I16" i="19"/>
  <c r="J16" i="19" s="1"/>
  <c r="J17" i="19"/>
  <c r="F16" i="19"/>
  <c r="G28" i="23"/>
  <c r="G25" i="23" s="1"/>
  <c r="H21" i="23"/>
  <c r="H28" i="23" s="1"/>
  <c r="H25" i="23" s="1"/>
  <c r="G18" i="23"/>
  <c r="G17" i="23" s="1"/>
  <c r="G24" i="23" s="1"/>
  <c r="K346" i="19" l="1"/>
  <c r="K351" i="19" s="1"/>
  <c r="F346" i="19"/>
  <c r="G346" i="19" s="1"/>
  <c r="E28" i="23"/>
  <c r="C28" i="23" s="1"/>
  <c r="C21" i="23"/>
  <c r="I346" i="19"/>
  <c r="I351" i="19" s="1"/>
  <c r="M64" i="19"/>
  <c r="M65" i="19"/>
  <c r="G16" i="19"/>
  <c r="L16" i="19"/>
  <c r="H18" i="23"/>
  <c r="H17" i="23" s="1"/>
  <c r="H24" i="23" s="1"/>
  <c r="E26" i="23"/>
  <c r="C26" i="23" s="1"/>
  <c r="G22" i="23"/>
  <c r="G29" i="23" s="1"/>
  <c r="J346" i="19" l="1"/>
  <c r="M16" i="19"/>
  <c r="L346" i="19"/>
  <c r="M346" i="19" s="1"/>
  <c r="E25" i="23"/>
  <c r="C25" i="23" s="1"/>
  <c r="C18" i="23"/>
  <c r="F351" i="19"/>
  <c r="H22" i="23"/>
  <c r="H29" i="23" s="1"/>
  <c r="E17" i="23"/>
  <c r="C17" i="23" s="1"/>
  <c r="L351" i="19" l="1"/>
  <c r="E24" i="23"/>
  <c r="C24" i="23" s="1"/>
  <c r="E22" i="23"/>
  <c r="C22" i="23" s="1"/>
  <c r="E29" i="23" l="1"/>
  <c r="C29" i="23" s="1"/>
</calcChain>
</file>

<file path=xl/sharedStrings.xml><?xml version="1.0" encoding="utf-8"?>
<sst xmlns="http://schemas.openxmlformats.org/spreadsheetml/2006/main" count="2018" uniqueCount="740">
  <si>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</si>
  <si>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</si>
  <si>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</si>
  <si>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</si>
  <si>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</si>
  <si>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</si>
  <si>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</si>
  <si>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</si>
  <si>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</si>
  <si>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</si>
  <si>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</si>
  <si>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</si>
  <si>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</si>
  <si>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</si>
  <si>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</si>
  <si>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</si>
  <si>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</si>
  <si>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</si>
  <si>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</si>
  <si>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</si>
  <si>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</si>
  <si>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</si>
  <si>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</si>
  <si>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</si>
  <si>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</si>
  <si>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</si>
  <si>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</si>
  <si>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</si>
  <si>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</si>
  <si>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</si>
  <si>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</si>
  <si>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</si>
  <si>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</si>
  <si>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</si>
  <si>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</si>
  <si>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</si>
  <si>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</si>
  <si>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</si>
  <si>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</si>
  <si>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</si>
  <si>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</si>
  <si>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</si>
  <si>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</si>
  <si>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</si>
  <si>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</si>
  <si>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</si>
  <si>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</si>
  <si>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</si>
  <si>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</si>
  <si>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</si>
  <si>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</si>
  <si>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</si>
  <si>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</si>
  <si>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</si>
  <si>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</si>
  <si>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</si>
  <si>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</si>
  <si>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</si>
  <si>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</si>
  <si>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</si>
  <si>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</si>
  <si>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</si>
  <si>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</si>
  <si>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</si>
  <si>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</si>
  <si>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</si>
  <si>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</si>
  <si>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</si>
  <si>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</si>
  <si>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</si>
  <si>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</si>
  <si>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</si>
  <si>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</si>
  <si>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</si>
  <si>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</si>
  <si>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</si>
  <si>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</si>
  <si>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</si>
  <si>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</si>
  <si>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</si>
  <si>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</si>
  <si>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</si>
  <si>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</si>
  <si>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</si>
  <si>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</si>
  <si>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</si>
  <si>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</si>
  <si>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</si>
  <si>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</si>
  <si>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</si>
  <si>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</si>
  <si>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</si>
  <si>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</si>
  <si>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</si>
  <si>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</si>
  <si>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</si>
  <si>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</si>
  <si>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</si>
  <si>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</si>
  <si>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</si>
  <si>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</si>
  <si>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</si>
  <si>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</si>
  <si>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</si>
  <si>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</si>
  <si>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</si>
  <si>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</si>
  <si>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</si>
  <si>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</si>
  <si>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</si>
  <si>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</si>
  <si>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</si>
  <si>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</si>
  <si>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</si>
  <si>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</si>
  <si>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</si>
  <si>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</si>
  <si>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</si>
  <si>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</si>
  <si>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</si>
  <si>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</si>
  <si>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</si>
  <si>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</si>
  <si>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</si>
  <si>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</si>
  <si>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</si>
  <si>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</si>
  <si>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</si>
  <si>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</si>
  <si>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</si>
  <si>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</si>
  <si>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</si>
  <si>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</si>
  <si>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</si>
  <si>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</si>
  <si>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</si>
  <si>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</si>
  <si>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</si>
  <si>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</si>
  <si>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</si>
  <si>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</si>
  <si>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</si>
  <si>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</si>
  <si>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</si>
  <si>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</si>
  <si>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</si>
  <si>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</si>
  <si>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</si>
  <si>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</si>
  <si>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</si>
  <si>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</si>
  <si>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</si>
  <si>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</si>
  <si>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</si>
  <si>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</si>
  <si>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</si>
  <si>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</si>
  <si>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</si>
  <si>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</si>
  <si>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</si>
  <si>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</si>
  <si>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</si>
  <si>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</si>
  <si>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</si>
  <si>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</si>
  <si>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</si>
  <si>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</si>
  <si>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</si>
  <si>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</si>
  <si>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</si>
  <si>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</si>
  <si>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</si>
  <si>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</si>
  <si>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</si>
  <si>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</si>
  <si>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</si>
  <si>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</si>
  <si>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</si>
  <si>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</si>
  <si>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</si>
  <si>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</si>
  <si>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</si>
  <si>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</si>
  <si>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</si>
  <si>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</si>
  <si>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</si>
  <si>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</si>
  <si>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</si>
  <si>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</si>
  <si>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</si>
  <si>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</si>
  <si>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</si>
  <si>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</si>
  <si>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</si>
  <si>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</si>
  <si>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</si>
  <si>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</si>
  <si>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</si>
  <si>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</si>
  <si>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</si>
  <si>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</si>
  <si>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</si>
  <si>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</si>
  <si>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</si>
  <si>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</si>
  <si>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</si>
  <si>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</si>
  <si>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</si>
  <si>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</si>
  <si>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</si>
  <si>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</si>
  <si>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</si>
  <si>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</si>
  <si>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</si>
  <si>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</si>
  <si>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</si>
  <si>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</si>
  <si>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</si>
  <si>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</si>
  <si>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</si>
  <si>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</si>
  <si>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</si>
  <si>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</si>
  <si>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</si>
  <si>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</si>
  <si>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</si>
  <si>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</si>
  <si>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</si>
  <si>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</si>
  <si>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</si>
  <si>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</si>
  <si>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</si>
  <si>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</si>
  <si>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</si>
  <si>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</si>
  <si>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</si>
  <si>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</si>
  <si>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</si>
  <si>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</si>
  <si>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</si>
  <si>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</si>
  <si>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</si>
  <si>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</si>
  <si>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</si>
  <si>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</si>
  <si>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</si>
  <si>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</si>
  <si>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</si>
  <si>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</si>
  <si>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</si>
  <si>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</si>
  <si>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</si>
  <si>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</si>
  <si>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</si>
  <si>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</si>
  <si>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</si>
  <si>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</si>
  <si>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</si>
  <si>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</si>
  <si>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</si>
  <si>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</si>
  <si>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</si>
  <si>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</si>
  <si>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</si>
  <si>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</si>
  <si>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</si>
  <si>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</si>
  <si>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</si>
  <si>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</si>
  <si>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</si>
  <si>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</si>
  <si>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</si>
  <si>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</si>
  <si>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</si>
  <si>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</si>
  <si>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</si>
  <si>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</si>
  <si>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</si>
  <si>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</si>
  <si>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</si>
  <si>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</si>
  <si>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</si>
  <si>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</si>
  <si>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</si>
  <si>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</si>
  <si>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</si>
  <si>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</si>
  <si>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</si>
  <si>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</si>
  <si>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</si>
  <si>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</si>
  <si>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</si>
  <si>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</si>
  <si>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</si>
  <si>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коригування проектної документації</t>
  </si>
  <si>
    <t>х</t>
  </si>
  <si>
    <t>2021-2024 роки</t>
  </si>
  <si>
    <t xml:space="preserve"> проектні роботи</t>
  </si>
  <si>
    <t>1517322</t>
  </si>
  <si>
    <t>7322</t>
  </si>
  <si>
    <t>0443</t>
  </si>
  <si>
    <t>коригування проектно-вишукувальної документації</t>
  </si>
  <si>
    <t>Будівництво  медичних установ та закладів</t>
  </si>
  <si>
    <t>Програма розвитку інфраструктури Южненської міської територіальної громади на 2020-2024 роки</t>
  </si>
  <si>
    <t>Рішення ЮМР від 07.12.2022року №1177-VIIІ з внесеними змінами від  14.12.2023 року № 1602-VIII, шляхом викладення у новій редакції</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</si>
  <si>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</si>
  <si>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проектно-вишукувальні роботи</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</si>
  <si>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</si>
  <si>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</si>
  <si>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</si>
  <si>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</si>
  <si>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</si>
  <si>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</si>
  <si>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</si>
  <si>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</si>
  <si>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</si>
  <si>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</si>
  <si>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</si>
  <si>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</si>
  <si>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</si>
  <si>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</si>
  <si>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</si>
  <si>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</si>
  <si>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</si>
  <si>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</si>
  <si>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</si>
  <si>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</si>
  <si>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</si>
  <si>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</si>
  <si>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</si>
  <si>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</si>
  <si>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</si>
  <si>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</si>
  <si>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</si>
  <si>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</si>
  <si>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</si>
  <si>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</si>
  <si>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</si>
  <si>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</si>
  <si>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</si>
  <si>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</si>
  <si>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</si>
  <si>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</si>
  <si>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</si>
  <si>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</si>
  <si>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</si>
  <si>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</si>
  <si>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</si>
  <si>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</si>
  <si>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</si>
  <si>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</si>
  <si>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</si>
  <si>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</si>
  <si>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</si>
  <si>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</si>
  <si>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</si>
  <si>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</si>
  <si>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</si>
  <si>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</si>
  <si>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</si>
  <si>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</si>
  <si>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</si>
  <si>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</si>
  <si>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</si>
  <si>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</si>
  <si>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</si>
  <si>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</si>
  <si>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</si>
  <si>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</si>
  <si>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</si>
  <si>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</si>
  <si>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</si>
  <si>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</si>
  <si>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</si>
  <si>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</si>
  <si>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</si>
  <si>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</si>
  <si>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</si>
  <si>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</si>
  <si>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</si>
  <si>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</si>
  <si>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</si>
  <si>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</si>
  <si>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</si>
  <si>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</si>
  <si>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</si>
  <si>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</si>
  <si>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</si>
  <si>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</si>
  <si>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</si>
  <si>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</si>
  <si>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</si>
  <si>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</si>
  <si>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</si>
  <si>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</si>
  <si>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</si>
  <si>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</si>
  <si>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</si>
  <si>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</si>
  <si>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</si>
  <si>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</si>
  <si>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</si>
  <si>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</si>
  <si>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</si>
  <si>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</si>
  <si>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</si>
  <si>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</si>
  <si>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</si>
  <si>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</si>
  <si>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</si>
  <si>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</si>
  <si>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</si>
  <si>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</si>
  <si>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</si>
  <si>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</si>
  <si>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</si>
  <si>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</si>
  <si>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</si>
  <si>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</si>
  <si>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</si>
  <si>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</si>
  <si>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</si>
  <si>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</si>
  <si>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</si>
  <si>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</si>
  <si>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</si>
  <si>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</si>
  <si>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</si>
  <si>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</si>
  <si>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</si>
  <si>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Бюджетні позички суб'єктам господарювання та їх повернення</t>
  </si>
  <si>
    <t>Повернення бюджетних позичок, наданих суб'єктам господарювання</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</si>
  <si>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</si>
  <si>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</si>
  <si>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</si>
  <si>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</si>
  <si>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</si>
  <si>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</si>
  <si>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</si>
  <si>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</si>
  <si>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</si>
  <si>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</si>
  <si>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</si>
  <si>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</si>
  <si>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</si>
  <si>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</si>
  <si>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</si>
  <si>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</si>
  <si>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</si>
  <si>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</si>
  <si>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</si>
  <si>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</si>
  <si>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</si>
  <si>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</si>
  <si>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</si>
  <si>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Затверджено на 2024 рік з урахуванням внесених змін</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</si>
  <si>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</si>
  <si>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</si>
  <si>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</si>
  <si>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</si>
  <si>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</si>
  <si>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</si>
  <si>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</si>
  <si>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оплата праці з нарахуваннями</t>
  </si>
  <si>
    <t>оплата комунальних послуг</t>
  </si>
  <si>
    <t>бюджет розвитку</t>
  </si>
  <si>
    <t>видатки розвитку</t>
  </si>
  <si>
    <t xml:space="preserve">Придбання пластикових сміттєприймальних контейнерів, об'ємом 240 л (3 шт)                                         </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</si>
  <si>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</si>
  <si>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</si>
  <si>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</si>
  <si>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</si>
  <si>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</si>
  <si>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</si>
  <si>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</si>
  <si>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</si>
  <si>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</si>
  <si>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</si>
  <si>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</si>
  <si>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Затверджено на 2024  рік з урахув. змін</t>
  </si>
  <si>
    <t xml:space="preserve">Виконавчий комітет Южненської міської ради  Одеського району Одеської області </t>
  </si>
  <si>
    <t xml:space="preserve">Управління освіти Южненської міської ради Одеського району Одеської області </t>
  </si>
  <si>
    <t>0</t>
  </si>
  <si>
    <t xml:space="preserve">Управління соціальної політики Южненської міської ради Одеського району Одеської області </t>
  </si>
  <si>
    <t xml:space="preserve">Управління праці та соціального захисту населення Южненської міської ради Одеського району Одеської області </t>
  </si>
  <si>
    <t>1516030</t>
  </si>
  <si>
    <t>Додаток 4</t>
  </si>
  <si>
    <t xml:space="preserve">Затверджено на 2024 рік   </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</si>
  <si>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</si>
  <si>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</si>
  <si>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</si>
  <si>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</si>
  <si>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</si>
  <si>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</si>
  <si>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</si>
  <si>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</si>
  <si>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Рентна плата за користування надрами загальнодержавного значення</t>
  </si>
  <si>
    <t>місцевого бюджету у 2024 році</t>
  </si>
  <si>
    <t>І. ТРАНФЕРТИ ДО ЗАГАЛЬНОГО ФОНДУ БЮДЖЕТУ</t>
  </si>
  <si>
    <t>ІІ. ТРАНСФЕРТИ ДО СПЕЦІАЛЬНОГО ФОНДУ БЮДЖЕТУ</t>
  </si>
  <si>
    <t>Затверджено на 2024  рік з урахуванням внесених змін</t>
  </si>
  <si>
    <t>Додаток 3</t>
  </si>
  <si>
    <t>Додаток 5</t>
  </si>
  <si>
    <t>0219800</t>
  </si>
  <si>
    <t>Субвенція з місцевого бюджету державному бюджету на виконання програм соціально-економічного розвитку регіонів</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</si>
  <si>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</si>
  <si>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</si>
  <si>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</si>
  <si>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</si>
  <si>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</si>
  <si>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</si>
  <si>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</si>
  <si>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t>Інші заходи, пов'язані з економічною діяльністю</t>
  </si>
  <si>
    <t>Забезпечення збору та вивезення сміття і відходів</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</si>
  <si>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</si>
  <si>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</si>
  <si>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Надання загальної середньої освіти закладами загальної середньої освіти за рахунок коштів місцевого бюджету</t>
  </si>
  <si>
    <t>Інша діяльність у сфері державного управління</t>
  </si>
  <si>
    <t>Інші заходи у сфері зв'язку, телекомунікації та інформатики</t>
  </si>
  <si>
    <t>9800</t>
  </si>
  <si>
    <t>Капітальні трансферти органам державного управління інших рівнів</t>
  </si>
  <si>
    <t>1511021</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</si>
  <si>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</si>
  <si>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</si>
  <si>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2024 рік</t>
  </si>
  <si>
    <t>2020-2024 роки</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</si>
  <si>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</si>
  <si>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</si>
  <si>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2020,2023-2024 роки</t>
  </si>
  <si>
    <t xml:space="preserve">проектні роботи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</si>
  <si>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</si>
  <si>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</si>
  <si>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</si>
  <si>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</si>
  <si>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</si>
  <si>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</si>
  <si>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</si>
  <si>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</si>
  <si>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</si>
  <si>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</si>
  <si>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</si>
  <si>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</si>
  <si>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</si>
  <si>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</si>
  <si>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</si>
  <si>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1517461</t>
  </si>
  <si>
    <t>2019-2024 роки</t>
  </si>
  <si>
    <t>Дотації з місцевих бюджетів іншим місцевим бюджетам</t>
  </si>
  <si>
    <t>Інші дотації з місцевого бюджету</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</si>
  <si>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</si>
  <si>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</si>
  <si>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</si>
  <si>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41057700</t>
  </si>
  <si>
    <t>збільшення у 135 разів</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</si>
  <si>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</si>
  <si>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</si>
  <si>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</si>
  <si>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</si>
  <si>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</si>
  <si>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</si>
  <si>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</si>
  <si>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</si>
  <si>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</si>
  <si>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</si>
  <si>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</si>
  <si>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</si>
  <si>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</si>
  <si>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</si>
  <si>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ВСЬОГО</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</si>
  <si>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</si>
  <si>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</si>
  <si>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</si>
  <si>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</si>
  <si>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</si>
  <si>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</si>
  <si>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</si>
  <si>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Управління архітектури Южненської міської ради Одеського району Одеської області</t>
  </si>
  <si>
    <t>1616014</t>
  </si>
  <si>
    <t>Рішення ЮМР від 07.03.2023 року № 1299-VIIІ з внесеними змінами від 06.06.2024 року № 1732-VIII, шляхом викладення у новій редакції</t>
  </si>
  <si>
    <t>1516012</t>
  </si>
  <si>
    <t>6012</t>
  </si>
  <si>
    <t>Будівництво установ та закладів культури</t>
  </si>
  <si>
    <t>Будівництво інших об'єктів комунальної власності</t>
  </si>
  <si>
    <t>Рішення ЮМР від 22.07.2021 року №480-VIІІ з внесеними змінами від 04.05.2023 року № 1325-VIII,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</si>
  <si>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</si>
  <si>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</si>
  <si>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 xml:space="preserve">Рішення Южненської міської ради від 26.10.2023 року № 1503-VIIІ  з внесеними змінами  від 14.12.2023  року № 1558-VIII, шляхом викладення у новій редакції  </t>
  </si>
  <si>
    <t>Додаток 9</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</si>
  <si>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</si>
  <si>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</si>
  <si>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41050600</t>
  </si>
  <si>
    <t>0218110</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</si>
  <si>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</si>
  <si>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</si>
  <si>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Інші субвенції з місцевого бюджету</t>
  </si>
  <si>
    <t>Програма підвищення ефективності діяльності підрозділів Одеського прикордонного  загону на 2022-2024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</si>
  <si>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</si>
  <si>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Рішення ЮМР від 30.09.2021 року № 604-VIІІ з внесеними змінами  від  29.08.2024 року №   1846 -VIII, шляхом викладення  у новій редакції</t>
  </si>
  <si>
    <t xml:space="preserve">Рішення ЮМР від 01.12.2022 року № 1170-VIІІ з внесеними змінами  від  29.08.2024 року №  1840 -VIII,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</si>
  <si>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</si>
  <si>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Програма з локалізації та ліквідації амброзії полинолистної на території Южненської міської територіальної громади на 2020-2024 роки.</t>
  </si>
  <si>
    <t xml:space="preserve">Рішення ЮМР від 26.10.2023 року №1520-VІIІ з внесеними змінами  від  29.03.2024 року №  1700-VIII, шляхом викладення  у новій редакції   </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</si>
  <si>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</si>
  <si>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</si>
  <si>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</si>
  <si>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</si>
  <si>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 xml:space="preserve">Рішення Южненської міської ради від      29.08.2024 року № 1808 -VIIІ </t>
  </si>
  <si>
    <t>3222</t>
  </si>
  <si>
    <t>0813220</t>
  </si>
  <si>
    <t>1060</t>
  </si>
  <si>
    <t>Охорона та раціональне використання природних ресурсів</t>
  </si>
  <si>
    <t>0511</t>
  </si>
  <si>
    <t>Капітальні трансферти підприємствам (установам, організаціям)</t>
  </si>
  <si>
    <t>0813222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</si>
  <si>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</si>
  <si>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</si>
  <si>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</si>
  <si>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</si>
  <si>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</si>
  <si>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</si>
  <si>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</si>
  <si>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'Забезпечення діяльності з виробництва, транспортування, постачання теплової енергії</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</si>
  <si>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</si>
  <si>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</si>
  <si>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</si>
  <si>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</si>
  <si>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</si>
  <si>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</si>
  <si>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</si>
  <si>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</si>
  <si>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1518110</t>
  </si>
  <si>
    <t>8110</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</si>
  <si>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</si>
  <si>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 xml:space="preserve">Придбання пластикових сміттєприймальних контейнерів, об'ємом 1,1 м³ (2 шт)                                         </t>
  </si>
  <si>
    <t>Разом видатків на поточний рік (загальний фонд)</t>
  </si>
  <si>
    <t>Поточний ремонт вулично-дорожньої мережі по вул.Центральної від села Кошари у напрямку села Любопіль в межах Южненської міської територіальної громади Одеського району Одеської області</t>
  </si>
  <si>
    <t>2719770</t>
  </si>
  <si>
    <t>15327200000</t>
  </si>
  <si>
    <t>до  рішення Південнівської міської ради</t>
  </si>
  <si>
    <t>Виконано за  2024 рік</t>
  </si>
  <si>
    <t>Виконано за 2024 рік</t>
  </si>
  <si>
    <t>Заходи та роботи з територіальної оборони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</si>
  <si>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</si>
  <si>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</si>
  <si>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</si>
  <si>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</si>
  <si>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</si>
  <si>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</si>
  <si>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Розроблення комплексних планів просторового розвитку територій територіальних громад</t>
  </si>
  <si>
    <t>Секретар Південнівської міської ради</t>
  </si>
  <si>
    <t>Виконано за  2024 року</t>
  </si>
  <si>
    <t>Виконано за 2024 року</t>
  </si>
  <si>
    <t>0218240</t>
  </si>
  <si>
    <t>1182</t>
  </si>
  <si>
    <t>1218240</t>
  </si>
  <si>
    <t>Програма створення та розвитку містобудівного кадастру Южненської міської територіальної громади Одеського району Одеської області на 2021-2024 роки</t>
  </si>
  <si>
    <t>Рішення Южненської міської ради  від 29.04.2021 року № 360-VIIІ з внесеними змінами  від   13.12.2024  року №  1978-VIII, шляхом викладення у новій редакції</t>
  </si>
  <si>
    <t>до рішення Південнівської міської ради</t>
  </si>
  <si>
    <t>Фінансування місцевого бюджету за 2024 рік</t>
  </si>
  <si>
    <t>видатків місцевого бюджету за 2024 рік</t>
  </si>
  <si>
    <t>(пункт 1.1)</t>
  </si>
  <si>
    <t xml:space="preserve">Розподіл коштів бюджету розвитку на  2024 рік </t>
  </si>
  <si>
    <t>Загальна тривалість будівництва       (рік початку і закінчення)</t>
  </si>
  <si>
    <t xml:space="preserve">Виконавчий комітет Південнівської міської ради Одеського району Одеської області </t>
  </si>
  <si>
    <t>Управління освіти Южненської міської ради Одеського району Одеської області</t>
  </si>
  <si>
    <t>1216014</t>
  </si>
  <si>
    <t>6014</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</si>
  <si>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</si>
  <si>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</si>
  <si>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</si>
  <si>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</si>
  <si>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</si>
  <si>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у т.ч.</t>
  </si>
  <si>
    <t>Субвенція</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</si>
  <si>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</si>
  <si>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 xml:space="preserve">Реконструкція водопровідного колектору від ВНС до вул.Хіміків м.Южного Одеської області </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</si>
  <si>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</si>
  <si>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</si>
  <si>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</si>
  <si>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</si>
  <si>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</si>
  <si>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</si>
  <si>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1617351</t>
  </si>
  <si>
    <t>7351</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</si>
  <si>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</si>
  <si>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</si>
  <si>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  Перелік об'єктів,  видатки на які проводились за 2024 рік  на природоохоронні заходи  по Южненській міській територіальній громаді</t>
  </si>
  <si>
    <t>Виконання за 2024 рік</t>
  </si>
  <si>
    <t xml:space="preserve">  Перелік об'єктів,  видатки по яких здійснюються за 2024 рік на ремонт доріг комунальної власності</t>
  </si>
  <si>
    <t xml:space="preserve">Рішення ЮМР від 28.10.2022 року           №1092-VIIІ з внесеними змінами  від     13.12.2024 року №  1974-VIII, шляхом викладення  у новій редакції  </t>
  </si>
  <si>
    <t>Рішення ЮМР від 23.08.2023 року № 1431- VIIІ з внесеними змінами від  14.10.2024 року № 1896-VIIІ, шляхом викладення у новій редакції</t>
  </si>
  <si>
    <t xml:space="preserve">Рішення ЮМР від 23.08.2023 року № 1433- VIIІ з внесеними змінами  від  24.12.2024 року №  2030 -VIII, шляхом викладення  у новій редакції  </t>
  </si>
  <si>
    <t>Рішення ЮМР від 26.10.2023 року № 1511-VIIІ з внесеними змінами від 29.03.2024 року №1716-VIII, шляхом викладення у новій редакції</t>
  </si>
  <si>
    <t>Рішення ЮМР від 28.10.2022 року № 1121-VIIІ з внесеними змінами від  14.11.2024 року №  1931-VIII, шляхом викладення у новій редакції</t>
  </si>
  <si>
    <t xml:space="preserve">Рішення ЮМР від 04.03.2022 року № 948-VIІІ з внесеними змінами  від  14.11.2024 року №1933-VIII, шляхом викладення  у новій редакції  </t>
  </si>
  <si>
    <t xml:space="preserve">Рішення ЮМР від 14.12.2023 року № 1567-VIIІ з внесеними змінами  від     29.08.2024 року №1849-VIII, шляхом викладення  у новій редакції  </t>
  </si>
  <si>
    <t>Програма протидії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</si>
  <si>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29.03.2024 року № 1680-VIІІ з внесеними змінами  від  14.11.2024 року № 1932-VIII, шляхом викладення  у новій редакції  </t>
  </si>
  <si>
    <t xml:space="preserve">Рішення ЮМР від 22.09.2022 року № 1078-VIІІ з внесеними змінами  від    14.10.2024 року №  1899-VIII, шляхом викладення  у новій редакції  </t>
  </si>
  <si>
    <t xml:space="preserve">Рішення ЮМР від 23.08.2023 року № 1428-VIІI з внесеними змінами  від  29.08.2024 року №  1812-VIII, шляхом викладення  у новій редакції  </t>
  </si>
  <si>
    <t>Рішення ЮМР від 22.07.2021 року № 476-VІІІ з внесеними змінами від 06.06.2024 року  №1728-VIIІ, шляхом викладення у новій редакції</t>
  </si>
  <si>
    <t xml:space="preserve">Рішення ЮМР від 13.07.2023 року № 1404-VIIІ з внесеними змінами  від  14.11.2024 року №1925 -VIII, шляхом викладення  у новій редакції  </t>
  </si>
  <si>
    <t xml:space="preserve">Рішення ЮМР від 22.07.2021 року № 474-VІІІ з внесеними змінами  від 09.03.2023 року № 1306-VІІІ,  шляхом викладення в новій редакції </t>
  </si>
  <si>
    <t xml:space="preserve">Рішення ЮМР від 13.07.2023 року № 1401-VIІI з внесеними змінами  від  13.12.2024 року № 1972-VIII, шляхом викладення  у новій редакції  </t>
  </si>
  <si>
    <t xml:space="preserve">Рішення ЮМР від 23.12.2021 року  №  900-VIIІ  з внесеними змінами  від  14.11.2024 року №  1930-VIII, шляхом викладення  у новій редакції  </t>
  </si>
  <si>
    <t xml:space="preserve">Рішення ЮМР від 25.07.2019 року №1438-VII  з внесеними змінами  від  13.12.2024 року №  1976-VIII, шляхом викладення  у новій редакції  </t>
  </si>
  <si>
    <t xml:space="preserve">Рішення Южненської міської ради від 18.06.2020  року № 1771-VIIІI,  з внесеними змінами  від  14.12.2023 року № 1578-VIIІI,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</si>
  <si>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</si>
  <si>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Рішення ЮМР від 18.06.2020 року № 1760-VII з внесеними змінами від 24.12.2024 року  № 2025-VIIІ, шляхом викладення у новій редакції</t>
  </si>
  <si>
    <t>Виконання   місцевих  програм, які фінансувались за рахунок коштів  бюджету Южненської міської територіальної громади за 2024 року</t>
  </si>
  <si>
    <t>збільшення у 9,4 рази</t>
  </si>
  <si>
    <t>збільшення у 9,3 разів</t>
  </si>
  <si>
    <t>збільшення у 3,4 рази</t>
  </si>
  <si>
    <t xml:space="preserve">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</si>
  <si>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Кошти, отримані від переможця процедури закупівлі / спрощеної закупівлі під час укладення договору про закупівлю як забезпечення виконання такого договору, які не підлягають поверненню учаснику</t>
  </si>
  <si>
    <t>Субвенція з державного бюджету місцевим бюджетам на забезпечення харчуванням учнів початкових класів закладів загальної середньої освіти</t>
  </si>
  <si>
    <t>401350</t>
  </si>
  <si>
    <t>1037466</t>
  </si>
  <si>
    <t>Інші субвенції з місцевого бюджету  (встановлення когенераційної установки)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</si>
  <si>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</si>
  <si>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41053900</t>
  </si>
  <si>
    <t>Інші субвенції з місцевого бюджету (встановлення когенераційної установки)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</si>
  <si>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</si>
  <si>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Рішення ЮМР від 28.10.2022 року            №1091 -VIIІ з внесеними змінами від  24.12.2024 року   № 2032-VIIІ шляхом викладення у новій редакції</t>
  </si>
  <si>
    <t xml:space="preserve">Секретар Південнівської міської ради       </t>
  </si>
  <si>
    <t xml:space="preserve">до рішення Південнівської міської ради </t>
  </si>
  <si>
    <t>Виконано за            2024 року</t>
  </si>
  <si>
    <t>Виконано              за 2024 рік</t>
  </si>
  <si>
    <t>Виконано             за 2024 рік</t>
  </si>
  <si>
    <t>Виконано                     за  2024 рік</t>
  </si>
  <si>
    <t>Виконано                      за 2024 рік</t>
  </si>
  <si>
    <t>Виконано                          за 2024 рік</t>
  </si>
  <si>
    <t>Виконано                   за 2024 року</t>
  </si>
  <si>
    <t xml:space="preserve"> </t>
  </si>
  <si>
    <t xml:space="preserve">Секретар Південнівської міської ради                                                                                                       Ігор ЧУГУННИКОВ                                                      </t>
  </si>
  <si>
    <r>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t>
    </r>
    <r>
      <rPr>
        <u/>
        <sz val="11"/>
        <color theme="1"/>
        <rFont val="Times New Roman"/>
        <family val="1"/>
        <charset val="204"/>
      </rPr>
      <t>пунктів 11 - 14</t>
    </r>
    <r>
      <rPr>
        <sz val="11"/>
        <color theme="1"/>
        <rFont val="Times New Roman"/>
        <family val="1"/>
        <charset val="204"/>
      </rPr>
      <t> частини другої статті 7 або учасниками бойових дій відповідно до </t>
    </r>
    <r>
      <rPr>
        <u/>
        <sz val="11"/>
        <color theme="1"/>
        <rFont val="Times New Roman"/>
        <family val="1"/>
        <charset val="204"/>
      </rPr>
      <t>пунктів 19 - 21</t>
    </r>
    <r>
      <rPr>
        <sz val="11"/>
        <color theme="1"/>
        <rFont val="Times New Roman"/>
        <family val="1"/>
        <charset val="204"/>
      </rPr>
      <t> частини першої статті 6 Закону України "Про статус ветеранів війни, гарантії їх соціального захисту", та які потребують поліпшення житлових умов</t>
    </r>
  </si>
  <si>
    <t xml:space="preserve">від 06.03.2025 року </t>
  </si>
  <si>
    <t>№ 2142-VIII</t>
  </si>
  <si>
    <t xml:space="preserve">Рішення ЮМР від 22.07.2021 року № 470-VІІІ з внесеними змінами  від  06.03.2025 року № 2080-VIII, шляхом викладення  у новій редакції  </t>
  </si>
  <si>
    <t>Додаток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</si>
</sst>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0;#,&quot;-&quot;"/>
    <numFmt numFmtId="165" formatCode="_-* #,##0.00\ _г_р_н_._-;\-* #,##0.00\ _г_р_н_._-;_-* &quot;-&quot;??\ _г_р_н_._-;_-@_-"/>
    <numFmt numFmtId="166" formatCode="_-* #,##0\ _г_р_н_._-;\-* #,##0\ _г_р_н_._-;_-* &quot;-&quot;??\ _г_р_н_._-;_-@_-"/>
    <numFmt numFmtId="167" formatCode="0.0%"/>
    <numFmt numFmtId="168" formatCode="#,##0.00;\-#,##0.00;#,&quot;-&quot;"/>
    <numFmt numFmtId="169" formatCode="_-* #,##0.00\ &quot;грн.&quot;_-;\-* #,##0.00\ &quot;грн.&quot;_-;_-* &quot;-&quot;??\ &quot;грн.&quot;_-;_-@_-"/>
    <numFmt numFmtId="170" formatCode="#,##0.0"/>
    <numFmt numFmtId="171" formatCode="#,##0.0;\-#,##0.0;#.0,&quot;-&quot;"/>
    <numFmt numFmtId="172" formatCode="#,##0_ ;\-#,##0\ "/>
    <numFmt numFmtId="173" formatCode="#,##0.0_ ;\-#,##0.0\ "/>
    <numFmt numFmtId="174" formatCode="0.0"/>
    <numFmt numFmtId="175" formatCode="_-* #,##0.0\ _₽_-;\-* #,##0.0\ _₽_-;_-* &quot;-&quot;?\ _₽_-;_-@_-"/>
    <numFmt numFmtId="176" formatCode="_-* #,##0\ _₽_-;\-* #,##0\ _₽_-;_-* &quot;-&quot;?\ _₽_-;_-@_-"/>
  </numFmts>
  <fonts count="64"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b/>
      <i/>
      <sz val="12"/>
      <name val="Times New Roman"/>
      <family val="1"/>
      <charset val="204"/>
    </font>
    <font>
      <b/>
      <sz val="16"/>
      <color indexed="8"/>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sz val="11"/>
      <name val="Arial"/>
      <family val="2"/>
      <charset val="204"/>
    </font>
    <font>
      <b/>
      <sz val="10"/>
      <name val="Arial Cyr"/>
      <charset val="204"/>
    </font>
    <font>
      <sz val="10"/>
      <color theme="0"/>
      <name val="Calibri"/>
      <family val="2"/>
      <charset val="204"/>
      <scheme val="minor"/>
    </font>
    <font>
      <sz val="14"/>
      <color rgb="FF333333"/>
      <name val="Times New Roman"/>
      <family val="1"/>
      <charset val="204"/>
    </font>
    <font>
      <b/>
      <i/>
      <sz val="16"/>
      <name val="Times New Roman"/>
      <family val="1"/>
      <charset val="204"/>
    </font>
    <font>
      <b/>
      <sz val="13.5"/>
      <name val="Arial"/>
      <family val="2"/>
      <charset val="204"/>
    </font>
    <font>
      <sz val="10"/>
      <color rgb="FF333333"/>
      <name val="Times New Roman"/>
      <family val="1"/>
      <charset val="204"/>
    </font>
    <font>
      <sz val="16"/>
      <color rgb="FF333333"/>
      <name val="Times New Roman"/>
      <family val="1"/>
      <charset val="204"/>
    </font>
    <font>
      <sz val="16"/>
      <color rgb="FF000000"/>
      <name val="Times New Roman"/>
      <family val="1"/>
      <charset val="204"/>
    </font>
    <font>
      <i/>
      <sz val="10"/>
      <name val="Times New Roman"/>
      <family val="1"/>
      <charset val="204"/>
    </font>
    <font>
      <b/>
      <sz val="12"/>
      <color rgb="FF333333"/>
      <name val="Times New Roman"/>
      <family val="1"/>
      <charset val="204"/>
    </font>
    <font>
      <sz val="8"/>
      <name val="Times New Roman"/>
      <family val="1"/>
      <charset val="204"/>
    </font>
    <font>
      <b/>
      <sz val="10"/>
      <name val="Times New Roman"/>
      <family val="1"/>
      <charset val="204"/>
    </font>
    <font>
      <b/>
      <sz val="14"/>
      <color indexed="8"/>
      <name val="Times New Roman"/>
      <family val="1"/>
      <charset val="204"/>
    </font>
    <font>
      <sz val="13"/>
      <color theme="1"/>
      <name val="Times New Roman"/>
      <family val="1"/>
      <charset val="204"/>
    </font>
    <font>
      <b/>
      <sz val="8"/>
      <color theme="1"/>
      <name val="Times New Roman"/>
      <family val="1"/>
      <charset val="204"/>
    </font>
    <font>
      <u/>
      <sz val="11"/>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7">
    <xf numFmtId="0" fontId="0" fillId="0" borderId="0"/>
    <xf numFmtId="165"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69" fontId="10" fillId="0" borderId="0" applyFont="0" applyFill="0" applyBorder="0" applyAlignment="0" applyProtection="0"/>
    <xf numFmtId="9" fontId="11" fillId="0" borderId="0" applyFont="0" applyFill="0" applyBorder="0" applyAlignment="0" applyProtection="0"/>
  </cellStyleXfs>
  <cellXfs count="1280">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vertical="center"/>
    </xf>
    <xf numFmtId="164" fontId="6" fillId="2" borderId="15" xfId="0" applyNumberFormat="1" applyFont="1" applyFill="1" applyBorder="1" applyAlignment="1">
      <alignment horizontal="right" vertical="center"/>
    </xf>
    <xf numFmtId="164" fontId="5" fillId="0" borderId="1"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0" fontId="1" fillId="0" borderId="0" xfId="0" applyFont="1"/>
    <xf numFmtId="0" fontId="8" fillId="0" borderId="0" xfId="0" applyFont="1"/>
    <xf numFmtId="0" fontId="6" fillId="0" borderId="0" xfId="0" applyFont="1"/>
    <xf numFmtId="49" fontId="5" fillId="0" borderId="1" xfId="0" applyNumberFormat="1" applyFont="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164"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9" fontId="7" fillId="0" borderId="0" xfId="0" applyNumberFormat="1" applyFont="1" applyAlignment="1">
      <alignment vertical="center"/>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0" fontId="13" fillId="0" borderId="0" xfId="0" applyFont="1"/>
    <xf numFmtId="0" fontId="26" fillId="0" borderId="0" xfId="0" applyFont="1"/>
    <xf numFmtId="166" fontId="19" fillId="0" borderId="0" xfId="0" applyNumberFormat="1" applyFont="1"/>
    <xf numFmtId="0" fontId="19" fillId="0" borderId="0" xfId="0" applyFont="1" applyAlignment="1">
      <alignment horizontal="right" vertical="center"/>
    </xf>
    <xf numFmtId="0" fontId="7" fillId="2" borderId="0" xfId="0" applyFont="1" applyFill="1" applyAlignment="1">
      <alignment vertical="center"/>
    </xf>
    <xf numFmtId="49" fontId="5" fillId="2" borderId="12" xfId="0" applyNumberFormat="1"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164" fontId="33" fillId="2" borderId="1" xfId="0" applyNumberFormat="1" applyFont="1" applyFill="1" applyBorder="1" applyAlignment="1">
      <alignment horizontal="right" vertical="center"/>
    </xf>
    <xf numFmtId="164" fontId="3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15" fillId="0" borderId="0" xfId="0" applyFont="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33" fillId="2" borderId="16" xfId="0" applyNumberFormat="1" applyFont="1" applyFill="1" applyBorder="1" applyAlignment="1">
      <alignment horizontal="right"/>
    </xf>
    <xf numFmtId="0" fontId="7" fillId="0" borderId="0" xfId="0" applyFont="1" applyAlignment="1">
      <alignment vertical="top"/>
    </xf>
    <xf numFmtId="0" fontId="35" fillId="0" borderId="0" xfId="0" applyFont="1" applyAlignment="1">
      <alignment horizontal="left" vertical="center"/>
    </xf>
    <xf numFmtId="0" fontId="7" fillId="0" borderId="0" xfId="0" applyFont="1" applyAlignment="1">
      <alignment horizontal="left" vertical="center" wrapText="1"/>
    </xf>
    <xf numFmtId="3" fontId="35" fillId="0" borderId="0" xfId="0" applyNumberFormat="1" applyFont="1" applyAlignment="1">
      <alignment horizontal="left" vertical="center"/>
    </xf>
    <xf numFmtId="2" fontId="7" fillId="0" borderId="0" xfId="0" applyNumberFormat="1" applyFont="1" applyAlignment="1">
      <alignment horizontal="left" vertical="center"/>
    </xf>
    <xf numFmtId="0" fontId="30" fillId="0" borderId="0" xfId="0" applyFont="1"/>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7"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5" fillId="0" borderId="1" xfId="0" applyFont="1" applyBorder="1" applyAlignment="1">
      <alignment horizontal="left"/>
    </xf>
    <xf numFmtId="49" fontId="6" fillId="0" borderId="11" xfId="0" applyNumberFormat="1" applyFont="1" applyBorder="1" applyAlignment="1">
      <alignment horizontal="center" vertical="center"/>
    </xf>
    <xf numFmtId="0" fontId="6" fillId="0" borderId="12" xfId="0" applyFont="1" applyBorder="1" applyAlignment="1">
      <alignment horizontal="centerContinuous" vertical="center"/>
    </xf>
    <xf numFmtId="0" fontId="7" fillId="0" borderId="3" xfId="0" applyFont="1" applyBorder="1" applyAlignment="1">
      <alignment horizontal="center" wrapText="1"/>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6" fillId="0" borderId="0" xfId="0" applyFont="1" applyAlignment="1">
      <alignment horizontal="left"/>
    </xf>
    <xf numFmtId="0" fontId="13" fillId="0" borderId="0" xfId="0" applyFont="1" applyAlignment="1">
      <alignment horizontal="left" wrapText="1"/>
    </xf>
    <xf numFmtId="3" fontId="26" fillId="0" borderId="0" xfId="0" applyNumberFormat="1" applyFont="1" applyAlignment="1">
      <alignment horizontal="left"/>
    </xf>
    <xf numFmtId="2" fontId="13" fillId="0" borderId="0" xfId="0" applyNumberFormat="1" applyFont="1" applyAlignment="1">
      <alignment horizontal="left"/>
    </xf>
    <xf numFmtId="0" fontId="31" fillId="0" borderId="0" xfId="0" applyFont="1"/>
    <xf numFmtId="0" fontId="32" fillId="0" borderId="0" xfId="0" applyFont="1"/>
    <xf numFmtId="0" fontId="38" fillId="0" borderId="0" xfId="0" applyFont="1"/>
    <xf numFmtId="49" fontId="7" fillId="0" borderId="0" xfId="0" applyNumberFormat="1" applyFont="1"/>
    <xf numFmtId="0" fontId="7" fillId="2" borderId="0" xfId="0" applyFont="1" applyFill="1"/>
    <xf numFmtId="0" fontId="39"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5" fillId="0" borderId="14" xfId="0" applyFont="1" applyBorder="1" applyAlignment="1">
      <alignment horizontal="center" vertical="center"/>
    </xf>
    <xf numFmtId="49" fontId="35" fillId="3" borderId="32" xfId="0" applyNumberFormat="1" applyFont="1" applyFill="1" applyBorder="1" applyAlignment="1">
      <alignment horizontal="center" vertical="center" wrapText="1"/>
    </xf>
    <xf numFmtId="49" fontId="35" fillId="0" borderId="32" xfId="0" applyNumberFormat="1" applyFont="1" applyBorder="1" applyAlignment="1">
      <alignment horizontal="center" vertical="center"/>
    </xf>
    <xf numFmtId="0" fontId="35" fillId="0" borderId="1" xfId="0" applyFont="1" applyBorder="1" applyAlignment="1">
      <alignment horizontal="left" vertical="center" wrapText="1"/>
    </xf>
    <xf numFmtId="0" fontId="40" fillId="0" borderId="15" xfId="0" applyFont="1" applyBorder="1" applyAlignment="1">
      <alignment horizontal="center" vertical="center" wrapText="1"/>
    </xf>
    <xf numFmtId="0" fontId="26"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0" fillId="0" borderId="0" xfId="0" applyFont="1" applyAlignment="1">
      <alignment horizontal="center" vertical="center" wrapText="1"/>
    </xf>
    <xf numFmtId="0" fontId="26" fillId="0" borderId="0" xfId="0" applyFont="1" applyAlignment="1">
      <alignment horizontal="center" vertical="center" wrapText="1"/>
    </xf>
    <xf numFmtId="3" fontId="13" fillId="0" borderId="0" xfId="0" applyNumberFormat="1" applyFont="1" applyAlignment="1">
      <alignment horizontal="center" vertical="center" wrapText="1"/>
    </xf>
    <xf numFmtId="164" fontId="6" fillId="2" borderId="3" xfId="0" applyNumberFormat="1" applyFont="1" applyFill="1" applyBorder="1" applyAlignment="1">
      <alignment horizontal="right" vertical="center"/>
    </xf>
    <xf numFmtId="164" fontId="5" fillId="2" borderId="3" xfId="0" applyNumberFormat="1" applyFont="1" applyFill="1" applyBorder="1" applyAlignment="1">
      <alignment horizontal="right" vertical="center"/>
    </xf>
    <xf numFmtId="164" fontId="8" fillId="2" borderId="3" xfId="0" applyNumberFormat="1" applyFont="1" applyFill="1" applyBorder="1" applyAlignment="1">
      <alignment horizontal="right" vertical="center"/>
    </xf>
    <xf numFmtId="164" fontId="33" fillId="2" borderId="3" xfId="0" applyNumberFormat="1" applyFont="1" applyFill="1" applyBorder="1" applyAlignment="1">
      <alignment horizontal="right" vertical="center"/>
    </xf>
    <xf numFmtId="164" fontId="5" fillId="2" borderId="44" xfId="0" applyNumberFormat="1" applyFont="1" applyFill="1" applyBorder="1" applyAlignment="1">
      <alignment horizontal="right" vertical="center"/>
    </xf>
    <xf numFmtId="164" fontId="33" fillId="2" borderId="50" xfId="0" applyNumberFormat="1" applyFont="1" applyFill="1" applyBorder="1" applyAlignment="1">
      <alignment horizontal="right"/>
    </xf>
    <xf numFmtId="164" fontId="8" fillId="2" borderId="1" xfId="0" applyNumberFormat="1" applyFont="1" applyFill="1" applyBorder="1" applyAlignment="1">
      <alignment horizontal="right" vertical="center"/>
    </xf>
    <xf numFmtId="164"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164" fontId="6" fillId="2" borderId="15" xfId="0" applyNumberFormat="1" applyFont="1" applyFill="1" applyBorder="1" applyAlignment="1">
      <alignment horizontal="center" vertical="center" wrapText="1"/>
    </xf>
    <xf numFmtId="164" fontId="5" fillId="2" borderId="27" xfId="0" applyNumberFormat="1" applyFont="1" applyFill="1" applyBorder="1" applyAlignment="1">
      <alignment horizontal="right" vertical="center"/>
    </xf>
    <xf numFmtId="164" fontId="5" fillId="2" borderId="12"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7" fontId="5" fillId="2" borderId="15" xfId="0" applyNumberFormat="1" applyFont="1" applyFill="1" applyBorder="1" applyAlignment="1">
      <alignment horizontal="center" vertical="center" wrapText="1"/>
    </xf>
    <xf numFmtId="167" fontId="5" fillId="2" borderId="18" xfId="0"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167" fontId="5" fillId="2" borderId="12" xfId="0" applyNumberFormat="1" applyFont="1" applyFill="1" applyBorder="1" applyAlignment="1">
      <alignment horizontal="center" vertical="center" wrapText="1"/>
    </xf>
    <xf numFmtId="164" fontId="8" fillId="2"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8" fillId="2" borderId="12" xfId="0" applyNumberFormat="1" applyFont="1" applyFill="1" applyBorder="1" applyAlignment="1">
      <alignment horizontal="right" vertical="center" wrapText="1"/>
    </xf>
    <xf numFmtId="164" fontId="5" fillId="2" borderId="12" xfId="0" applyNumberFormat="1" applyFont="1" applyFill="1" applyBorder="1" applyAlignment="1">
      <alignment horizontal="right" vertical="center" wrapText="1"/>
    </xf>
    <xf numFmtId="164" fontId="5" fillId="2" borderId="18" xfId="0" applyNumberFormat="1" applyFont="1" applyFill="1" applyBorder="1" applyAlignment="1">
      <alignment horizontal="right" vertical="center" wrapText="1"/>
    </xf>
    <xf numFmtId="167" fontId="5" fillId="2" borderId="16" xfId="0" applyNumberFormat="1" applyFont="1" applyFill="1" applyBorder="1" applyAlignment="1">
      <alignment horizontal="center" vertical="center" wrapText="1"/>
    </xf>
    <xf numFmtId="0" fontId="43" fillId="2" borderId="0" xfId="0" applyFont="1" applyFill="1" applyAlignment="1">
      <alignment horizontal="center" vertical="center"/>
    </xf>
    <xf numFmtId="0" fontId="43" fillId="2" borderId="0" xfId="0" applyFont="1" applyFill="1"/>
    <xf numFmtId="0" fontId="43" fillId="2" borderId="0" xfId="0" applyFont="1" applyFill="1" applyAlignment="1">
      <alignment horizontal="right"/>
    </xf>
    <xf numFmtId="4" fontId="43" fillId="2" borderId="0" xfId="0" applyNumberFormat="1" applyFont="1" applyFill="1"/>
    <xf numFmtId="4" fontId="43"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0" fontId="39" fillId="0" borderId="0" xfId="0" applyFont="1" applyAlignment="1">
      <alignment horizontal="center"/>
    </xf>
    <xf numFmtId="0" fontId="7" fillId="0" borderId="1" xfId="0" applyFont="1" applyBorder="1" applyAlignment="1">
      <alignment horizontal="right"/>
    </xf>
    <xf numFmtId="9" fontId="7" fillId="0" borderId="10" xfId="0" applyNumberFormat="1" applyFont="1" applyBorder="1" applyAlignment="1">
      <alignment horizontal="right"/>
    </xf>
    <xf numFmtId="3" fontId="35" fillId="0" borderId="50" xfId="0" applyNumberFormat="1" applyFont="1" applyBorder="1" applyAlignment="1">
      <alignment horizontal="right" wrapText="1"/>
    </xf>
    <xf numFmtId="3" fontId="7" fillId="0" borderId="3" xfId="0" applyNumberFormat="1" applyFont="1" applyBorder="1" applyAlignment="1">
      <alignment horizontal="right" wrapText="1"/>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3" fillId="0" borderId="53" xfId="0" applyNumberFormat="1" applyFont="1" applyBorder="1" applyAlignment="1">
      <alignment horizontal="right" wrapText="1"/>
    </xf>
    <xf numFmtId="9" fontId="43"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9" fontId="7" fillId="0" borderId="19" xfId="0" applyNumberFormat="1" applyFont="1" applyBorder="1" applyAlignment="1">
      <alignment horizontal="right"/>
    </xf>
    <xf numFmtId="9" fontId="35" fillId="0" borderId="16" xfId="0" applyNumberFormat="1" applyFont="1" applyBorder="1" applyAlignment="1">
      <alignment horizontal="right"/>
    </xf>
    <xf numFmtId="49" fontId="9" fillId="0" borderId="0" xfId="0" applyNumberFormat="1" applyFont="1" applyAlignment="1">
      <alignment vertical="center"/>
    </xf>
    <xf numFmtId="0" fontId="9" fillId="0" borderId="0" xfId="0" applyFont="1" applyAlignment="1">
      <alignment horizontal="right" vertical="center"/>
    </xf>
    <xf numFmtId="0" fontId="7" fillId="3" borderId="0" xfId="0" applyFont="1" applyFill="1" applyAlignment="1">
      <alignment horizontal="right" vertical="center"/>
    </xf>
    <xf numFmtId="167" fontId="9" fillId="0" borderId="0" xfId="0" applyNumberFormat="1" applyFont="1" applyAlignment="1">
      <alignment horizontal="right" vertical="center"/>
    </xf>
    <xf numFmtId="0" fontId="7" fillId="0" borderId="2" xfId="0" applyFont="1" applyBorder="1" applyAlignment="1">
      <alignment horizontal="right" vertical="center"/>
    </xf>
    <xf numFmtId="0" fontId="7" fillId="3" borderId="2" xfId="0" applyFont="1" applyFill="1" applyBorder="1" applyAlignment="1">
      <alignment horizontal="right" vertical="center"/>
    </xf>
    <xf numFmtId="0" fontId="7" fillId="0" borderId="4" xfId="0" applyFont="1" applyBorder="1" applyAlignment="1">
      <alignment horizontal="right" vertical="center"/>
    </xf>
    <xf numFmtId="0" fontId="7" fillId="3" borderId="4" xfId="0" applyFont="1" applyFill="1" applyBorder="1" applyAlignment="1">
      <alignment horizontal="right" vertical="center"/>
    </xf>
    <xf numFmtId="0" fontId="9" fillId="3" borderId="0" xfId="0" applyFont="1" applyFill="1" applyAlignment="1">
      <alignment horizontal="right" vertical="center"/>
    </xf>
    <xf numFmtId="0" fontId="7" fillId="0" borderId="0" xfId="0" applyFont="1" applyAlignment="1">
      <alignment horizontal="right"/>
    </xf>
    <xf numFmtId="0" fontId="7" fillId="0" borderId="2" xfId="0" applyFont="1" applyBorder="1" applyAlignment="1">
      <alignment horizontal="right"/>
    </xf>
    <xf numFmtId="0" fontId="7" fillId="0" borderId="4" xfId="0" applyFont="1" applyBorder="1" applyAlignment="1">
      <alignment horizontal="right"/>
    </xf>
    <xf numFmtId="0" fontId="39" fillId="0" borderId="0" xfId="0" applyFont="1" applyAlignment="1">
      <alignment vertical="center"/>
    </xf>
    <xf numFmtId="0" fontId="39" fillId="0" borderId="0" xfId="0" applyFont="1" applyAlignment="1">
      <alignment horizontal="right" vertical="center"/>
    </xf>
    <xf numFmtId="167" fontId="39" fillId="0" borderId="0" xfId="0" applyNumberFormat="1" applyFont="1" applyAlignment="1">
      <alignment horizontal="right" vertical="center"/>
    </xf>
    <xf numFmtId="0" fontId="13" fillId="0" borderId="0" xfId="0" applyFont="1" applyAlignment="1">
      <alignment horizontal="right" vertical="center"/>
    </xf>
    <xf numFmtId="0" fontId="7" fillId="0" borderId="21" xfId="0" applyFont="1" applyBorder="1" applyAlignment="1">
      <alignment horizontal="center" vertical="center" wrapText="1"/>
    </xf>
    <xf numFmtId="167" fontId="7" fillId="0" borderId="29" xfId="0" applyNumberFormat="1" applyFont="1" applyBorder="1" applyAlignment="1">
      <alignment horizontal="center" vertical="center" wrapText="1"/>
    </xf>
    <xf numFmtId="0" fontId="39" fillId="0" borderId="15" xfId="0"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horizontal="left" vertical="center" wrapText="1"/>
    </xf>
    <xf numFmtId="0" fontId="15" fillId="0" borderId="15" xfId="0" applyFont="1" applyBorder="1" applyAlignment="1">
      <alignment vertical="center" wrapText="1"/>
    </xf>
    <xf numFmtId="3" fontId="15" fillId="0" borderId="15" xfId="0" applyNumberFormat="1" applyFont="1" applyBorder="1" applyAlignment="1">
      <alignment horizontal="right" vertical="center"/>
    </xf>
    <xf numFmtId="167" fontId="15" fillId="0" borderId="16" xfId="0" applyNumberFormat="1" applyFont="1" applyBorder="1" applyAlignment="1">
      <alignment horizontal="right" vertical="center"/>
    </xf>
    <xf numFmtId="49" fontId="45" fillId="0" borderId="14" xfId="0" applyNumberFormat="1" applyFont="1" applyBorder="1" applyAlignment="1">
      <alignment horizontal="center" vertical="center"/>
    </xf>
    <xf numFmtId="49" fontId="45" fillId="0" borderId="15" xfId="0" applyNumberFormat="1" applyFont="1" applyBorder="1" applyAlignment="1">
      <alignment horizontal="center" vertical="center"/>
    </xf>
    <xf numFmtId="0" fontId="45" fillId="0" borderId="15" xfId="0" applyFont="1" applyBorder="1" applyAlignment="1">
      <alignment horizontal="left" vertical="center" wrapText="1"/>
    </xf>
    <xf numFmtId="0" fontId="45" fillId="0" borderId="15" xfId="0" applyFont="1" applyBorder="1" applyAlignment="1">
      <alignment horizontal="center" vertical="center" wrapText="1"/>
    </xf>
    <xf numFmtId="3" fontId="45" fillId="0" borderId="15" xfId="0" applyNumberFormat="1" applyFont="1" applyBorder="1" applyAlignment="1">
      <alignment horizontal="right" vertical="center" wrapText="1"/>
    </xf>
    <xf numFmtId="167" fontId="45" fillId="0" borderId="16" xfId="0" applyNumberFormat="1" applyFont="1" applyBorder="1" applyAlignment="1">
      <alignment horizontal="right" vertical="center"/>
    </xf>
    <xf numFmtId="0" fontId="39" fillId="2" borderId="1" xfId="0" quotePrefix="1" applyFont="1" applyFill="1" applyBorder="1" applyAlignment="1">
      <alignment vertical="center" wrapText="1"/>
    </xf>
    <xf numFmtId="3" fontId="39" fillId="2" borderId="18" xfId="0" applyNumberFormat="1" applyFont="1" applyFill="1" applyBorder="1" applyAlignment="1">
      <alignment horizontal="right" vertical="center"/>
    </xf>
    <xf numFmtId="167" fontId="39" fillId="2" borderId="19" xfId="0" applyNumberFormat="1" applyFont="1" applyFill="1" applyBorder="1" applyAlignment="1">
      <alignment horizontal="right" vertical="center"/>
    </xf>
    <xf numFmtId="49" fontId="39" fillId="0" borderId="18" xfId="0" applyNumberFormat="1" applyFont="1" applyBorder="1" applyAlignment="1">
      <alignment horizontal="center" vertical="center"/>
    </xf>
    <xf numFmtId="49" fontId="39" fillId="0" borderId="9" xfId="0" applyNumberFormat="1" applyFont="1" applyBorder="1" applyAlignment="1">
      <alignment horizontal="center" vertical="center"/>
    </xf>
    <xf numFmtId="49" fontId="39" fillId="0" borderId="1" xfId="0" applyNumberFormat="1" applyFont="1" applyBorder="1" applyAlignment="1">
      <alignment horizontal="center" vertical="center"/>
    </xf>
    <xf numFmtId="3" fontId="39" fillId="2" borderId="1" xfId="0" applyNumberFormat="1" applyFont="1" applyFill="1" applyBorder="1" applyAlignment="1">
      <alignment horizontal="right" vertical="center"/>
    </xf>
    <xf numFmtId="0" fontId="35" fillId="0" borderId="0" xfId="0" applyFont="1" applyAlignment="1">
      <alignment vertical="center"/>
    </xf>
    <xf numFmtId="9" fontId="39" fillId="2" borderId="19" xfId="0" applyNumberFormat="1" applyFont="1" applyFill="1" applyBorder="1" applyAlignment="1">
      <alignment horizontal="right" vertical="center"/>
    </xf>
    <xf numFmtId="49" fontId="39" fillId="2" borderId="9" xfId="0" applyNumberFormat="1" applyFont="1" applyFill="1" applyBorder="1" applyAlignment="1">
      <alignment horizontal="center" vertical="center"/>
    </xf>
    <xf numFmtId="167" fontId="39" fillId="2" borderId="10" xfId="0" applyNumberFormat="1" applyFont="1" applyFill="1" applyBorder="1" applyAlignment="1">
      <alignment horizontal="right" vertical="center"/>
    </xf>
    <xf numFmtId="49" fontId="45" fillId="0" borderId="15" xfId="0" applyNumberFormat="1" applyFont="1" applyBorder="1" applyAlignment="1">
      <alignment horizontal="left" vertical="center"/>
    </xf>
    <xf numFmtId="0" fontId="16" fillId="0" borderId="15" xfId="0" applyFont="1" applyBorder="1" applyAlignment="1">
      <alignment horizontal="left" vertical="center" wrapText="1"/>
    </xf>
    <xf numFmtId="167" fontId="45" fillId="2" borderId="16" xfId="0" applyNumberFormat="1" applyFont="1" applyFill="1" applyBorder="1" applyAlignment="1">
      <alignment horizontal="right" vertical="center"/>
    </xf>
    <xf numFmtId="3" fontId="39" fillId="0" borderId="27" xfId="0" applyNumberFormat="1" applyFont="1" applyBorder="1" applyAlignment="1">
      <alignment horizontal="right" vertical="center"/>
    </xf>
    <xf numFmtId="3" fontId="39" fillId="3" borderId="27" xfId="0" applyNumberFormat="1" applyFont="1" applyFill="1" applyBorder="1" applyAlignment="1">
      <alignment horizontal="right" vertical="center"/>
    </xf>
    <xf numFmtId="3" fontId="39" fillId="0" borderId="1" xfId="0" applyNumberFormat="1" applyFont="1" applyBorder="1" applyAlignment="1">
      <alignment horizontal="right" vertical="center"/>
    </xf>
    <xf numFmtId="3" fontId="39" fillId="0" borderId="1" xfId="0" applyNumberFormat="1" applyFont="1" applyBorder="1" applyAlignment="1">
      <alignment horizontal="right" vertical="center" wrapText="1"/>
    </xf>
    <xf numFmtId="3" fontId="45" fillId="2" borderId="1" xfId="0" applyNumberFormat="1" applyFont="1" applyFill="1" applyBorder="1" applyAlignment="1">
      <alignment horizontal="right" vertical="center"/>
    </xf>
    <xf numFmtId="9" fontId="39" fillId="2" borderId="10" xfId="0" applyNumberFormat="1" applyFont="1" applyFill="1" applyBorder="1" applyAlignment="1">
      <alignment horizontal="right" vertical="center"/>
    </xf>
    <xf numFmtId="3" fontId="39" fillId="0" borderId="18" xfId="0" applyNumberFormat="1" applyFont="1" applyBorder="1" applyAlignment="1">
      <alignment horizontal="right" vertical="center"/>
    </xf>
    <xf numFmtId="49" fontId="15" fillId="0" borderId="15" xfId="0" applyNumberFormat="1" applyFont="1" applyBorder="1" applyAlignment="1">
      <alignment horizontal="center" vertical="center" wrapText="1"/>
    </xf>
    <xf numFmtId="167" fontId="15" fillId="2" borderId="16" xfId="0" applyNumberFormat="1" applyFont="1" applyFill="1" applyBorder="1" applyAlignment="1">
      <alignment horizontal="right" vertical="center"/>
    </xf>
    <xf numFmtId="49" fontId="45" fillId="0" borderId="15" xfId="0" applyNumberFormat="1" applyFont="1" applyBorder="1" applyAlignment="1">
      <alignment horizontal="center" vertical="center" wrapText="1"/>
    </xf>
    <xf numFmtId="0" fontId="45" fillId="0" borderId="15" xfId="0" applyFont="1" applyBorder="1" applyAlignment="1">
      <alignment vertical="center" wrapText="1"/>
    </xf>
    <xf numFmtId="3" fontId="45" fillId="0" borderId="15" xfId="0" applyNumberFormat="1" applyFont="1" applyBorder="1" applyAlignment="1">
      <alignment horizontal="right" vertical="center"/>
    </xf>
    <xf numFmtId="3" fontId="39" fillId="0" borderId="12" xfId="0" applyNumberFormat="1" applyFont="1" applyBorder="1" applyAlignment="1">
      <alignment horizontal="right" vertical="center"/>
    </xf>
    <xf numFmtId="3" fontId="15" fillId="3" borderId="15" xfId="0" applyNumberFormat="1" applyFont="1" applyFill="1" applyBorder="1" applyAlignment="1">
      <alignment horizontal="right" vertical="center"/>
    </xf>
    <xf numFmtId="9" fontId="15" fillId="2" borderId="16" xfId="0" applyNumberFormat="1" applyFont="1" applyFill="1" applyBorder="1" applyAlignment="1">
      <alignment horizontal="right" vertical="center"/>
    </xf>
    <xf numFmtId="3" fontId="45" fillId="3" borderId="15" xfId="0" applyNumberFormat="1" applyFont="1" applyFill="1" applyBorder="1" applyAlignment="1">
      <alignment horizontal="right" vertical="center"/>
    </xf>
    <xf numFmtId="9" fontId="45" fillId="2" borderId="16" xfId="0" applyNumberFormat="1" applyFont="1" applyFill="1" applyBorder="1" applyAlignment="1">
      <alignment horizontal="right" vertical="center"/>
    </xf>
    <xf numFmtId="9" fontId="39" fillId="2" borderId="28" xfId="0" applyNumberFormat="1" applyFont="1" applyFill="1" applyBorder="1" applyAlignment="1">
      <alignment horizontal="right" vertical="center"/>
    </xf>
    <xf numFmtId="0" fontId="13" fillId="3" borderId="0" xfId="0" applyFont="1" applyFill="1" applyAlignment="1">
      <alignment vertical="center"/>
    </xf>
    <xf numFmtId="3" fontId="15" fillId="0" borderId="15" xfId="0" applyNumberFormat="1" applyFont="1" applyBorder="1" applyAlignment="1">
      <alignment horizontal="right" vertical="center" wrapText="1"/>
    </xf>
    <xf numFmtId="3" fontId="39" fillId="0" borderId="18" xfId="0" applyNumberFormat="1" applyFont="1" applyBorder="1" applyAlignment="1">
      <alignment horizontal="right" vertical="center" wrapText="1"/>
    </xf>
    <xf numFmtId="3" fontId="39" fillId="3" borderId="1" xfId="0" applyNumberFormat="1" applyFont="1" applyFill="1" applyBorder="1" applyAlignment="1">
      <alignment horizontal="right" vertical="center"/>
    </xf>
    <xf numFmtId="0" fontId="39" fillId="0" borderId="1" xfId="0" applyFont="1" applyBorder="1" applyAlignment="1">
      <alignment vertical="center" wrapText="1"/>
    </xf>
    <xf numFmtId="3" fontId="15" fillId="2" borderId="15" xfId="0" applyNumberFormat="1" applyFont="1" applyFill="1" applyBorder="1" applyAlignment="1">
      <alignment horizontal="right" vertical="center"/>
    </xf>
    <xf numFmtId="0" fontId="39" fillId="0" borderId="0" xfId="0" applyFont="1" applyAlignment="1">
      <alignment horizontal="center" vertical="center"/>
    </xf>
    <xf numFmtId="49" fontId="32" fillId="0" borderId="0" xfId="0" applyNumberFormat="1" applyFont="1" applyAlignment="1">
      <alignment horizontal="center" vertical="center" wrapText="1"/>
    </xf>
    <xf numFmtId="0" fontId="13" fillId="0" borderId="0" xfId="0" applyFont="1" applyAlignment="1">
      <alignment vertical="center"/>
    </xf>
    <xf numFmtId="3" fontId="13" fillId="0" borderId="0" xfId="0" applyNumberFormat="1" applyFont="1" applyAlignment="1">
      <alignment horizontal="right" vertical="center"/>
    </xf>
    <xf numFmtId="3" fontId="39" fillId="0" borderId="0" xfId="0" applyNumberFormat="1" applyFont="1" applyAlignment="1">
      <alignment horizontal="right" vertical="center"/>
    </xf>
    <xf numFmtId="3" fontId="7" fillId="0" borderId="0" xfId="0" applyNumberFormat="1" applyFont="1" applyAlignment="1">
      <alignment horizontal="right" vertical="center"/>
    </xf>
    <xf numFmtId="167" fontId="7" fillId="0" borderId="0" xfId="0" applyNumberFormat="1" applyFont="1" applyAlignment="1">
      <alignment horizontal="right" vertical="center"/>
    </xf>
    <xf numFmtId="0" fontId="15" fillId="2" borderId="0" xfId="0" applyFont="1" applyFill="1" applyAlignment="1">
      <alignment horizontal="right" vertical="center"/>
    </xf>
    <xf numFmtId="0" fontId="20" fillId="0" borderId="0" xfId="0" applyFont="1"/>
    <xf numFmtId="49" fontId="15" fillId="0" borderId="0" xfId="0" applyNumberFormat="1" applyFont="1" applyAlignment="1">
      <alignment horizontal="left" vertical="center"/>
    </xf>
    <xf numFmtId="0" fontId="15" fillId="0" borderId="0" xfId="0" applyFont="1" applyAlignment="1">
      <alignment horizontal="center"/>
    </xf>
    <xf numFmtId="4" fontId="7" fillId="0" borderId="0" xfId="0" applyNumberFormat="1" applyFont="1" applyAlignment="1">
      <alignment horizontal="right" vertical="center"/>
    </xf>
    <xf numFmtId="170" fontId="47" fillId="0" borderId="0" xfId="0" applyNumberFormat="1" applyFont="1" applyAlignment="1">
      <alignment horizontal="center"/>
    </xf>
    <xf numFmtId="4"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49" fontId="7" fillId="0" borderId="2" xfId="3" applyNumberFormat="1" applyFont="1" applyBorder="1" applyAlignment="1">
      <alignment horizontal="center" vertical="center"/>
    </xf>
    <xf numFmtId="0" fontId="7" fillId="0" borderId="4" xfId="3" applyFont="1" applyBorder="1" applyAlignment="1">
      <alignment horizontal="center" vertical="center"/>
    </xf>
    <xf numFmtId="0" fontId="36" fillId="0" borderId="0" xfId="3" applyFont="1" applyAlignment="1">
      <alignment vertical="center"/>
    </xf>
    <xf numFmtId="0" fontId="36"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0"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4"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48"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3" fontId="39" fillId="2" borderId="1" xfId="0" applyNumberFormat="1" applyFont="1" applyFill="1" applyBorder="1" applyAlignment="1">
      <alignment vertical="center"/>
    </xf>
    <xf numFmtId="3" fontId="39" fillId="3" borderId="15" xfId="0" applyNumberFormat="1" applyFont="1" applyFill="1" applyBorder="1" applyAlignment="1">
      <alignment horizontal="right" vertical="center"/>
    </xf>
    <xf numFmtId="9" fontId="39" fillId="2" borderId="16" xfId="0" applyNumberFormat="1" applyFont="1" applyFill="1" applyBorder="1" applyAlignment="1">
      <alignment horizontal="right" vertical="center"/>
    </xf>
    <xf numFmtId="3" fontId="39" fillId="2" borderId="15" xfId="0" applyNumberFormat="1" applyFont="1" applyFill="1" applyBorder="1" applyAlignment="1">
      <alignment horizontal="right"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164" fontId="33" fillId="2" borderId="18" xfId="0" applyNumberFormat="1" applyFont="1" applyFill="1" applyBorder="1" applyAlignment="1">
      <alignment horizontal="right" vertical="center"/>
    </xf>
    <xf numFmtId="164" fontId="6" fillId="0" borderId="18" xfId="0" applyNumberFormat="1" applyFont="1" applyBorder="1" applyAlignment="1">
      <alignment horizontal="right" vertical="center"/>
    </xf>
    <xf numFmtId="0" fontId="6" fillId="0" borderId="14" xfId="0" applyFont="1" applyBorder="1" applyAlignment="1">
      <alignment vertical="center" wrapText="1"/>
    </xf>
    <xf numFmtId="164" fontId="6" fillId="0" borderId="15" xfId="0" applyNumberFormat="1" applyFont="1" applyBorder="1" applyAlignment="1">
      <alignment horizontal="right" vertical="center"/>
    </xf>
    <xf numFmtId="171" fontId="6" fillId="0" borderId="16" xfId="0" applyNumberFormat="1" applyFont="1" applyBorder="1" applyAlignment="1">
      <alignment horizontal="right" vertical="center"/>
    </xf>
    <xf numFmtId="164" fontId="5" fillId="0" borderId="12" xfId="0" applyNumberFormat="1" applyFont="1" applyBorder="1" applyAlignment="1">
      <alignment horizontal="right" vertical="center"/>
    </xf>
    <xf numFmtId="164" fontId="33" fillId="0" borderId="18" xfId="0" applyNumberFormat="1" applyFont="1" applyBorder="1" applyAlignment="1">
      <alignment horizontal="right" vertical="center"/>
    </xf>
    <xf numFmtId="164" fontId="6" fillId="2" borderId="18" xfId="0" applyNumberFormat="1" applyFont="1" applyFill="1" applyBorder="1" applyAlignment="1">
      <alignment horizontal="right" vertical="center"/>
    </xf>
    <xf numFmtId="0" fontId="33" fillId="0" borderId="14" xfId="0" applyFont="1" applyBorder="1" applyAlignment="1">
      <alignment vertical="center" wrapText="1"/>
    </xf>
    <xf numFmtId="164" fontId="33" fillId="0" borderId="15" xfId="0" applyNumberFormat="1" applyFont="1" applyBorder="1" applyAlignment="1">
      <alignment horizontal="right" vertical="center"/>
    </xf>
    <xf numFmtId="171" fontId="33" fillId="0" borderId="16" xfId="0" applyNumberFormat="1" applyFont="1" applyBorder="1" applyAlignment="1">
      <alignment horizontal="right" vertical="center" wrapText="1"/>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0" fontId="5" fillId="0" borderId="13" xfId="0" applyFont="1" applyBorder="1" applyAlignment="1">
      <alignment horizontal="center" vertical="center" wrapText="1"/>
    </xf>
    <xf numFmtId="0" fontId="33" fillId="0" borderId="17" xfId="0" applyFont="1" applyBorder="1" applyAlignment="1">
      <alignment vertical="center" wrapText="1"/>
    </xf>
    <xf numFmtId="0" fontId="5" fillId="0" borderId="9" xfId="0" applyFont="1" applyBorder="1" applyAlignment="1">
      <alignment vertical="center" wrapText="1"/>
    </xf>
    <xf numFmtId="0" fontId="33" fillId="0" borderId="9" xfId="0" applyFont="1" applyBorder="1" applyAlignment="1">
      <alignment horizontal="left" vertical="center" wrapText="1"/>
    </xf>
    <xf numFmtId="0" fontId="33" fillId="0" borderId="9" xfId="0" applyFont="1" applyBorder="1" applyAlignment="1">
      <alignment vertical="center" wrapText="1"/>
    </xf>
    <xf numFmtId="171" fontId="33" fillId="0" borderId="10" xfId="0" applyNumberFormat="1" applyFont="1" applyBorder="1" applyAlignment="1">
      <alignment horizontal="right" vertical="center"/>
    </xf>
    <xf numFmtId="0" fontId="5" fillId="0" borderId="11" xfId="0" applyFont="1" applyBorder="1" applyAlignment="1">
      <alignment vertical="center" wrapText="1"/>
    </xf>
    <xf numFmtId="171" fontId="5" fillId="0" borderId="13" xfId="0" applyNumberFormat="1" applyFont="1" applyBorder="1" applyAlignment="1">
      <alignment horizontal="right" vertical="center"/>
    </xf>
    <xf numFmtId="171" fontId="5" fillId="0" borderId="10" xfId="0" applyNumberFormat="1" applyFont="1" applyBorder="1" applyAlignment="1">
      <alignment horizontal="right" vertical="center"/>
    </xf>
    <xf numFmtId="0" fontId="5" fillId="0" borderId="11" xfId="0" applyFont="1" applyBorder="1" applyAlignment="1">
      <alignment horizontal="left" vertical="center" wrapText="1"/>
    </xf>
    <xf numFmtId="171" fontId="33" fillId="0" borderId="19" xfId="0" applyNumberFormat="1" applyFont="1" applyBorder="1" applyAlignment="1">
      <alignment horizontal="right" vertical="center"/>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174" fontId="6" fillId="2" borderId="27" xfId="0" applyNumberFormat="1" applyFont="1" applyFill="1" applyBorder="1" applyAlignment="1">
      <alignment horizontal="right" vertical="center"/>
    </xf>
    <xf numFmtId="164" fontId="5" fillId="0" borderId="27" xfId="0" applyNumberFormat="1" applyFont="1" applyBorder="1" applyAlignment="1">
      <alignment horizontal="right" vertical="center"/>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173" fontId="6" fillId="2" borderId="50" xfId="0" applyNumberFormat="1" applyFont="1" applyFill="1" applyBorder="1" applyAlignment="1">
      <alignment horizontal="right" vertical="center"/>
    </xf>
    <xf numFmtId="173" fontId="33" fillId="2" borderId="49" xfId="0" applyNumberFormat="1" applyFont="1" applyFill="1" applyBorder="1" applyAlignment="1">
      <alignment horizontal="right" vertical="center"/>
    </xf>
    <xf numFmtId="173" fontId="5" fillId="2" borderId="3" xfId="0" applyNumberFormat="1" applyFont="1" applyFill="1" applyBorder="1" applyAlignment="1">
      <alignment horizontal="right" vertical="center"/>
    </xf>
    <xf numFmtId="173" fontId="6" fillId="2" borderId="3" xfId="0" applyNumberFormat="1" applyFont="1" applyFill="1" applyBorder="1" applyAlignment="1">
      <alignment horizontal="right" vertical="center"/>
    </xf>
    <xf numFmtId="173" fontId="33" fillId="2" borderId="3" xfId="0" applyNumberFormat="1" applyFont="1" applyFill="1" applyBorder="1" applyAlignment="1">
      <alignment horizontal="right" vertical="center"/>
    </xf>
    <xf numFmtId="173" fontId="5" fillId="2" borderId="44" xfId="0" applyNumberFormat="1" applyFont="1" applyFill="1" applyBorder="1" applyAlignment="1">
      <alignment horizontal="right" vertical="center"/>
    </xf>
    <xf numFmtId="173" fontId="6" fillId="2" borderId="49" xfId="0" applyNumberFormat="1" applyFont="1" applyFill="1" applyBorder="1" applyAlignment="1">
      <alignment horizontal="right" vertical="center"/>
    </xf>
    <xf numFmtId="0" fontId="5" fillId="0" borderId="23" xfId="0" applyFont="1" applyBorder="1" applyAlignment="1">
      <alignment horizontal="center" vertical="center" wrapText="1"/>
    </xf>
    <xf numFmtId="164" fontId="6" fillId="0" borderId="32" xfId="0" applyNumberFormat="1" applyFont="1" applyBorder="1" applyAlignment="1">
      <alignment horizontal="right" vertical="center"/>
    </xf>
    <xf numFmtId="164" fontId="6" fillId="0" borderId="30" xfId="0" applyNumberFormat="1" applyFont="1" applyBorder="1" applyAlignment="1">
      <alignment horizontal="right" vertical="center"/>
    </xf>
    <xf numFmtId="164" fontId="6" fillId="0" borderId="5"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33" fillId="0" borderId="5" xfId="0" applyNumberFormat="1" applyFont="1" applyBorder="1" applyAlignment="1">
      <alignment horizontal="right" vertical="center"/>
    </xf>
    <xf numFmtId="164" fontId="5" fillId="0" borderId="23" xfId="0" applyNumberFormat="1" applyFont="1" applyBorder="1" applyAlignment="1">
      <alignment horizontal="right" vertical="center"/>
    </xf>
    <xf numFmtId="172" fontId="5" fillId="0" borderId="23" xfId="0" applyNumberFormat="1" applyFont="1" applyBorder="1" applyAlignment="1">
      <alignment horizontal="right" vertical="center"/>
    </xf>
    <xf numFmtId="164" fontId="33" fillId="0" borderId="32" xfId="0" applyNumberFormat="1" applyFont="1" applyBorder="1" applyAlignment="1">
      <alignment horizontal="right" vertical="center"/>
    </xf>
    <xf numFmtId="172" fontId="6" fillId="0" borderId="32" xfId="0" applyNumberFormat="1" applyFont="1" applyBorder="1" applyAlignment="1">
      <alignment horizontal="right" vertical="center"/>
    </xf>
    <xf numFmtId="172" fontId="6" fillId="0" borderId="5" xfId="0" applyNumberFormat="1" applyFont="1" applyBorder="1" applyAlignment="1">
      <alignment horizontal="right" vertical="center"/>
    </xf>
    <xf numFmtId="172" fontId="5" fillId="0" borderId="5" xfId="0" applyNumberFormat="1" applyFont="1" applyBorder="1" applyAlignment="1">
      <alignment horizontal="right" vertical="center"/>
    </xf>
    <xf numFmtId="164" fontId="5" fillId="0" borderId="33" xfId="0" applyNumberFormat="1" applyFont="1" applyBorder="1" applyAlignment="1">
      <alignment horizontal="right" vertical="center"/>
    </xf>
    <xf numFmtId="164" fontId="6" fillId="2" borderId="14" xfId="0" applyNumberFormat="1" applyFont="1" applyFill="1" applyBorder="1" applyAlignment="1">
      <alignment horizontal="right" vertical="center"/>
    </xf>
    <xf numFmtId="171" fontId="6" fillId="2" borderId="16" xfId="0" applyNumberFormat="1" applyFont="1" applyFill="1" applyBorder="1" applyAlignment="1">
      <alignment horizontal="right" vertical="center"/>
    </xf>
    <xf numFmtId="164" fontId="33" fillId="2" borderId="17" xfId="0" applyNumberFormat="1" applyFont="1" applyFill="1" applyBorder="1" applyAlignment="1">
      <alignment horizontal="right" vertical="center"/>
    </xf>
    <xf numFmtId="171" fontId="33" fillId="2" borderId="19" xfId="0" applyNumberFormat="1" applyFont="1" applyFill="1" applyBorder="1" applyAlignment="1">
      <alignment horizontal="right" vertical="center"/>
    </xf>
    <xf numFmtId="164" fontId="5" fillId="0" borderId="9" xfId="0" applyNumberFormat="1" applyFont="1" applyBorder="1" applyAlignment="1">
      <alignment horizontal="right" vertical="center"/>
    </xf>
    <xf numFmtId="171" fontId="5" fillId="2" borderId="10" xfId="0" applyNumberFormat="1" applyFont="1" applyFill="1" applyBorder="1" applyAlignment="1">
      <alignment horizontal="right" vertical="center"/>
    </xf>
    <xf numFmtId="171" fontId="5" fillId="2" borderId="10" xfId="0" applyNumberFormat="1" applyFont="1" applyFill="1" applyBorder="1" applyAlignment="1">
      <alignment horizontal="right" vertical="center" wrapText="1"/>
    </xf>
    <xf numFmtId="172" fontId="33" fillId="0" borderId="9" xfId="0" applyNumberFormat="1" applyFont="1" applyBorder="1" applyAlignment="1">
      <alignment horizontal="right" vertical="center"/>
    </xf>
    <xf numFmtId="171" fontId="6" fillId="2" borderId="10" xfId="0" applyNumberFormat="1" applyFont="1" applyFill="1" applyBorder="1" applyAlignment="1">
      <alignment horizontal="right" vertical="center"/>
    </xf>
    <xf numFmtId="172" fontId="5" fillId="0" borderId="9" xfId="0" applyNumberFormat="1" applyFont="1" applyBorder="1" applyAlignment="1">
      <alignment horizontal="right" vertical="center"/>
    </xf>
    <xf numFmtId="164" fontId="33" fillId="0" borderId="9" xfId="0" applyNumberFormat="1" applyFont="1" applyBorder="1" applyAlignment="1">
      <alignment horizontal="right" vertical="center"/>
    </xf>
    <xf numFmtId="171" fontId="33" fillId="2" borderId="10" xfId="0" applyNumberFormat="1" applyFont="1" applyFill="1" applyBorder="1" applyAlignment="1">
      <alignment horizontal="right" vertical="center"/>
    </xf>
    <xf numFmtId="164" fontId="5" fillId="0" borderId="11" xfId="0" applyNumberFormat="1" applyFont="1" applyBorder="1" applyAlignment="1">
      <alignment horizontal="right" vertical="center"/>
    </xf>
    <xf numFmtId="171" fontId="6" fillId="2" borderId="13" xfId="0" applyNumberFormat="1" applyFont="1" applyFill="1" applyBorder="1" applyAlignment="1">
      <alignment horizontal="right" vertical="center"/>
    </xf>
    <xf numFmtId="164" fontId="6" fillId="0" borderId="14" xfId="0" applyNumberFormat="1" applyFont="1" applyBorder="1" applyAlignment="1">
      <alignment horizontal="right" vertical="center"/>
    </xf>
    <xf numFmtId="164" fontId="33" fillId="0" borderId="17" xfId="0" applyNumberFormat="1" applyFont="1" applyBorder="1" applyAlignment="1">
      <alignment horizontal="right" vertical="center"/>
    </xf>
    <xf numFmtId="164" fontId="33" fillId="0" borderId="14" xfId="0" applyNumberFormat="1" applyFont="1" applyBorder="1" applyAlignment="1">
      <alignment horizontal="right" vertical="center"/>
    </xf>
    <xf numFmtId="164" fontId="6" fillId="0" borderId="9" xfId="0" applyNumberFormat="1" applyFont="1" applyBorder="1" applyAlignment="1">
      <alignment horizontal="right" vertical="center"/>
    </xf>
    <xf numFmtId="164" fontId="5" fillId="0" borderId="26" xfId="0" applyNumberFormat="1" applyFont="1" applyBorder="1" applyAlignment="1">
      <alignment horizontal="right" vertical="center"/>
    </xf>
    <xf numFmtId="171" fontId="6" fillId="2" borderId="28" xfId="0" applyNumberFormat="1" applyFont="1" applyFill="1" applyBorder="1" applyAlignment="1">
      <alignment horizontal="right" vertical="center"/>
    </xf>
    <xf numFmtId="164" fontId="6" fillId="2" borderId="32" xfId="0" applyNumberFormat="1" applyFont="1" applyFill="1" applyBorder="1" applyAlignment="1">
      <alignment horizontal="right" vertical="center"/>
    </xf>
    <xf numFmtId="164" fontId="33" fillId="2" borderId="30" xfId="0" applyNumberFormat="1" applyFont="1" applyFill="1" applyBorder="1" applyAlignment="1">
      <alignment horizontal="right" vertical="center"/>
    </xf>
    <xf numFmtId="172" fontId="33" fillId="0" borderId="5" xfId="0" applyNumberFormat="1" applyFont="1" applyBorder="1" applyAlignment="1">
      <alignment horizontal="right" vertical="center"/>
    </xf>
    <xf numFmtId="164" fontId="33" fillId="0" borderId="30" xfId="0" applyNumberFormat="1" applyFont="1" applyBorder="1" applyAlignment="1">
      <alignment horizontal="right" vertical="center"/>
    </xf>
    <xf numFmtId="1" fontId="6" fillId="0" borderId="32" xfId="0" applyNumberFormat="1" applyFont="1" applyBorder="1" applyAlignment="1">
      <alignment horizontal="right" vertical="center"/>
    </xf>
    <xf numFmtId="174" fontId="5" fillId="0" borderId="33" xfId="0" applyNumberFormat="1" applyFont="1" applyBorder="1" applyAlignment="1">
      <alignment horizontal="right" vertical="center"/>
    </xf>
    <xf numFmtId="0" fontId="6" fillId="0" borderId="16" xfId="0" applyFont="1" applyBorder="1" applyAlignment="1">
      <alignment vertical="center" wrapText="1"/>
    </xf>
    <xf numFmtId="0" fontId="33" fillId="0" borderId="19" xfId="0" applyFont="1" applyBorder="1" applyAlignment="1">
      <alignment vertical="center" wrapText="1"/>
    </xf>
    <xf numFmtId="0" fontId="5" fillId="0" borderId="10" xfId="0" applyFont="1" applyBorder="1" applyAlignment="1">
      <alignment vertical="center" wrapText="1"/>
    </xf>
    <xf numFmtId="0" fontId="33"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3"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171" fontId="5" fillId="0" borderId="28" xfId="0" applyNumberFormat="1" applyFont="1" applyBorder="1" applyAlignment="1">
      <alignment horizontal="right" vertical="center" wrapText="1"/>
    </xf>
    <xf numFmtId="3" fontId="5" fillId="0" borderId="55"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3" fontId="5" fillId="0" borderId="3" xfId="0" applyNumberFormat="1" applyFont="1" applyBorder="1" applyAlignment="1">
      <alignment horizontal="center"/>
    </xf>
    <xf numFmtId="164" fontId="6" fillId="0" borderId="3" xfId="0" applyNumberFormat="1" applyFont="1" applyBorder="1" applyAlignment="1">
      <alignment horizontal="center" vertical="center"/>
    </xf>
    <xf numFmtId="164" fontId="6" fillId="0" borderId="3" xfId="0" applyNumberFormat="1" applyFont="1" applyBorder="1" applyAlignment="1">
      <alignment horizontal="center"/>
    </xf>
    <xf numFmtId="164" fontId="6" fillId="0" borderId="46" xfId="0" applyNumberFormat="1" applyFont="1" applyBorder="1" applyAlignment="1">
      <alignment horizontal="center"/>
    </xf>
    <xf numFmtId="0" fontId="0" fillId="0" borderId="1" xfId="0" applyBorder="1"/>
    <xf numFmtId="0" fontId="30" fillId="0" borderId="1" xfId="0" applyFont="1" applyBorder="1"/>
    <xf numFmtId="0" fontId="6" fillId="0" borderId="39" xfId="0" applyFont="1" applyBorder="1" applyAlignment="1">
      <alignment horizontal="center" vertical="center"/>
    </xf>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0" fillId="0" borderId="10" xfId="0" applyFont="1" applyBorder="1"/>
    <xf numFmtId="0" fontId="0" fillId="0" borderId="19" xfId="0" applyBorder="1"/>
    <xf numFmtId="0" fontId="1" fillId="0" borderId="57" xfId="0" applyFont="1" applyBorder="1" applyAlignment="1">
      <alignment horizontal="center" vertical="top" wrapText="1"/>
    </xf>
    <xf numFmtId="3" fontId="5" fillId="0" borderId="1" xfId="0" applyNumberFormat="1" applyFont="1" applyBorder="1" applyAlignment="1">
      <alignment horizontal="center"/>
    </xf>
    <xf numFmtId="3" fontId="6" fillId="0" borderId="55"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3" fontId="6" fillId="0" borderId="7" xfId="0" applyNumberFormat="1" applyFont="1" applyBorder="1" applyAlignment="1">
      <alignment horizont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59"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0" fontId="5" fillId="0" borderId="8" xfId="0" applyNumberFormat="1" applyFont="1" applyBorder="1" applyAlignment="1">
      <alignment horizontal="center"/>
    </xf>
    <xf numFmtId="170" fontId="5" fillId="0" borderId="22" xfId="0" applyNumberFormat="1" applyFont="1" applyBorder="1" applyAlignment="1">
      <alignment horizontal="center"/>
    </xf>
    <xf numFmtId="170" fontId="5" fillId="0" borderId="10" xfId="0" applyNumberFormat="1" applyFont="1" applyBorder="1" applyAlignment="1">
      <alignment horizontal="center"/>
    </xf>
    <xf numFmtId="0" fontId="7" fillId="0" borderId="0" xfId="0" applyFont="1" applyAlignment="1">
      <alignmen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0" borderId="2" xfId="0" applyFont="1" applyBorder="1" applyAlignment="1">
      <alignmen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49" fillId="0" borderId="0" xfId="0" applyFont="1"/>
    <xf numFmtId="167" fontId="6" fillId="2" borderId="16" xfId="0" applyNumberFormat="1" applyFont="1" applyFill="1" applyBorder="1" applyAlignment="1">
      <alignment horizontal="center" vertical="center" wrapText="1"/>
    </xf>
    <xf numFmtId="164" fontId="6" fillId="2" borderId="12" xfId="0" applyNumberFormat="1" applyFont="1" applyFill="1" applyBorder="1" applyAlignment="1">
      <alignment horizontal="right" vertical="center"/>
    </xf>
    <xf numFmtId="164" fontId="8" fillId="2" borderId="44" xfId="0" applyNumberFormat="1" applyFont="1" applyFill="1" applyBorder="1" applyAlignment="1">
      <alignment horizontal="right" vertical="center"/>
    </xf>
    <xf numFmtId="164" fontId="8" fillId="2" borderId="12" xfId="0" applyNumberFormat="1" applyFont="1" applyFill="1" applyBorder="1" applyAlignment="1">
      <alignment horizontal="right" vertical="center"/>
    </xf>
    <xf numFmtId="164" fontId="5" fillId="2" borderId="18" xfId="0" applyNumberFormat="1" applyFont="1" applyFill="1" applyBorder="1" applyAlignment="1">
      <alignment horizontal="left"/>
    </xf>
    <xf numFmtId="167" fontId="6" fillId="2" borderId="15" xfId="0" applyNumberFormat="1" applyFont="1" applyFill="1" applyBorder="1" applyAlignment="1">
      <alignment horizontal="center" vertical="center" wrapText="1"/>
    </xf>
    <xf numFmtId="164" fontId="6" fillId="0" borderId="44" xfId="0" applyNumberFormat="1" applyFont="1" applyBorder="1" applyAlignment="1">
      <alignment horizontal="center" vertical="center"/>
    </xf>
    <xf numFmtId="0" fontId="14" fillId="0" borderId="21" xfId="3" applyFont="1" applyBorder="1" applyAlignment="1">
      <alignment horizontal="center" vertical="center" textRotation="90" wrapText="1"/>
    </xf>
    <xf numFmtId="0" fontId="5" fillId="2" borderId="19" xfId="0" applyFont="1" applyFill="1" applyBorder="1" applyAlignment="1">
      <alignment horizontal="left"/>
    </xf>
    <xf numFmtId="164" fontId="6" fillId="2" borderId="10" xfId="0" applyNumberFormat="1" applyFont="1" applyFill="1" applyBorder="1" applyAlignment="1">
      <alignment horizontal="right" vertical="center"/>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8" fillId="2" borderId="13" xfId="0" applyNumberFormat="1" applyFont="1" applyFill="1" applyBorder="1" applyAlignment="1">
      <alignment horizontal="right" vertical="center"/>
    </xf>
    <xf numFmtId="164" fontId="5" fillId="2" borderId="19" xfId="0" applyNumberFormat="1" applyFont="1" applyFill="1" applyBorder="1" applyAlignment="1">
      <alignment horizontal="left"/>
    </xf>
    <xf numFmtId="164" fontId="33" fillId="2" borderId="1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7" fontId="5" fillId="2" borderId="19" xfId="0" applyNumberFormat="1"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167" fontId="5" fillId="2" borderId="13"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5" fontId="6" fillId="0" borderId="10" xfId="0" applyNumberFormat="1" applyFont="1" applyBorder="1" applyAlignment="1">
      <alignment horizontal="center"/>
    </xf>
    <xf numFmtId="164" fontId="6" fillId="0" borderId="10" xfId="0" applyNumberFormat="1" applyFont="1" applyBorder="1" applyAlignment="1">
      <alignment horizontal="center" vertical="center"/>
    </xf>
    <xf numFmtId="3" fontId="39" fillId="2" borderId="12" xfId="0" applyNumberFormat="1" applyFont="1" applyFill="1" applyBorder="1" applyAlignment="1">
      <alignment horizontal="right" vertical="center"/>
    </xf>
    <xf numFmtId="3" fontId="39" fillId="0" borderId="12" xfId="0" applyNumberFormat="1" applyFont="1" applyBorder="1" applyAlignment="1">
      <alignment horizontal="right" vertical="center" wrapText="1"/>
    </xf>
    <xf numFmtId="3" fontId="39" fillId="3" borderId="12" xfId="0" applyNumberFormat="1" applyFont="1" applyFill="1" applyBorder="1" applyAlignment="1">
      <alignment horizontal="right" vertical="center"/>
    </xf>
    <xf numFmtId="9" fontId="39" fillId="2" borderId="13" xfId="0" applyNumberFormat="1" applyFont="1" applyFill="1" applyBorder="1" applyAlignment="1">
      <alignment horizontal="right" vertical="center"/>
    </xf>
    <xf numFmtId="164" fontId="5" fillId="2" borderId="18" xfId="0" applyNumberFormat="1" applyFont="1" applyFill="1" applyBorder="1" applyAlignment="1">
      <alignment horizontal="center" vertical="center" wrapText="1"/>
    </xf>
    <xf numFmtId="0" fontId="39" fillId="0" borderId="12" xfId="0" applyFont="1" applyBorder="1" applyAlignment="1">
      <alignment vertical="center" wrapText="1"/>
    </xf>
    <xf numFmtId="3" fontId="45" fillId="0" borderId="18" xfId="0" applyNumberFormat="1" applyFont="1" applyBorder="1" applyAlignment="1">
      <alignment vertical="center" wrapText="1"/>
    </xf>
    <xf numFmtId="0" fontId="39" fillId="2" borderId="1" xfId="0" applyFont="1" applyFill="1" applyBorder="1" applyAlignment="1">
      <alignment horizontal="center" vertical="center" wrapText="1"/>
    </xf>
    <xf numFmtId="3" fontId="7" fillId="0" borderId="1" xfId="0" applyNumberFormat="1" applyFont="1" applyBorder="1" applyAlignment="1">
      <alignment horizontal="right"/>
    </xf>
    <xf numFmtId="0" fontId="34"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wrapText="1"/>
    </xf>
    <xf numFmtId="0" fontId="32" fillId="0" borderId="0" xfId="0" applyFont="1" applyAlignment="1">
      <alignment horizontal="center"/>
    </xf>
    <xf numFmtId="0" fontId="29" fillId="0" borderId="0" xfId="0" applyFont="1" applyAlignment="1">
      <alignment horizontal="left"/>
    </xf>
    <xf numFmtId="0" fontId="29" fillId="0" borderId="0" xfId="0" applyFont="1"/>
    <xf numFmtId="173" fontId="5" fillId="2" borderId="3" xfId="0" applyNumberFormat="1" applyFont="1" applyFill="1" applyBorder="1" applyAlignment="1">
      <alignment horizontal="right" vertical="center" wrapText="1"/>
    </xf>
    <xf numFmtId="172" fontId="33" fillId="2" borderId="5" xfId="0" applyNumberFormat="1" applyFont="1" applyFill="1" applyBorder="1" applyAlignment="1">
      <alignment horizontal="right" vertical="center"/>
    </xf>
    <xf numFmtId="173" fontId="6" fillId="2" borderId="50" xfId="0" applyNumberFormat="1" applyFont="1" applyFill="1" applyBorder="1" applyAlignment="1">
      <alignment horizontal="right" vertical="center" wrapText="1"/>
    </xf>
    <xf numFmtId="173" fontId="5" fillId="2" borderId="53"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49" fontId="5" fillId="0" borderId="9" xfId="0" applyNumberFormat="1" applyFont="1" applyBorder="1" applyAlignment="1">
      <alignment horizontal="right" vertical="center"/>
    </xf>
    <xf numFmtId="0" fontId="14" fillId="0" borderId="26" xfId="0" applyFont="1" applyBorder="1" applyAlignment="1">
      <alignment horizontal="left" vertical="center"/>
    </xf>
    <xf numFmtId="0" fontId="7" fillId="0" borderId="28" xfId="0" applyFont="1" applyBorder="1" applyAlignment="1">
      <alignment vertical="center" wrapText="1"/>
    </xf>
    <xf numFmtId="3" fontId="5" fillId="0" borderId="27" xfId="0" applyNumberFormat="1" applyFont="1" applyBorder="1" applyAlignment="1">
      <alignment horizontal="right" vertical="center"/>
    </xf>
    <xf numFmtId="172" fontId="5" fillId="0" borderId="33" xfId="0" applyNumberFormat="1" applyFont="1" applyBorder="1" applyAlignment="1">
      <alignment horizontal="right" vertical="center"/>
    </xf>
    <xf numFmtId="170" fontId="6" fillId="0" borderId="10" xfId="0" applyNumberFormat="1" applyFont="1" applyBorder="1" applyAlignment="1">
      <alignment horizontal="center"/>
    </xf>
    <xf numFmtId="175" fontId="5" fillId="0" borderId="1" xfId="0" applyNumberFormat="1" applyFont="1" applyBorder="1" applyAlignment="1">
      <alignment horizontal="center"/>
    </xf>
    <xf numFmtId="175" fontId="5" fillId="0" borderId="10" xfId="0" applyNumberFormat="1" applyFont="1" applyBorder="1" applyAlignment="1">
      <alignment horizontal="center"/>
    </xf>
    <xf numFmtId="3" fontId="7" fillId="0" borderId="1" xfId="0" applyNumberFormat="1" applyFont="1" applyBorder="1" applyAlignment="1">
      <alignment horizontal="center" wrapText="1"/>
    </xf>
    <xf numFmtId="3" fontId="13" fillId="0" borderId="1" xfId="0" applyNumberFormat="1" applyFont="1" applyBorder="1" applyAlignment="1">
      <alignment horizontal="center" wrapText="1"/>
    </xf>
    <xf numFmtId="3" fontId="7" fillId="0" borderId="60" xfId="0" applyNumberFormat="1" applyFont="1" applyBorder="1" applyAlignment="1">
      <alignment horizontal="center" wrapText="1"/>
    </xf>
    <xf numFmtId="168" fontId="5" fillId="0" borderId="58" xfId="0" applyNumberFormat="1" applyFont="1" applyBorder="1" applyAlignment="1">
      <alignment horizontal="center" vertical="center"/>
    </xf>
    <xf numFmtId="164" fontId="6" fillId="0" borderId="58" xfId="0" applyNumberFormat="1" applyFont="1" applyBorder="1" applyAlignment="1">
      <alignment horizontal="center" vertical="center"/>
    </xf>
    <xf numFmtId="164" fontId="5" fillId="2" borderId="18" xfId="0" applyNumberFormat="1" applyFont="1" applyFill="1" applyBorder="1" applyAlignment="1">
      <alignment horizontal="right" vertical="center"/>
    </xf>
    <xf numFmtId="49" fontId="9" fillId="0" borderId="0" xfId="0" applyNumberFormat="1" applyFont="1"/>
    <xf numFmtId="0" fontId="15" fillId="0" borderId="0" xfId="0" applyFont="1" applyAlignment="1">
      <alignment horizontal="center" vertical="center" wrapText="1"/>
    </xf>
    <xf numFmtId="0" fontId="20" fillId="0" borderId="14" xfId="0" applyFont="1" applyBorder="1" applyAlignment="1">
      <alignment vertical="center"/>
    </xf>
    <xf numFmtId="49" fontId="20" fillId="0" borderId="15" xfId="0" applyNumberFormat="1" applyFont="1" applyBorder="1" applyAlignment="1">
      <alignment horizontal="center" vertical="center"/>
    </xf>
    <xf numFmtId="49" fontId="25" fillId="0" borderId="15" xfId="0" applyNumberFormat="1" applyFont="1" applyBorder="1" applyAlignment="1">
      <alignment horizontal="center" vertical="center"/>
    </xf>
    <xf numFmtId="0" fontId="25" fillId="0" borderId="0" xfId="0" applyFont="1"/>
    <xf numFmtId="0" fontId="24" fillId="0" borderId="0" xfId="0" applyFont="1"/>
    <xf numFmtId="0" fontId="3" fillId="0" borderId="1" xfId="0" applyFont="1" applyBorder="1" applyAlignment="1">
      <alignment vertical="center" wrapText="1"/>
    </xf>
    <xf numFmtId="4" fontId="25" fillId="0" borderId="1" xfId="0" applyNumberFormat="1" applyFont="1" applyBorder="1" applyAlignment="1">
      <alignment horizontal="right"/>
    </xf>
    <xf numFmtId="4" fontId="25" fillId="0" borderId="1" xfId="0" applyNumberFormat="1" applyFont="1" applyBorder="1"/>
    <xf numFmtId="4" fontId="3" fillId="0" borderId="1" xfId="0" applyNumberFormat="1" applyFont="1" applyBorder="1" applyAlignment="1">
      <alignment horizontal="right" wrapText="1"/>
    </xf>
    <xf numFmtId="0" fontId="51" fillId="0" borderId="15" xfId="0" applyFont="1" applyBorder="1" applyAlignment="1">
      <alignment vertical="center" wrapText="1"/>
    </xf>
    <xf numFmtId="3" fontId="20" fillId="0" borderId="15" xfId="0" applyNumberFormat="1" applyFont="1" applyBorder="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horizontal="center" vertical="center"/>
    </xf>
    <xf numFmtId="49" fontId="20" fillId="0" borderId="0" xfId="0" applyNumberFormat="1" applyFont="1" applyAlignment="1">
      <alignment vertical="center"/>
    </xf>
    <xf numFmtId="0" fontId="20" fillId="0" borderId="0" xfId="0" applyFont="1" applyAlignment="1">
      <alignment vertical="center"/>
    </xf>
    <xf numFmtId="0" fontId="51" fillId="0" borderId="0" xfId="0" applyFont="1" applyAlignment="1">
      <alignment vertical="center" wrapText="1"/>
    </xf>
    <xf numFmtId="3" fontId="20" fillId="0" borderId="0" xfId="0" applyNumberFormat="1" applyFont="1" applyAlignment="1">
      <alignment vertical="center"/>
    </xf>
    <xf numFmtId="0" fontId="52" fillId="0" borderId="0" xfId="0" applyFont="1" applyAlignment="1">
      <alignment vertical="center"/>
    </xf>
    <xf numFmtId="3" fontId="7" fillId="0" borderId="0" xfId="0" applyNumberFormat="1" applyFont="1"/>
    <xf numFmtId="49" fontId="52" fillId="0" borderId="0" xfId="0" applyNumberFormat="1" applyFont="1" applyAlignment="1">
      <alignment vertical="center"/>
    </xf>
    <xf numFmtId="0" fontId="53" fillId="0" borderId="0" xfId="0" applyFont="1"/>
    <xf numFmtId="3" fontId="5" fillId="0" borderId="5"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0" fontId="5" fillId="0" borderId="0" xfId="0" applyFont="1" applyAlignment="1">
      <alignment horizontal="left"/>
    </xf>
    <xf numFmtId="49" fontId="7" fillId="0" borderId="20" xfId="0" applyNumberFormat="1" applyFont="1" applyBorder="1" applyAlignment="1">
      <alignment horizontal="center" vertical="center" wrapText="1"/>
    </xf>
    <xf numFmtId="0" fontId="6" fillId="0" borderId="12" xfId="0" quotePrefix="1" applyFont="1" applyBorder="1" applyAlignment="1">
      <alignment horizontal="left" vertical="center" wrapText="1"/>
    </xf>
    <xf numFmtId="49" fontId="5" fillId="0" borderId="11" xfId="0" applyNumberFormat="1" applyFont="1" applyBorder="1" applyAlignment="1">
      <alignment horizontal="center" vertical="center"/>
    </xf>
    <xf numFmtId="0" fontId="5" fillId="0" borderId="44" xfId="0" applyFont="1" applyBorder="1" applyAlignment="1">
      <alignment horizontal="centerContinuous" vertical="center"/>
    </xf>
    <xf numFmtId="0" fontId="5" fillId="0" borderId="44" xfId="0" quotePrefix="1" applyFont="1" applyBorder="1" applyAlignment="1">
      <alignment horizontal="left" vertical="center" wrapText="1"/>
    </xf>
    <xf numFmtId="164" fontId="5" fillId="0" borderId="44" xfId="0" applyNumberFormat="1" applyFont="1" applyBorder="1" applyAlignment="1">
      <alignment horizontal="center" vertical="center"/>
    </xf>
    <xf numFmtId="3" fontId="5" fillId="0" borderId="10" xfId="0" applyNumberFormat="1" applyFont="1" applyBorder="1" applyAlignment="1">
      <alignment horizontal="center"/>
    </xf>
    <xf numFmtId="0" fontId="6" fillId="0" borderId="44" xfId="0" applyFont="1" applyBorder="1" applyAlignment="1">
      <alignment horizontal="centerContinuous" vertical="center"/>
    </xf>
    <xf numFmtId="3" fontId="6" fillId="0" borderId="4" xfId="0" applyNumberFormat="1" applyFont="1" applyBorder="1" applyAlignment="1">
      <alignment horizontal="center" vertical="center"/>
    </xf>
    <xf numFmtId="3" fontId="6" fillId="0" borderId="1" xfId="0" applyNumberFormat="1" applyFont="1" applyBorder="1" applyAlignment="1">
      <alignment horizontal="center" vertical="center"/>
    </xf>
    <xf numFmtId="170" fontId="42" fillId="0" borderId="10" xfId="0" applyNumberFormat="1" applyFont="1" applyBorder="1" applyAlignment="1">
      <alignment horizontal="center" vertical="center"/>
    </xf>
    <xf numFmtId="0" fontId="5" fillId="0" borderId="1" xfId="0" quotePrefix="1" applyFont="1" applyBorder="1" applyAlignment="1">
      <alignment horizontal="left" vertical="center" wrapText="1"/>
    </xf>
    <xf numFmtId="3" fontId="5" fillId="0" borderId="4" xfId="0" applyNumberFormat="1" applyFont="1" applyBorder="1" applyAlignment="1">
      <alignment horizontal="center" vertical="center"/>
    </xf>
    <xf numFmtId="3" fontId="5" fillId="0" borderId="1" xfId="0" applyNumberFormat="1" applyFont="1" applyBorder="1" applyAlignment="1">
      <alignment horizontal="center" vertical="center"/>
    </xf>
    <xf numFmtId="170" fontId="5" fillId="0" borderId="10" xfId="0" applyNumberFormat="1" applyFont="1" applyBorder="1" applyAlignment="1">
      <alignment horizontal="center" vertical="center"/>
    </xf>
    <xf numFmtId="170" fontId="6" fillId="0" borderId="10" xfId="0" applyNumberFormat="1" applyFont="1" applyBorder="1" applyAlignment="1">
      <alignment horizontal="center" vertical="center"/>
    </xf>
    <xf numFmtId="49" fontId="13" fillId="0" borderId="9" xfId="0" applyNumberFormat="1" applyFont="1" applyBorder="1" applyAlignment="1">
      <alignment horizontal="center" vertical="center" wrapText="1"/>
    </xf>
    <xf numFmtId="0" fontId="5" fillId="0" borderId="59" xfId="0" applyFont="1" applyBorder="1" applyAlignment="1">
      <alignment horizontal="center" vertical="center"/>
    </xf>
    <xf numFmtId="175" fontId="5" fillId="0" borderId="22" xfId="0" applyNumberFormat="1" applyFont="1" applyBorder="1" applyAlignment="1">
      <alignment horizontal="center"/>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3" fontId="39" fillId="2" borderId="27" xfId="0" applyNumberFormat="1" applyFont="1" applyFill="1" applyBorder="1" applyAlignment="1">
      <alignment horizontal="right" vertical="center"/>
    </xf>
    <xf numFmtId="0" fontId="39" fillId="0" borderId="18" xfId="0" applyFont="1" applyBorder="1" applyAlignment="1">
      <alignment vertical="center" wrapText="1"/>
    </xf>
    <xf numFmtId="3" fontId="15" fillId="2" borderId="15" xfId="0" applyNumberFormat="1" applyFont="1" applyFill="1" applyBorder="1" applyAlignment="1">
      <alignment vertical="center" wrapText="1"/>
    </xf>
    <xf numFmtId="3" fontId="39" fillId="2" borderId="27" xfId="0" applyNumberFormat="1" applyFont="1" applyFill="1" applyBorder="1" applyAlignment="1">
      <alignment vertical="center" wrapText="1"/>
    </xf>
    <xf numFmtId="3" fontId="39" fillId="2" borderId="27" xfId="0" applyNumberFormat="1" applyFont="1" applyFill="1" applyBorder="1" applyAlignment="1">
      <alignment horizontal="right" vertical="center" wrapText="1"/>
    </xf>
    <xf numFmtId="3" fontId="39" fillId="0" borderId="27" xfId="0" applyNumberFormat="1" applyFont="1" applyBorder="1" applyAlignment="1">
      <alignment horizontal="right" vertical="center" wrapText="1"/>
    </xf>
    <xf numFmtId="3" fontId="39" fillId="2" borderId="1" xfId="0" applyNumberFormat="1" applyFont="1" applyFill="1" applyBorder="1" applyAlignment="1">
      <alignment vertical="center" wrapText="1"/>
    </xf>
    <xf numFmtId="3" fontId="39" fillId="2" borderId="1" xfId="0" applyNumberFormat="1" applyFont="1" applyFill="1" applyBorder="1" applyAlignment="1">
      <alignment horizontal="right" vertical="center" wrapText="1"/>
    </xf>
    <xf numFmtId="3" fontId="39" fillId="3" borderId="18" xfId="0" applyNumberFormat="1" applyFont="1" applyFill="1" applyBorder="1" applyAlignment="1">
      <alignment horizontal="right" vertical="center"/>
    </xf>
    <xf numFmtId="0" fontId="15" fillId="0" borderId="15" xfId="0" applyFont="1" applyBorder="1" applyAlignment="1">
      <alignment horizontal="center" vertical="center"/>
    </xf>
    <xf numFmtId="3" fontId="15" fillId="3" borderId="27" xfId="0" applyNumberFormat="1" applyFont="1" applyFill="1" applyBorder="1" applyAlignment="1">
      <alignment horizontal="right" vertical="center"/>
    </xf>
    <xf numFmtId="3" fontId="15" fillId="0" borderId="18" xfId="0" applyNumberFormat="1" applyFont="1" applyBorder="1" applyAlignment="1">
      <alignment horizontal="right" vertical="center"/>
    </xf>
    <xf numFmtId="167" fontId="39" fillId="2" borderId="13" xfId="0" applyNumberFormat="1" applyFont="1" applyFill="1" applyBorder="1" applyAlignment="1">
      <alignment horizontal="right" vertical="center"/>
    </xf>
    <xf numFmtId="49" fontId="15" fillId="0" borderId="15" xfId="0" applyNumberFormat="1" applyFont="1" applyBorder="1" applyAlignment="1">
      <alignment vertical="center"/>
    </xf>
    <xf numFmtId="3" fontId="39" fillId="2" borderId="15" xfId="0" applyNumberFormat="1" applyFont="1" applyFill="1" applyBorder="1" applyAlignment="1">
      <alignment vertical="center" wrapText="1"/>
    </xf>
    <xf numFmtId="3" fontId="39" fillId="0" borderId="15" xfId="0" applyNumberFormat="1" applyFont="1" applyBorder="1" applyAlignment="1">
      <alignment horizontal="right" vertical="center" wrapText="1"/>
    </xf>
    <xf numFmtId="0" fontId="39" fillId="0" borderId="1" xfId="0" quotePrefix="1" applyFont="1" applyBorder="1" applyAlignment="1">
      <alignment vertical="center" wrapText="1"/>
    </xf>
    <xf numFmtId="0" fontId="39" fillId="2" borderId="18" xfId="0" quotePrefix="1" applyFont="1" applyFill="1" applyBorder="1" applyAlignment="1">
      <alignment vertical="center" wrapText="1"/>
    </xf>
    <xf numFmtId="3" fontId="15" fillId="2" borderId="18" xfId="0" applyNumberFormat="1" applyFont="1" applyFill="1" applyBorder="1" applyAlignment="1">
      <alignment horizontal="right" vertical="center"/>
    </xf>
    <xf numFmtId="3" fontId="45" fillId="0" borderId="25" xfId="0" applyNumberFormat="1" applyFont="1" applyBorder="1" applyAlignment="1">
      <alignment horizontal="right" vertical="center" wrapText="1"/>
    </xf>
    <xf numFmtId="3" fontId="45" fillId="0" borderId="25" xfId="0" applyNumberFormat="1" applyFont="1" applyBorder="1" applyAlignment="1">
      <alignment horizontal="right" vertical="center"/>
    </xf>
    <xf numFmtId="3" fontId="45" fillId="3" borderId="25" xfId="0" applyNumberFormat="1" applyFont="1" applyFill="1" applyBorder="1" applyAlignment="1">
      <alignment horizontal="right" vertical="center"/>
    </xf>
    <xf numFmtId="167" fontId="45" fillId="2" borderId="29" xfId="0" applyNumberFormat="1" applyFont="1" applyFill="1" applyBorder="1" applyAlignment="1">
      <alignment horizontal="right" vertical="center"/>
    </xf>
    <xf numFmtId="3" fontId="45" fillId="2" borderId="25" xfId="0" applyNumberFormat="1" applyFont="1" applyFill="1" applyBorder="1" applyAlignment="1">
      <alignment vertical="center" wrapText="1"/>
    </xf>
    <xf numFmtId="3" fontId="45" fillId="2" borderId="25" xfId="0" applyNumberFormat="1" applyFont="1" applyFill="1" applyBorder="1" applyAlignment="1">
      <alignment horizontal="right" vertical="center"/>
    </xf>
    <xf numFmtId="9" fontId="45" fillId="2" borderId="29" xfId="0" applyNumberFormat="1" applyFont="1" applyFill="1" applyBorder="1" applyAlignment="1">
      <alignment horizontal="right" vertical="center"/>
    </xf>
    <xf numFmtId="49" fontId="13" fillId="0" borderId="38" xfId="0" applyNumberFormat="1" applyFont="1" applyBorder="1" applyAlignment="1">
      <alignment horizontal="center" vertical="center" wrapText="1"/>
    </xf>
    <xf numFmtId="167" fontId="39" fillId="2" borderId="28" xfId="0" applyNumberFormat="1" applyFont="1" applyFill="1" applyBorder="1" applyAlignment="1">
      <alignment horizontal="right" vertical="center"/>
    </xf>
    <xf numFmtId="3" fontId="39" fillId="2" borderId="7" xfId="0" applyNumberFormat="1" applyFont="1" applyFill="1" applyBorder="1" applyAlignment="1">
      <alignment vertical="center" wrapText="1"/>
    </xf>
    <xf numFmtId="3" fontId="39" fillId="2" borderId="7" xfId="0" applyNumberFormat="1" applyFont="1" applyFill="1" applyBorder="1" applyAlignment="1">
      <alignment horizontal="right" vertical="center" wrapText="1"/>
    </xf>
    <xf numFmtId="3" fontId="39" fillId="2" borderId="7" xfId="0" applyNumberFormat="1" applyFont="1" applyFill="1" applyBorder="1" applyAlignment="1">
      <alignment horizontal="right" vertical="center"/>
    </xf>
    <xf numFmtId="3" fontId="39" fillId="0" borderId="7" xfId="0" applyNumberFormat="1" applyFont="1" applyBorder="1" applyAlignment="1">
      <alignment horizontal="right" vertical="center" wrapText="1"/>
    </xf>
    <xf numFmtId="3" fontId="39" fillId="3" borderId="7" xfId="0" applyNumberFormat="1" applyFont="1" applyFill="1" applyBorder="1" applyAlignment="1">
      <alignment horizontal="right" vertical="center"/>
    </xf>
    <xf numFmtId="9" fontId="39" fillId="2" borderId="8" xfId="0" applyNumberFormat="1" applyFont="1" applyFill="1" applyBorder="1" applyAlignment="1">
      <alignment horizontal="right" vertical="center"/>
    </xf>
    <xf numFmtId="0" fontId="39" fillId="0" borderId="12" xfId="0" quotePrefix="1" applyFont="1" applyBorder="1" applyAlignment="1">
      <alignment vertical="center" wrapText="1"/>
    </xf>
    <xf numFmtId="0" fontId="39" fillId="0" borderId="9" xfId="0" applyFont="1" applyBorder="1" applyAlignment="1">
      <alignment horizontal="center" vertical="center" wrapText="1"/>
    </xf>
    <xf numFmtId="0" fontId="39" fillId="0" borderId="1" xfId="0" applyFont="1" applyBorder="1" applyAlignment="1">
      <alignment horizontal="center" vertical="center" wrapText="1"/>
    </xf>
    <xf numFmtId="49" fontId="39" fillId="0" borderId="1" xfId="0" applyNumberFormat="1" applyFont="1" applyBorder="1" applyAlignment="1">
      <alignment horizontal="center" vertical="center" wrapText="1"/>
    </xf>
    <xf numFmtId="0" fontId="39" fillId="0" borderId="4" xfId="0" applyFont="1" applyBorder="1" applyAlignment="1">
      <alignment vertical="center" wrapText="1"/>
    </xf>
    <xf numFmtId="0" fontId="39" fillId="0" borderId="18" xfId="0" quotePrefix="1" applyFont="1" applyBorder="1" applyAlignment="1">
      <alignment vertical="center" wrapText="1"/>
    </xf>
    <xf numFmtId="0" fontId="39" fillId="0" borderId="5" xfId="0" quotePrefix="1" applyFont="1" applyBorder="1" applyAlignment="1">
      <alignment vertical="center" wrapText="1"/>
    </xf>
    <xf numFmtId="0" fontId="39" fillId="0" borderId="45" xfId="0" applyFont="1" applyBorder="1" applyAlignment="1">
      <alignment horizontal="center" vertical="center" wrapText="1"/>
    </xf>
    <xf numFmtId="0" fontId="39" fillId="0" borderId="27" xfId="0" applyFont="1" applyBorder="1" applyAlignment="1">
      <alignment horizontal="center" vertical="center" wrapText="1"/>
    </xf>
    <xf numFmtId="49" fontId="39" fillId="0" borderId="27" xfId="0" applyNumberFormat="1" applyFont="1" applyBorder="1" applyAlignment="1">
      <alignment horizontal="center" vertical="center" wrapText="1"/>
    </xf>
    <xf numFmtId="0" fontId="39" fillId="0" borderId="0" xfId="0" applyFont="1" applyAlignment="1">
      <alignment horizontal="left" vertical="center" wrapText="1"/>
    </xf>
    <xf numFmtId="0" fontId="39" fillId="0" borderId="27" xfId="0" quotePrefix="1" applyFont="1" applyBorder="1" applyAlignment="1">
      <alignment vertical="center" wrapText="1"/>
    </xf>
    <xf numFmtId="0" fontId="39" fillId="0" borderId="26" xfId="0" applyFont="1" applyBorder="1" applyAlignment="1">
      <alignment horizontal="center" vertical="center" wrapText="1"/>
    </xf>
    <xf numFmtId="49" fontId="39" fillId="0" borderId="25" xfId="0" applyNumberFormat="1" applyFont="1" applyBorder="1" applyAlignment="1">
      <alignment horizontal="center" vertical="center" wrapText="1"/>
    </xf>
    <xf numFmtId="0" fontId="39" fillId="0" borderId="25" xfId="0" applyFont="1" applyBorder="1" applyAlignment="1">
      <alignment horizontal="left" vertical="center" wrapText="1"/>
    </xf>
    <xf numFmtId="0" fontId="39" fillId="0" borderId="33" xfId="0" quotePrefix="1" applyFont="1" applyBorder="1" applyAlignment="1">
      <alignment vertical="center" wrapText="1"/>
    </xf>
    <xf numFmtId="0" fontId="39" fillId="2" borderId="9" xfId="0" applyFont="1" applyFill="1" applyBorder="1" applyAlignment="1">
      <alignment horizontal="center" vertical="center" wrapText="1"/>
    </xf>
    <xf numFmtId="49" fontId="39" fillId="0" borderId="1" xfId="0" quotePrefix="1" applyNumberFormat="1" applyFont="1" applyBorder="1" applyAlignment="1">
      <alignment vertical="center" wrapText="1"/>
    </xf>
    <xf numFmtId="0" fontId="39" fillId="0" borderId="1" xfId="0" quotePrefix="1" applyFont="1" applyBorder="1" applyAlignment="1">
      <alignment vertical="top" wrapText="1"/>
    </xf>
    <xf numFmtId="0" fontId="39" fillId="2" borderId="1" xfId="0" quotePrefix="1" applyFont="1" applyFill="1" applyBorder="1" applyAlignment="1">
      <alignment vertical="top" wrapText="1"/>
    </xf>
    <xf numFmtId="49" fontId="39" fillId="0" borderId="9" xfId="0" applyNumberFormat="1" applyFont="1" applyBorder="1" applyAlignment="1">
      <alignment horizontal="center" vertical="center" wrapText="1"/>
    </xf>
    <xf numFmtId="0" fontId="15" fillId="0" borderId="14" xfId="0" applyFont="1" applyBorder="1" applyAlignment="1">
      <alignment horizontal="center" vertical="center" wrapText="1"/>
    </xf>
    <xf numFmtId="49" fontId="45" fillId="2" borderId="14" xfId="0" applyNumberFormat="1" applyFont="1" applyFill="1" applyBorder="1" applyAlignment="1">
      <alignment horizontal="center" vertical="center" wrapText="1"/>
    </xf>
    <xf numFmtId="0" fontId="39" fillId="2" borderId="17" xfId="0" applyFont="1" applyFill="1" applyBorder="1" applyAlignment="1">
      <alignment horizontal="center" vertical="center" wrapText="1"/>
    </xf>
    <xf numFmtId="0" fontId="39" fillId="0" borderId="18" xfId="0" applyFont="1" applyBorder="1" applyAlignment="1">
      <alignment horizontal="center" vertical="center" wrapText="1"/>
    </xf>
    <xf numFmtId="49" fontId="39" fillId="0" borderId="11" xfId="0" applyNumberFormat="1" applyFont="1" applyBorder="1" applyAlignment="1">
      <alignment horizontal="center" vertical="center" wrapText="1"/>
    </xf>
    <xf numFmtId="0" fontId="39" fillId="0" borderId="12" xfId="0" applyFont="1" applyBorder="1" applyAlignment="1">
      <alignment horizontal="center" vertical="center" wrapText="1"/>
    </xf>
    <xf numFmtId="0" fontId="39" fillId="0" borderId="18" xfId="0" quotePrefix="1" applyFont="1" applyBorder="1" applyAlignment="1">
      <alignment vertical="top" wrapText="1"/>
    </xf>
    <xf numFmtId="0" fontId="39" fillId="2" borderId="11" xfId="0" applyFont="1" applyFill="1" applyBorder="1" applyAlignment="1">
      <alignment horizontal="center" vertical="center" wrapText="1"/>
    </xf>
    <xf numFmtId="0" fontId="39" fillId="2" borderId="12" xfId="0" quotePrefix="1" applyFont="1" applyFill="1" applyBorder="1" applyAlignment="1">
      <alignment vertical="top" wrapText="1"/>
    </xf>
    <xf numFmtId="0" fontId="15" fillId="0" borderId="15" xfId="0" applyFont="1" applyBorder="1" applyAlignment="1">
      <alignment horizontal="center" vertical="center" wrapText="1"/>
    </xf>
    <xf numFmtId="0" fontId="15" fillId="0" borderId="15" xfId="0" quotePrefix="1" applyFont="1" applyBorder="1" applyAlignment="1">
      <alignment wrapText="1"/>
    </xf>
    <xf numFmtId="0" fontId="15" fillId="0" borderId="15" xfId="0" quotePrefix="1" applyFont="1" applyBorder="1" applyAlignment="1">
      <alignment vertical="center" wrapText="1"/>
    </xf>
    <xf numFmtId="0" fontId="45" fillId="0" borderId="15" xfId="0" quotePrefix="1" applyFont="1" applyBorder="1" applyAlignment="1">
      <alignment vertical="top" wrapText="1"/>
    </xf>
    <xf numFmtId="0" fontId="45" fillId="0" borderId="15" xfId="0" quotePrefix="1" applyFont="1" applyBorder="1" applyAlignment="1">
      <alignment vertical="center" wrapText="1"/>
    </xf>
    <xf numFmtId="0" fontId="39" fillId="2" borderId="26" xfId="0" applyFont="1" applyFill="1" applyBorder="1" applyAlignment="1">
      <alignment horizontal="center" vertical="center" wrapText="1"/>
    </xf>
    <xf numFmtId="0" fontId="39" fillId="0" borderId="27" xfId="0" quotePrefix="1" applyFont="1" applyBorder="1" applyAlignment="1">
      <alignment vertical="top" wrapText="1"/>
    </xf>
    <xf numFmtId="0" fontId="15" fillId="2" borderId="14" xfId="0" applyFont="1" applyFill="1" applyBorder="1" applyAlignment="1">
      <alignment horizontal="center" vertical="center" wrapText="1"/>
    </xf>
    <xf numFmtId="49" fontId="39" fillId="0" borderId="12" xfId="0" applyNumberFormat="1" applyFont="1" applyBorder="1" applyAlignment="1">
      <alignment horizontal="center" vertical="center" wrapText="1"/>
    </xf>
    <xf numFmtId="49" fontId="39" fillId="0" borderId="12" xfId="0" quotePrefix="1" applyNumberFormat="1" applyFont="1" applyBorder="1" applyAlignment="1">
      <alignment vertical="center" wrapText="1"/>
    </xf>
    <xf numFmtId="0" fontId="45" fillId="2" borderId="14" xfId="0" applyFont="1" applyFill="1" applyBorder="1" applyAlignment="1">
      <alignment horizontal="center" vertical="center" wrapText="1"/>
    </xf>
    <xf numFmtId="49" fontId="39" fillId="2" borderId="1" xfId="0" applyNumberFormat="1" applyFont="1" applyFill="1" applyBorder="1" applyAlignment="1">
      <alignment horizontal="center" vertical="center" wrapText="1"/>
    </xf>
    <xf numFmtId="0" fontId="45" fillId="2" borderId="24" xfId="0" applyFont="1" applyFill="1" applyBorder="1" applyAlignment="1">
      <alignment horizontal="center" vertical="center" wrapText="1"/>
    </xf>
    <xf numFmtId="0" fontId="45" fillId="0" borderId="25" xfId="0" applyFont="1" applyBorder="1" applyAlignment="1">
      <alignment horizontal="center" vertical="center" wrapText="1"/>
    </xf>
    <xf numFmtId="0" fontId="45" fillId="0" borderId="25" xfId="0" quotePrefix="1" applyFont="1" applyBorder="1" applyAlignment="1">
      <alignment vertical="center" wrapText="1"/>
    </xf>
    <xf numFmtId="0" fontId="39" fillId="0" borderId="17" xfId="0" applyFont="1" applyBorder="1" applyAlignment="1">
      <alignment horizontal="center" vertical="center" wrapText="1"/>
    </xf>
    <xf numFmtId="49" fontId="39" fillId="2" borderId="9" xfId="0" applyNumberFormat="1" applyFont="1" applyFill="1" applyBorder="1" applyAlignment="1">
      <alignment horizontal="center" vertical="center" wrapText="1"/>
    </xf>
    <xf numFmtId="0" fontId="39" fillId="2" borderId="15" xfId="0" applyFont="1" applyFill="1" applyBorder="1" applyAlignment="1">
      <alignment horizontal="center" vertical="center" wrapText="1"/>
    </xf>
    <xf numFmtId="0" fontId="39" fillId="0" borderId="15" xfId="0" quotePrefix="1" applyFont="1" applyBorder="1" applyAlignment="1">
      <alignment vertical="center" wrapText="1"/>
    </xf>
    <xf numFmtId="0" fontId="45" fillId="0" borderId="24" xfId="0" applyFont="1" applyBorder="1" applyAlignment="1">
      <alignment horizontal="center" vertical="center" wrapText="1"/>
    </xf>
    <xf numFmtId="0" fontId="45" fillId="0" borderId="25" xfId="0" applyFont="1" applyBorder="1" applyAlignment="1">
      <alignment horizontal="left" vertical="center" wrapText="1"/>
    </xf>
    <xf numFmtId="0" fontId="15" fillId="0" borderId="15" xfId="0" applyFont="1" applyBorder="1" applyAlignment="1">
      <alignment horizontal="left" vertical="top"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49" fontId="39" fillId="0" borderId="7" xfId="0" applyNumberFormat="1" applyFont="1" applyBorder="1" applyAlignment="1">
      <alignment horizontal="center" vertical="center" wrapText="1"/>
    </xf>
    <xf numFmtId="0" fontId="39" fillId="0" borderId="7" xfId="0" quotePrefix="1" applyFont="1" applyBorder="1" applyAlignment="1">
      <alignment vertical="center" wrapText="1"/>
    </xf>
    <xf numFmtId="0" fontId="39" fillId="0" borderId="15" xfId="0" applyFont="1" applyBorder="1" applyAlignment="1">
      <alignment horizontal="center" vertical="center" wrapText="1"/>
    </xf>
    <xf numFmtId="49" fontId="39" fillId="0" borderId="15" xfId="0" applyNumberFormat="1" applyFont="1" applyBorder="1" applyAlignment="1">
      <alignment horizontal="center" vertical="center" wrapText="1"/>
    </xf>
    <xf numFmtId="49" fontId="39" fillId="0" borderId="18" xfId="0" applyNumberFormat="1" applyFont="1" applyBorder="1" applyAlignment="1">
      <alignment horizontal="center" vertical="center" wrapText="1"/>
    </xf>
    <xf numFmtId="0" fontId="39" fillId="2" borderId="6" xfId="0" applyFont="1" applyFill="1" applyBorder="1" applyAlignment="1">
      <alignment horizontal="center" vertical="center" wrapText="1"/>
    </xf>
    <xf numFmtId="3" fontId="39" fillId="0" borderId="7" xfId="0" applyNumberFormat="1" applyFont="1" applyBorder="1" applyAlignment="1">
      <alignment horizontal="right" vertical="center"/>
    </xf>
    <xf numFmtId="49" fontId="39" fillId="0" borderId="5" xfId="0" applyNumberFormat="1" applyFont="1" applyBorder="1" applyAlignment="1">
      <alignment horizontal="center" vertical="center"/>
    </xf>
    <xf numFmtId="0" fontId="39" fillId="0" borderId="5" xfId="0" applyFont="1" applyBorder="1" applyAlignment="1">
      <alignment vertical="center" wrapText="1"/>
    </xf>
    <xf numFmtId="49" fontId="39" fillId="0" borderId="18" xfId="0" quotePrefix="1" applyNumberFormat="1" applyFont="1" applyBorder="1" applyAlignment="1">
      <alignment vertical="center" wrapText="1"/>
    </xf>
    <xf numFmtId="49" fontId="39" fillId="0" borderId="14" xfId="0" applyNumberFormat="1" applyFont="1" applyBorder="1" applyAlignment="1">
      <alignment horizontal="center" vertical="center"/>
    </xf>
    <xf numFmtId="49" fontId="39" fillId="0" borderId="15" xfId="0" applyNumberFormat="1" applyFont="1" applyBorder="1" applyAlignment="1">
      <alignment horizontal="center" vertical="center"/>
    </xf>
    <xf numFmtId="0" fontId="39" fillId="2" borderId="15" xfId="0" quotePrefix="1" applyFont="1" applyFill="1" applyBorder="1" applyAlignment="1">
      <alignment vertical="center" wrapText="1"/>
    </xf>
    <xf numFmtId="167" fontId="39" fillId="2" borderId="16" xfId="0" applyNumberFormat="1" applyFont="1" applyFill="1" applyBorder="1" applyAlignment="1">
      <alignment horizontal="right" vertical="center"/>
    </xf>
    <xf numFmtId="3" fontId="39" fillId="2" borderId="18" xfId="0" applyNumberFormat="1" applyFont="1" applyFill="1" applyBorder="1" applyAlignment="1">
      <alignment vertical="center"/>
    </xf>
    <xf numFmtId="0" fontId="45" fillId="0" borderId="14" xfId="0" applyFont="1" applyBorder="1" applyAlignment="1">
      <alignment horizontal="center" vertical="center" wrapText="1"/>
    </xf>
    <xf numFmtId="0" fontId="45" fillId="2" borderId="15" xfId="0" applyFont="1" applyFill="1" applyBorder="1" applyAlignment="1">
      <alignment horizontal="center" vertical="center" wrapText="1"/>
    </xf>
    <xf numFmtId="3" fontId="45" fillId="2" borderId="15" xfId="0" applyNumberFormat="1" applyFont="1" applyFill="1" applyBorder="1" applyAlignment="1">
      <alignment vertical="center" wrapText="1"/>
    </xf>
    <xf numFmtId="3" fontId="45" fillId="2" borderId="15" xfId="0" applyNumberFormat="1" applyFont="1" applyFill="1" applyBorder="1" applyAlignment="1">
      <alignment horizontal="right" vertical="center"/>
    </xf>
    <xf numFmtId="0" fontId="13" fillId="2" borderId="0" xfId="0" applyFont="1" applyFill="1"/>
    <xf numFmtId="0" fontId="55" fillId="0" borderId="0" xfId="0" applyFont="1" applyAlignment="1">
      <alignment vertical="center"/>
    </xf>
    <xf numFmtId="0" fontId="25" fillId="0" borderId="0" xfId="0" applyFont="1" applyAlignment="1">
      <alignment horizontal="right" vertical="center"/>
    </xf>
    <xf numFmtId="166" fontId="3" fillId="0" borderId="0" xfId="0" applyNumberFormat="1" applyFont="1"/>
    <xf numFmtId="0" fontId="3" fillId="0" borderId="0" xfId="0" applyFont="1" applyAlignment="1">
      <alignment vertical="center"/>
    </xf>
    <xf numFmtId="0" fontId="28" fillId="0" borderId="0" xfId="0" applyFont="1"/>
    <xf numFmtId="0" fontId="25" fillId="0" borderId="0" xfId="0" applyFont="1" applyAlignment="1">
      <alignment vertical="center"/>
    </xf>
    <xf numFmtId="9" fontId="25" fillId="0" borderId="0" xfId="0" applyNumberFormat="1" applyFont="1" applyAlignment="1">
      <alignment horizontal="right" vertical="center"/>
    </xf>
    <xf numFmtId="0" fontId="7" fillId="2" borderId="0" xfId="0" applyFont="1" applyFill="1" applyAlignment="1">
      <alignment vertical="top" wrapText="1"/>
    </xf>
    <xf numFmtId="3" fontId="20" fillId="0" borderId="15" xfId="0" applyNumberFormat="1" applyFont="1" applyBorder="1" applyAlignment="1">
      <alignment horizontal="center" vertical="center" wrapText="1"/>
    </xf>
    <xf numFmtId="0" fontId="9" fillId="0" borderId="16" xfId="0" applyFont="1" applyBorder="1"/>
    <xf numFmtId="0" fontId="24" fillId="0" borderId="6" xfId="0" applyFont="1" applyBorder="1" applyAlignment="1">
      <alignment vertical="center" wrapText="1"/>
    </xf>
    <xf numFmtId="49" fontId="24" fillId="0" borderId="7" xfId="0" applyNumberFormat="1" applyFont="1" applyBorder="1" applyAlignment="1">
      <alignment horizontal="center" vertical="center"/>
    </xf>
    <xf numFmtId="9" fontId="25" fillId="0" borderId="10" xfId="0" applyNumberFormat="1" applyFont="1" applyBorder="1"/>
    <xf numFmtId="49" fontId="25" fillId="0" borderId="20" xfId="0" applyNumberFormat="1" applyFont="1" applyBorder="1" applyAlignment="1">
      <alignment horizontal="center" vertical="center"/>
    </xf>
    <xf numFmtId="0" fontId="25" fillId="0" borderId="21" xfId="0" applyFont="1" applyBorder="1" applyAlignment="1">
      <alignment horizontal="center" vertical="center"/>
    </xf>
    <xf numFmtId="49" fontId="25" fillId="0" borderId="21" xfId="0" applyNumberFormat="1" applyFont="1" applyBorder="1" applyAlignment="1">
      <alignment horizontal="center" vertical="center"/>
    </xf>
    <xf numFmtId="0" fontId="54" fillId="0" borderId="21" xfId="0" applyFont="1" applyBorder="1" applyAlignment="1">
      <alignment horizontal="center" vertical="center" wrapText="1"/>
    </xf>
    <xf numFmtId="0" fontId="3" fillId="0" borderId="21" xfId="0" applyFont="1" applyBorder="1" applyAlignment="1">
      <alignment vertical="center" wrapText="1"/>
    </xf>
    <xf numFmtId="4" fontId="3" fillId="0" borderId="21" xfId="0" applyNumberFormat="1" applyFont="1" applyBorder="1" applyAlignment="1">
      <alignment horizontal="right" wrapText="1"/>
    </xf>
    <xf numFmtId="175" fontId="5" fillId="0" borderId="29" xfId="0" applyNumberFormat="1" applyFont="1" applyBorder="1" applyAlignment="1">
      <alignment horizontal="center"/>
    </xf>
    <xf numFmtId="0" fontId="6" fillId="0" borderId="44" xfId="0" quotePrefix="1" applyFont="1" applyBorder="1" applyAlignment="1">
      <alignment horizontal="left" vertical="center" wrapText="1"/>
    </xf>
    <xf numFmtId="3" fontId="6" fillId="0" borderId="10" xfId="0" applyNumberFormat="1" applyFont="1" applyBorder="1" applyAlignment="1">
      <alignment horizontal="center"/>
    </xf>
    <xf numFmtId="164" fontId="6" fillId="0" borderId="1" xfId="0" applyNumberFormat="1" applyFont="1" applyBorder="1" applyAlignment="1">
      <alignment horizontal="center"/>
    </xf>
    <xf numFmtId="0" fontId="9" fillId="3" borderId="61" xfId="0" applyFont="1" applyFill="1" applyBorder="1" applyAlignment="1">
      <alignment horizontal="center" vertical="center" wrapText="1"/>
    </xf>
    <xf numFmtId="0" fontId="0" fillId="0" borderId="27" xfId="0" applyBorder="1"/>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5" fillId="0" borderId="15" xfId="0" applyFont="1" applyBorder="1" applyAlignment="1">
      <alignment horizontal="center" vertical="center"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56" xfId="0" applyFont="1" applyBorder="1" applyAlignment="1">
      <alignment horizontal="center" vertical="top" wrapText="1"/>
    </xf>
    <xf numFmtId="0" fontId="0" fillId="0" borderId="7" xfId="0" applyBorder="1"/>
    <xf numFmtId="0" fontId="0" fillId="0" borderId="8" xfId="0" applyBorder="1"/>
    <xf numFmtId="170" fontId="6" fillId="0" borderId="22" xfId="0" applyNumberFormat="1" applyFont="1" applyBorder="1" applyAlignment="1">
      <alignment horizontal="center" vertical="center"/>
    </xf>
    <xf numFmtId="0" fontId="12" fillId="0" borderId="62" xfId="0" applyFont="1" applyBorder="1" applyAlignment="1">
      <alignment horizontal="center" vertical="top" wrapText="1"/>
    </xf>
    <xf numFmtId="0" fontId="12" fillId="0" borderId="63" xfId="0" applyFont="1" applyBorder="1" applyAlignment="1">
      <alignment horizontal="center" vertical="top" wrapText="1"/>
    </xf>
    <xf numFmtId="0" fontId="12" fillId="0" borderId="7" xfId="0" applyFont="1" applyBorder="1" applyAlignment="1">
      <alignment horizontal="center"/>
    </xf>
    <xf numFmtId="0" fontId="12" fillId="0" borderId="8" xfId="0" applyFont="1" applyBorder="1" applyAlignment="1">
      <alignment horizontal="center"/>
    </xf>
    <xf numFmtId="0" fontId="0" fillId="0" borderId="15" xfId="0" applyBorder="1"/>
    <xf numFmtId="0" fontId="0" fillId="0" borderId="16" xfId="0" applyBorder="1"/>
    <xf numFmtId="0" fontId="5" fillId="0" borderId="1" xfId="0" applyFont="1" applyBorder="1"/>
    <xf numFmtId="0" fontId="39" fillId="2" borderId="7" xfId="0" applyFont="1" applyFill="1" applyBorder="1" applyAlignment="1">
      <alignment horizontal="center" vertical="center" wrapText="1"/>
    </xf>
    <xf numFmtId="49" fontId="39" fillId="2" borderId="7" xfId="0" applyNumberFormat="1" applyFont="1" applyFill="1" applyBorder="1" applyAlignment="1">
      <alignment horizontal="center" vertical="center" wrapText="1"/>
    </xf>
    <xf numFmtId="0" fontId="39" fillId="2" borderId="7" xfId="0" quotePrefix="1" applyFont="1" applyFill="1" applyBorder="1" applyAlignment="1">
      <alignment vertical="center" wrapText="1"/>
    </xf>
    <xf numFmtId="0" fontId="50" fillId="0" borderId="4" xfId="0" applyFont="1" applyBorder="1" applyAlignment="1">
      <alignment horizontal="left" wrapText="1"/>
    </xf>
    <xf numFmtId="49" fontId="39" fillId="0" borderId="17" xfId="0" applyNumberFormat="1" applyFont="1" applyBorder="1" applyAlignment="1">
      <alignment horizontal="center" vertical="center" wrapText="1"/>
    </xf>
    <xf numFmtId="0" fontId="50" fillId="0" borderId="1" xfId="0" applyFont="1" applyBorder="1" applyAlignment="1">
      <alignment wrapText="1"/>
    </xf>
    <xf numFmtId="49" fontId="32" fillId="2" borderId="27" xfId="0" applyNumberFormat="1" applyFont="1" applyFill="1" applyBorder="1" applyAlignment="1">
      <alignment horizontal="center" vertical="center" wrapText="1"/>
    </xf>
    <xf numFmtId="0" fontId="32" fillId="2" borderId="18" xfId="0" quotePrefix="1" applyFont="1" applyFill="1" applyBorder="1" applyAlignment="1">
      <alignment vertical="center" wrapText="1"/>
    </xf>
    <xf numFmtId="49" fontId="39" fillId="0" borderId="11" xfId="0" applyNumberFormat="1" applyFont="1" applyBorder="1" applyAlignment="1">
      <alignment horizontal="center" vertical="center"/>
    </xf>
    <xf numFmtId="0" fontId="39" fillId="0" borderId="23" xfId="0" quotePrefix="1" applyFont="1" applyBorder="1" applyAlignment="1">
      <alignment vertical="center" wrapText="1"/>
    </xf>
    <xf numFmtId="0" fontId="39" fillId="0" borderId="44" xfId="0" quotePrefix="1" applyFont="1" applyBorder="1" applyAlignment="1">
      <alignment vertical="center" wrapText="1"/>
    </xf>
    <xf numFmtId="0" fontId="32" fillId="2" borderId="1" xfId="0" applyFont="1" applyFill="1" applyBorder="1" applyAlignment="1">
      <alignment horizontal="center" vertical="center" wrapText="1"/>
    </xf>
    <xf numFmtId="0" fontId="31" fillId="2" borderId="15" xfId="0" quotePrefix="1" applyFont="1" applyFill="1" applyBorder="1" applyAlignment="1">
      <alignment horizontal="left" vertical="center" wrapText="1"/>
    </xf>
    <xf numFmtId="0" fontId="39" fillId="2" borderId="1" xfId="0" quotePrefix="1" applyFont="1" applyFill="1" applyBorder="1" applyAlignment="1">
      <alignment horizontal="left" vertical="center" wrapText="1"/>
    </xf>
    <xf numFmtId="0" fontId="45" fillId="0" borderId="1" xfId="0" applyFont="1" applyBorder="1" applyAlignment="1">
      <alignment vertical="center" wrapText="1"/>
    </xf>
    <xf numFmtId="3" fontId="13" fillId="2" borderId="0" xfId="0" applyNumberFormat="1" applyFont="1" applyFill="1"/>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166" fontId="20" fillId="3" borderId="0" xfId="1" applyNumberFormat="1" applyFont="1" applyFill="1" applyBorder="1" applyAlignment="1">
      <alignment horizontal="right" vertical="center" wrapText="1"/>
    </xf>
    <xf numFmtId="9" fontId="20" fillId="3" borderId="0" xfId="0" applyNumberFormat="1" applyFont="1" applyFill="1" applyAlignment="1">
      <alignment horizontal="center" vertical="center" wrapText="1"/>
    </xf>
    <xf numFmtId="166" fontId="25" fillId="0" borderId="0" xfId="0" applyNumberFormat="1" applyFont="1" applyAlignment="1">
      <alignment horizontal="right" vertical="center"/>
    </xf>
    <xf numFmtId="3" fontId="35" fillId="0" borderId="3" xfId="0" applyNumberFormat="1" applyFont="1" applyBorder="1" applyAlignment="1">
      <alignment horizontal="right" wrapText="1"/>
    </xf>
    <xf numFmtId="3" fontId="35" fillId="0" borderId="1" xfId="0" applyNumberFormat="1" applyFont="1" applyBorder="1" applyAlignment="1">
      <alignment horizontal="right"/>
    </xf>
    <xf numFmtId="9" fontId="35" fillId="0" borderId="10" xfId="0" applyNumberFormat="1" applyFont="1" applyBorder="1" applyAlignment="1">
      <alignment horizontal="right"/>
    </xf>
    <xf numFmtId="0" fontId="35" fillId="0" borderId="1" xfId="0" applyFont="1" applyBorder="1" applyAlignment="1">
      <alignment horizontal="right"/>
    </xf>
    <xf numFmtId="3" fontId="35" fillId="0" borderId="44" xfId="0" applyNumberFormat="1" applyFont="1" applyBorder="1" applyAlignment="1">
      <alignment horizontal="right" wrapText="1"/>
    </xf>
    <xf numFmtId="9" fontId="43" fillId="0" borderId="16" xfId="0" applyNumberFormat="1" applyFont="1" applyBorder="1" applyAlignment="1">
      <alignment horizontal="center"/>
    </xf>
    <xf numFmtId="4" fontId="24" fillId="0" borderId="7" xfId="0" applyNumberFormat="1" applyFont="1" applyBorder="1"/>
    <xf numFmtId="0" fontId="56" fillId="0" borderId="8" xfId="0" applyFont="1" applyBorder="1"/>
    <xf numFmtId="0" fontId="56" fillId="0" borderId="0" xfId="0" applyFont="1"/>
    <xf numFmtId="9" fontId="25" fillId="0" borderId="22" xfId="0" applyNumberFormat="1" applyFont="1" applyBorder="1"/>
    <xf numFmtId="4" fontId="25" fillId="0" borderId="21" xfId="0" applyNumberFormat="1" applyFont="1" applyBorder="1"/>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49" fontId="45" fillId="0" borderId="7" xfId="0" applyNumberFormat="1" applyFont="1" applyBorder="1" applyAlignment="1">
      <alignment horizontal="center" vertical="center" wrapText="1"/>
    </xf>
    <xf numFmtId="0" fontId="45" fillId="0" borderId="7" xfId="0" applyFont="1" applyBorder="1" applyAlignment="1">
      <alignment horizontal="left" vertical="center" wrapText="1"/>
    </xf>
    <xf numFmtId="0" fontId="45" fillId="0" borderId="7" xfId="0" quotePrefix="1" applyFont="1" applyBorder="1" applyAlignment="1">
      <alignment vertical="center" wrapText="1"/>
    </xf>
    <xf numFmtId="3" fontId="45" fillId="2" borderId="7" xfId="0" applyNumberFormat="1" applyFont="1" applyFill="1" applyBorder="1" applyAlignment="1">
      <alignment vertical="center" wrapText="1"/>
    </xf>
    <xf numFmtId="3" fontId="45" fillId="0" borderId="7" xfId="0" applyNumberFormat="1" applyFont="1" applyBorder="1" applyAlignment="1">
      <alignment horizontal="right" vertical="center" wrapText="1"/>
    </xf>
    <xf numFmtId="3" fontId="45" fillId="3" borderId="7" xfId="0" applyNumberFormat="1" applyFont="1" applyFill="1" applyBorder="1" applyAlignment="1">
      <alignment horizontal="right" vertical="center"/>
    </xf>
    <xf numFmtId="9" fontId="45" fillId="2" borderId="8" xfId="0" applyNumberFormat="1" applyFont="1" applyFill="1" applyBorder="1" applyAlignment="1">
      <alignment horizontal="right" vertical="center"/>
    </xf>
    <xf numFmtId="164" fontId="5" fillId="2" borderId="9" xfId="0" applyNumberFormat="1" applyFont="1" applyFill="1" applyBorder="1" applyAlignment="1">
      <alignment horizontal="right" vertical="center"/>
    </xf>
    <xf numFmtId="176" fontId="6" fillId="0" borderId="1" xfId="0" applyNumberFormat="1" applyFont="1" applyBorder="1" applyAlignment="1">
      <alignment horizontal="center"/>
    </xf>
    <xf numFmtId="176" fontId="5" fillId="0" borderId="1" xfId="0" applyNumberFormat="1" applyFont="1" applyBorder="1" applyAlignment="1">
      <alignment horizontal="center"/>
    </xf>
    <xf numFmtId="176" fontId="5" fillId="0" borderId="60" xfId="0" applyNumberFormat="1" applyFont="1" applyBorder="1" applyAlignment="1">
      <alignment horizontal="center"/>
    </xf>
    <xf numFmtId="0" fontId="6" fillId="0" borderId="51" xfId="0" applyFont="1" applyBorder="1" applyAlignment="1">
      <alignment horizontal="center" vertical="center"/>
    </xf>
    <xf numFmtId="168" fontId="6" fillId="0" borderId="2" xfId="0" applyNumberFormat="1" applyFont="1" applyBorder="1" applyAlignment="1">
      <alignment horizontal="center"/>
    </xf>
    <xf numFmtId="3" fontId="6" fillId="0" borderId="18" xfId="0" applyNumberFormat="1" applyFont="1" applyBorder="1" applyAlignment="1">
      <alignment horizontal="center"/>
    </xf>
    <xf numFmtId="175" fontId="6" fillId="0" borderId="19" xfId="0" applyNumberFormat="1" applyFont="1" applyBorder="1" applyAlignment="1">
      <alignment horizontal="center"/>
    </xf>
    <xf numFmtId="3" fontId="6" fillId="0" borderId="63" xfId="0" applyNumberFormat="1" applyFont="1" applyBorder="1" applyAlignment="1">
      <alignment horizontal="center"/>
    </xf>
    <xf numFmtId="176" fontId="6" fillId="0" borderId="37" xfId="0" applyNumberFormat="1" applyFont="1" applyBorder="1"/>
    <xf numFmtId="175" fontId="6" fillId="0" borderId="52" xfId="0" applyNumberFormat="1" applyFont="1" applyBorder="1"/>
    <xf numFmtId="0" fontId="32" fillId="2" borderId="1" xfId="0" quotePrefix="1" applyFont="1" applyFill="1" applyBorder="1" applyAlignment="1">
      <alignment vertical="center" wrapText="1"/>
    </xf>
    <xf numFmtId="173" fontId="5" fillId="2" borderId="53" xfId="0" applyNumberFormat="1" applyFont="1" applyFill="1" applyBorder="1" applyAlignment="1">
      <alignment horizontal="right" vertical="center"/>
    </xf>
    <xf numFmtId="173" fontId="6" fillId="2" borderId="53" xfId="0" applyNumberFormat="1" applyFont="1" applyFill="1" applyBorder="1" applyAlignment="1">
      <alignment horizontal="right" vertical="center"/>
    </xf>
    <xf numFmtId="171" fontId="5" fillId="2" borderId="28" xfId="0" applyNumberFormat="1" applyFont="1" applyFill="1" applyBorder="1" applyAlignment="1">
      <alignment horizontal="right" vertical="center"/>
    </xf>
    <xf numFmtId="171" fontId="6" fillId="0" borderId="19" xfId="0" applyNumberFormat="1" applyFont="1" applyBorder="1" applyAlignment="1">
      <alignment horizontal="right" vertical="center"/>
    </xf>
    <xf numFmtId="171" fontId="6" fillId="0" borderId="10" xfId="0" applyNumberFormat="1" applyFont="1" applyBorder="1" applyAlignment="1">
      <alignment horizontal="right" vertical="center"/>
    </xf>
    <xf numFmtId="171" fontId="5" fillId="0" borderId="28" xfId="0" applyNumberFormat="1" applyFont="1" applyBorder="1" applyAlignment="1">
      <alignment horizontal="right" vertical="center"/>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27" xfId="0" applyFont="1" applyFill="1" applyBorder="1" applyAlignment="1">
      <alignment horizontal="center" vertical="center" wrapText="1"/>
    </xf>
    <xf numFmtId="0" fontId="32" fillId="2" borderId="18" xfId="0" applyFont="1" applyFill="1" applyBorder="1" applyAlignment="1">
      <alignment horizontal="center" vertical="center" wrapText="1"/>
    </xf>
    <xf numFmtId="49" fontId="58" fillId="0" borderId="14" xfId="0" applyNumberFormat="1" applyFont="1" applyBorder="1" applyAlignment="1">
      <alignment horizontal="center" vertical="center" wrapText="1"/>
    </xf>
    <xf numFmtId="49" fontId="58" fillId="0" borderId="32" xfId="0" applyNumberFormat="1" applyFont="1" applyBorder="1" applyAlignment="1">
      <alignment horizontal="center" vertical="center" wrapText="1"/>
    </xf>
    <xf numFmtId="49" fontId="58" fillId="0" borderId="15" xfId="0" applyNumberFormat="1" applyFont="1" applyBorder="1" applyAlignment="1">
      <alignment horizontal="center" vertical="center" wrapText="1"/>
    </xf>
    <xf numFmtId="49" fontId="58" fillId="0" borderId="50" xfId="0" applyNumberFormat="1" applyFont="1" applyBorder="1" applyAlignment="1">
      <alignment horizontal="center" vertical="center" wrapText="1"/>
    </xf>
    <xf numFmtId="0" fontId="58" fillId="0" borderId="15" xfId="0" applyFont="1" applyBorder="1" applyAlignment="1">
      <alignment horizontal="center" vertical="center"/>
    </xf>
    <xf numFmtId="0" fontId="58" fillId="0" borderId="16" xfId="0" applyFont="1" applyBorder="1" applyAlignment="1">
      <alignment horizontal="center" vertical="center"/>
    </xf>
    <xf numFmtId="49" fontId="59" fillId="0" borderId="36" xfId="0" applyNumberFormat="1" applyFont="1" applyBorder="1" applyAlignment="1">
      <alignment horizontal="center" vertical="center" wrapText="1"/>
    </xf>
    <xf numFmtId="49" fontId="59" fillId="0" borderId="37" xfId="0" applyNumberFormat="1" applyFont="1" applyBorder="1" applyAlignment="1">
      <alignment horizontal="center" vertical="center" wrapText="1"/>
    </xf>
    <xf numFmtId="0" fontId="59" fillId="0" borderId="37" xfId="0" applyFont="1" applyBorder="1" applyAlignment="1">
      <alignment horizontal="center" vertical="center" wrapText="1"/>
    </xf>
    <xf numFmtId="0" fontId="59" fillId="0" borderId="37" xfId="0" applyFont="1" applyBorder="1" applyAlignment="1">
      <alignment horizontal="center" vertical="center"/>
    </xf>
    <xf numFmtId="0" fontId="59" fillId="0" borderId="52" xfId="0" applyFont="1" applyBorder="1" applyAlignment="1">
      <alignment horizontal="center" vertical="center"/>
    </xf>
    <xf numFmtId="3" fontId="43" fillId="0" borderId="50" xfId="0" applyNumberFormat="1" applyFont="1" applyBorder="1" applyAlignment="1">
      <alignment horizontal="center" vertical="center" wrapText="1"/>
    </xf>
    <xf numFmtId="3" fontId="45" fillId="0" borderId="1" xfId="0" applyNumberFormat="1" applyFont="1" applyBorder="1" applyAlignment="1">
      <alignment vertical="center" wrapText="1"/>
    </xf>
    <xf numFmtId="3" fontId="39" fillId="2" borderId="1" xfId="0" applyNumberFormat="1" applyFont="1" applyFill="1" applyBorder="1" applyAlignment="1">
      <alignment horizontal="center" vertical="center" wrapText="1"/>
    </xf>
    <xf numFmtId="0" fontId="45" fillId="0" borderId="1" xfId="0" applyFont="1" applyBorder="1" applyAlignment="1">
      <alignment horizontal="left" vertical="center" wrapText="1"/>
    </xf>
    <xf numFmtId="0" fontId="39" fillId="0" borderId="1" xfId="0" applyFont="1" applyBorder="1" applyAlignment="1">
      <alignment horizontal="left" vertical="center" wrapText="1"/>
    </xf>
    <xf numFmtId="0" fontId="32" fillId="2" borderId="1" xfId="0" quotePrefix="1" applyFont="1" applyFill="1" applyBorder="1" applyAlignment="1">
      <alignment horizontal="left" vertical="center" wrapText="1"/>
    </xf>
    <xf numFmtId="49" fontId="32" fillId="0" borderId="1" xfId="0" quotePrefix="1" applyNumberFormat="1" applyFont="1" applyBorder="1" applyAlignment="1">
      <alignment horizontal="left" vertical="center" wrapText="1"/>
    </xf>
    <xf numFmtId="3" fontId="39" fillId="2" borderId="1" xfId="0" applyNumberFormat="1" applyFont="1" applyFill="1" applyBorder="1" applyAlignment="1">
      <alignment horizontal="left" vertical="center" wrapText="1"/>
    </xf>
    <xf numFmtId="0" fontId="50" fillId="0" borderId="1" xfId="0" applyFont="1" applyBorder="1" applyAlignment="1">
      <alignment horizontal="left" vertical="center" wrapText="1"/>
    </xf>
    <xf numFmtId="0" fontId="39" fillId="4" borderId="1" xfId="0" applyFont="1" applyFill="1" applyBorder="1" applyAlignment="1">
      <alignment horizontal="left" vertical="center" wrapText="1"/>
    </xf>
    <xf numFmtId="0" fontId="50" fillId="0" borderId="1" xfId="0" applyFont="1" applyBorder="1" applyAlignment="1">
      <alignment horizontal="left" vertical="center"/>
    </xf>
    <xf numFmtId="0" fontId="32" fillId="2" borderId="1" xfId="0" applyFont="1" applyFill="1" applyBorder="1" applyAlignment="1">
      <alignment horizontal="left" vertical="center" wrapText="1"/>
    </xf>
    <xf numFmtId="0" fontId="32" fillId="2" borderId="12" xfId="0" quotePrefix="1" applyFont="1" applyFill="1" applyBorder="1" applyAlignment="1">
      <alignment horizontal="left" vertical="center" wrapText="1"/>
    </xf>
    <xf numFmtId="0" fontId="39" fillId="0" borderId="18" xfId="0" applyFont="1" applyBorder="1" applyAlignment="1">
      <alignment horizontal="left" vertical="center" wrapText="1"/>
    </xf>
    <xf numFmtId="0" fontId="45" fillId="2" borderId="15" xfId="0" quotePrefix="1" applyFont="1" applyFill="1" applyBorder="1" applyAlignment="1">
      <alignment horizontal="left" vertical="center" wrapText="1"/>
    </xf>
    <xf numFmtId="0" fontId="39" fillId="0" borderId="12" xfId="0" applyFont="1" applyBorder="1" applyAlignment="1">
      <alignment horizontal="left" vertical="center" wrapText="1"/>
    </xf>
    <xf numFmtId="0" fontId="32" fillId="2" borderId="18" xfId="0" quotePrefix="1" applyFont="1" applyFill="1" applyBorder="1" applyAlignment="1">
      <alignment horizontal="left" vertical="center" wrapText="1"/>
    </xf>
    <xf numFmtId="0" fontId="46" fillId="2" borderId="15" xfId="0" quotePrefix="1" applyFont="1" applyFill="1" applyBorder="1" applyAlignment="1">
      <alignment horizontal="left"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5" fillId="3" borderId="15" xfId="0" applyFont="1" applyFill="1" applyBorder="1" applyAlignment="1">
      <alignment horizontal="center" vertical="center" wrapText="1"/>
    </xf>
    <xf numFmtId="49" fontId="15" fillId="3" borderId="15" xfId="0" applyNumberFormat="1" applyFont="1" applyFill="1" applyBorder="1" applyAlignment="1">
      <alignment horizontal="center" vertical="center" wrapText="1"/>
    </xf>
    <xf numFmtId="3" fontId="15" fillId="3" borderId="15" xfId="0" applyNumberFormat="1" applyFont="1" applyFill="1" applyBorder="1" applyAlignment="1">
      <alignment horizontal="right" vertical="center" wrapText="1"/>
    </xf>
    <xf numFmtId="166" fontId="15" fillId="2" borderId="15" xfId="0" applyNumberFormat="1" applyFont="1" applyFill="1" applyBorder="1" applyAlignment="1">
      <alignment horizontal="right" vertical="center" wrapText="1"/>
    </xf>
    <xf numFmtId="9" fontId="15" fillId="3" borderId="16" xfId="0" applyNumberFormat="1" applyFont="1" applyFill="1" applyBorder="1" applyAlignment="1">
      <alignment horizontal="right" vertical="center" wrapText="1"/>
    </xf>
    <xf numFmtId="3" fontId="45" fillId="3" borderId="15" xfId="0" applyNumberFormat="1" applyFont="1" applyFill="1" applyBorder="1" applyAlignment="1">
      <alignment horizontal="right" vertical="center" wrapText="1"/>
    </xf>
    <xf numFmtId="166" fontId="45" fillId="0" borderId="15" xfId="1" applyNumberFormat="1" applyFont="1" applyFill="1" applyBorder="1" applyAlignment="1">
      <alignment horizontal="right" vertical="center" wrapText="1"/>
    </xf>
    <xf numFmtId="9" fontId="45" fillId="3" borderId="16" xfId="0" applyNumberFormat="1" applyFont="1" applyFill="1" applyBorder="1" applyAlignment="1">
      <alignment horizontal="right" vertical="center" wrapText="1"/>
    </xf>
    <xf numFmtId="49" fontId="39" fillId="0" borderId="17" xfId="0" applyNumberFormat="1" applyFont="1" applyBorder="1" applyAlignment="1">
      <alignment horizontal="center" vertical="center"/>
    </xf>
    <xf numFmtId="0" fontId="39" fillId="3" borderId="18" xfId="0" applyFont="1" applyFill="1" applyBorder="1" applyAlignment="1">
      <alignment horizontal="left" vertical="center" wrapText="1"/>
    </xf>
    <xf numFmtId="166" fontId="39" fillId="0" borderId="18" xfId="1" applyNumberFormat="1" applyFont="1" applyFill="1" applyBorder="1" applyAlignment="1">
      <alignment horizontal="right" vertical="center" wrapText="1"/>
    </xf>
    <xf numFmtId="9" fontId="39" fillId="0" borderId="19" xfId="0" applyNumberFormat="1" applyFont="1" applyBorder="1" applyAlignment="1">
      <alignment horizontal="right" vertical="center" wrapText="1"/>
    </xf>
    <xf numFmtId="49" fontId="39" fillId="2" borderId="1" xfId="0" applyNumberFormat="1" applyFont="1" applyFill="1" applyBorder="1" applyAlignment="1">
      <alignment horizontal="center" vertical="center"/>
    </xf>
    <xf numFmtId="0" fontId="39" fillId="3" borderId="1" xfId="0" applyFont="1" applyFill="1" applyBorder="1" applyAlignment="1">
      <alignment horizontal="left" vertical="center" wrapText="1"/>
    </xf>
    <xf numFmtId="166" fontId="39" fillId="0" borderId="1" xfId="1" applyNumberFormat="1" applyFont="1" applyFill="1" applyBorder="1" applyAlignment="1">
      <alignment horizontal="right" vertical="center" wrapText="1"/>
    </xf>
    <xf numFmtId="9" fontId="39" fillId="0" borderId="10" xfId="0" applyNumberFormat="1" applyFont="1" applyBorder="1" applyAlignment="1">
      <alignment horizontal="right" vertical="center" wrapText="1"/>
    </xf>
    <xf numFmtId="0" fontId="32" fillId="2" borderId="9" xfId="0" applyFont="1" applyFill="1" applyBorder="1" applyAlignment="1">
      <alignment horizontal="center" vertical="center" wrapText="1"/>
    </xf>
    <xf numFmtId="49" fontId="32" fillId="2" borderId="9" xfId="0" applyNumberFormat="1" applyFont="1" applyFill="1" applyBorder="1" applyAlignment="1">
      <alignment horizontal="center" vertical="center" wrapText="1"/>
    </xf>
    <xf numFmtId="49" fontId="32" fillId="2" borderId="1" xfId="0" applyNumberFormat="1" applyFont="1" applyFill="1" applyBorder="1" applyAlignment="1">
      <alignment horizontal="center" vertical="center" wrapText="1"/>
    </xf>
    <xf numFmtId="49" fontId="32" fillId="2" borderId="11" xfId="0" applyNumberFormat="1" applyFont="1" applyFill="1" applyBorder="1" applyAlignment="1">
      <alignment horizontal="center" vertical="center" wrapText="1"/>
    </xf>
    <xf numFmtId="49" fontId="32" fillId="2" borderId="12" xfId="0" applyNumberFormat="1" applyFont="1" applyFill="1" applyBorder="1" applyAlignment="1">
      <alignment horizontal="center" vertical="center" wrapText="1"/>
    </xf>
    <xf numFmtId="0" fontId="39" fillId="3" borderId="12" xfId="0" applyFont="1" applyFill="1" applyBorder="1" applyAlignment="1">
      <alignment horizontal="left" vertical="center" wrapText="1"/>
    </xf>
    <xf numFmtId="166" fontId="39" fillId="0" borderId="12" xfId="1" applyNumberFormat="1" applyFont="1" applyFill="1" applyBorder="1" applyAlignment="1">
      <alignment horizontal="right" vertical="center" wrapText="1"/>
    </xf>
    <xf numFmtId="9" fontId="39" fillId="0" borderId="13" xfId="0" applyNumberFormat="1" applyFont="1" applyBorder="1" applyAlignment="1">
      <alignment horizontal="right" vertical="center" wrapText="1"/>
    </xf>
    <xf numFmtId="49" fontId="31" fillId="2" borderId="14" xfId="0" applyNumberFormat="1" applyFont="1" applyFill="1" applyBorder="1" applyAlignment="1">
      <alignment horizontal="center" vertical="center" wrapText="1"/>
    </xf>
    <xf numFmtId="49" fontId="31" fillId="2" borderId="15" xfId="0" applyNumberFormat="1" applyFont="1" applyFill="1" applyBorder="1" applyAlignment="1">
      <alignment horizontal="center" vertical="center" wrapText="1"/>
    </xf>
    <xf numFmtId="0" fontId="15" fillId="3" borderId="15" xfId="0" applyFont="1" applyFill="1" applyBorder="1" applyAlignment="1">
      <alignment horizontal="left" vertical="center" wrapText="1"/>
    </xf>
    <xf numFmtId="166" fontId="15" fillId="0" borderId="15" xfId="1" applyNumberFormat="1" applyFont="1" applyFill="1" applyBorder="1" applyAlignment="1">
      <alignment horizontal="right" vertical="center" wrapText="1"/>
    </xf>
    <xf numFmtId="9" fontId="15" fillId="0" borderId="16" xfId="0" applyNumberFormat="1" applyFont="1" applyBorder="1" applyAlignment="1">
      <alignment horizontal="right" vertical="center" wrapText="1"/>
    </xf>
    <xf numFmtId="49" fontId="46" fillId="2" borderId="14" xfId="0" applyNumberFormat="1" applyFont="1" applyFill="1" applyBorder="1" applyAlignment="1">
      <alignment horizontal="center" vertical="center" wrapText="1"/>
    </xf>
    <xf numFmtId="0" fontId="46" fillId="2" borderId="15" xfId="0" applyFont="1" applyFill="1" applyBorder="1" applyAlignment="1">
      <alignment horizontal="center" vertical="center" wrapText="1"/>
    </xf>
    <xf numFmtId="49" fontId="32" fillId="2" borderId="17" xfId="0" applyNumberFormat="1" applyFont="1" applyFill="1" applyBorder="1" applyAlignment="1">
      <alignment horizontal="center" vertical="center" wrapText="1"/>
    </xf>
    <xf numFmtId="49" fontId="32" fillId="2" borderId="18" xfId="0" applyNumberFormat="1" applyFont="1" applyFill="1" applyBorder="1" applyAlignment="1">
      <alignment horizontal="center" vertical="center" wrapText="1"/>
    </xf>
    <xf numFmtId="49" fontId="15" fillId="0" borderId="18" xfId="0" applyNumberFormat="1" applyFont="1" applyBorder="1" applyAlignment="1">
      <alignment horizontal="center" vertical="center" wrapText="1"/>
    </xf>
    <xf numFmtId="3" fontId="15" fillId="0" borderId="18" xfId="0" applyNumberFormat="1" applyFont="1" applyBorder="1" applyAlignment="1">
      <alignment horizontal="right" vertical="center" wrapText="1"/>
    </xf>
    <xf numFmtId="3" fontId="39" fillId="0" borderId="18" xfId="0" applyNumberFormat="1" applyFont="1" applyBorder="1" applyAlignment="1">
      <alignment vertical="center"/>
    </xf>
    <xf numFmtId="9" fontId="15" fillId="0" borderId="19" xfId="0" applyNumberFormat="1" applyFont="1" applyBorder="1" applyAlignment="1">
      <alignment horizontal="right" vertical="center" wrapText="1"/>
    </xf>
    <xf numFmtId="3" fontId="39" fillId="0" borderId="12" xfId="0" applyNumberFormat="1" applyFont="1" applyBorder="1" applyAlignment="1">
      <alignment vertical="center"/>
    </xf>
    <xf numFmtId="0" fontId="31" fillId="2" borderId="14"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9" fillId="3" borderId="15" xfId="0" applyFont="1" applyFill="1" applyBorder="1" applyAlignment="1">
      <alignment horizontal="left" vertical="center" wrapText="1"/>
    </xf>
    <xf numFmtId="9" fontId="39" fillId="0" borderId="16" xfId="0" applyNumberFormat="1" applyFont="1" applyBorder="1" applyAlignment="1">
      <alignment horizontal="right" vertical="center" wrapText="1"/>
    </xf>
    <xf numFmtId="0" fontId="46" fillId="2" borderId="14" xfId="0" applyFont="1" applyFill="1" applyBorder="1" applyAlignment="1">
      <alignment horizontal="center" vertical="center" wrapText="1"/>
    </xf>
    <xf numFmtId="0" fontId="32" fillId="2" borderId="17" xfId="0" applyFont="1" applyFill="1" applyBorder="1" applyAlignment="1">
      <alignment horizontal="center" vertical="center" wrapText="1"/>
    </xf>
    <xf numFmtId="49" fontId="32" fillId="0" borderId="1" xfId="0" applyNumberFormat="1" applyFont="1" applyBorder="1" applyAlignment="1">
      <alignment horizontal="center" vertical="center" wrapText="1"/>
    </xf>
    <xf numFmtId="49" fontId="45" fillId="0" borderId="1" xfId="0" applyNumberFormat="1" applyFont="1" applyBorder="1" applyAlignment="1">
      <alignment horizontal="center" vertical="center" wrapText="1"/>
    </xf>
    <xf numFmtId="3" fontId="45" fillId="0" borderId="1" xfId="0" applyNumberFormat="1" applyFont="1" applyBorder="1" applyAlignment="1">
      <alignment horizontal="right" vertical="center" wrapText="1"/>
    </xf>
    <xf numFmtId="9" fontId="45" fillId="0" borderId="10" xfId="0" applyNumberFormat="1" applyFont="1" applyBorder="1" applyAlignment="1">
      <alignment horizontal="right" vertical="center" wrapText="1"/>
    </xf>
    <xf numFmtId="0" fontId="15" fillId="3" borderId="1" xfId="0" applyFont="1" applyFill="1" applyBorder="1" applyAlignment="1">
      <alignment horizontal="right" vertical="center" wrapText="1"/>
    </xf>
    <xf numFmtId="9" fontId="15" fillId="3" borderId="10" xfId="0" applyNumberFormat="1" applyFont="1" applyFill="1" applyBorder="1" applyAlignment="1">
      <alignment horizontal="right" vertical="center" wrapText="1"/>
    </xf>
    <xf numFmtId="0" fontId="32" fillId="2" borderId="1" xfId="0" applyFont="1" applyFill="1" applyBorder="1" applyAlignment="1">
      <alignment vertical="center" wrapText="1"/>
    </xf>
    <xf numFmtId="3" fontId="45" fillId="0" borderId="1" xfId="0" applyNumberFormat="1" applyFont="1" applyBorder="1" applyAlignment="1">
      <alignment horizontal="right" vertical="center"/>
    </xf>
    <xf numFmtId="3" fontId="39" fillId="0" borderId="1" xfId="0" applyNumberFormat="1" applyFont="1" applyBorder="1" applyAlignment="1">
      <alignment vertical="center"/>
    </xf>
    <xf numFmtId="9" fontId="39" fillId="2" borderId="1" xfId="6" applyFont="1" applyFill="1" applyBorder="1" applyAlignment="1">
      <alignment horizontal="right" vertical="center" wrapText="1"/>
    </xf>
    <xf numFmtId="9" fontId="39" fillId="2" borderId="10" xfId="0" applyNumberFormat="1" applyFont="1" applyFill="1" applyBorder="1" applyAlignment="1">
      <alignment vertical="center" wrapText="1"/>
    </xf>
    <xf numFmtId="3" fontId="45" fillId="2" borderId="1" xfId="0" applyNumberFormat="1" applyFont="1" applyFill="1" applyBorder="1" applyAlignment="1">
      <alignment vertical="center" wrapText="1"/>
    </xf>
    <xf numFmtId="3" fontId="45" fillId="2" borderId="1" xfId="0" applyNumberFormat="1" applyFont="1" applyFill="1" applyBorder="1" applyAlignment="1">
      <alignment horizontal="center" vertical="center" wrapText="1"/>
    </xf>
    <xf numFmtId="3" fontId="45" fillId="2" borderId="1" xfId="0" applyNumberFormat="1" applyFont="1" applyFill="1" applyBorder="1" applyAlignment="1">
      <alignment horizontal="right" vertical="center" wrapText="1"/>
    </xf>
    <xf numFmtId="9" fontId="45" fillId="2" borderId="1" xfId="6" applyFont="1" applyFill="1" applyBorder="1" applyAlignment="1">
      <alignment horizontal="right" vertical="center" wrapText="1"/>
    </xf>
    <xf numFmtId="3" fontId="45" fillId="0" borderId="1" xfId="0" applyNumberFormat="1" applyFont="1" applyBorder="1" applyAlignment="1">
      <alignment vertical="center"/>
    </xf>
    <xf numFmtId="9" fontId="45" fillId="2" borderId="10" xfId="0" applyNumberFormat="1" applyFont="1" applyFill="1" applyBorder="1" applyAlignment="1">
      <alignment vertical="center" wrapText="1"/>
    </xf>
    <xf numFmtId="3" fontId="45" fillId="2" borderId="1" xfId="0" applyNumberFormat="1" applyFont="1" applyFill="1" applyBorder="1" applyAlignment="1">
      <alignment horizontal="left" vertical="center" wrapText="1"/>
    </xf>
    <xf numFmtId="3" fontId="45" fillId="2" borderId="1" xfId="0" quotePrefix="1" applyNumberFormat="1" applyFont="1" applyFill="1" applyBorder="1" applyAlignment="1">
      <alignment horizontal="center" vertical="center" wrapText="1"/>
    </xf>
    <xf numFmtId="3" fontId="39" fillId="2" borderId="1" xfId="0" quotePrefix="1" applyNumberFormat="1" applyFont="1" applyFill="1" applyBorder="1" applyAlignment="1">
      <alignment horizontal="center" vertical="center" wrapText="1"/>
    </xf>
    <xf numFmtId="9" fontId="45" fillId="2" borderId="1" xfId="0" applyNumberFormat="1" applyFont="1" applyFill="1" applyBorder="1" applyAlignment="1">
      <alignment horizontal="right" vertical="center"/>
    </xf>
    <xf numFmtId="1" fontId="39" fillId="2" borderId="1" xfId="0" applyNumberFormat="1" applyFont="1" applyFill="1" applyBorder="1" applyAlignment="1">
      <alignment horizontal="center" vertical="center" wrapText="1"/>
    </xf>
    <xf numFmtId="0" fontId="32" fillId="0" borderId="1" xfId="0" applyFont="1" applyBorder="1" applyAlignment="1">
      <alignment horizontal="left" vertical="center" wrapText="1"/>
    </xf>
    <xf numFmtId="9" fontId="39" fillId="0" borderId="1" xfId="0" applyNumberFormat="1" applyFont="1" applyBorder="1" applyAlignment="1">
      <alignment horizontal="right" vertical="center"/>
    </xf>
    <xf numFmtId="3" fontId="32" fillId="0" borderId="1" xfId="0" applyNumberFormat="1" applyFont="1" applyBorder="1" applyAlignment="1">
      <alignment vertical="center"/>
    </xf>
    <xf numFmtId="9" fontId="39" fillId="0" borderId="10" xfId="0" applyNumberFormat="1" applyFont="1" applyBorder="1" applyAlignment="1">
      <alignment vertical="center"/>
    </xf>
    <xf numFmtId="0" fontId="46" fillId="0" borderId="1" xfId="0" applyFont="1" applyBorder="1" applyAlignment="1">
      <alignment horizontal="left" vertical="center" wrapText="1"/>
    </xf>
    <xf numFmtId="9" fontId="45" fillId="0" borderId="1" xfId="0" applyNumberFormat="1" applyFont="1" applyBorder="1" applyAlignment="1">
      <alignment horizontal="right" vertical="center"/>
    </xf>
    <xf numFmtId="9" fontId="45" fillId="0" borderId="10" xfId="0" applyNumberFormat="1" applyFont="1" applyBorder="1" applyAlignment="1">
      <alignment vertical="center"/>
    </xf>
    <xf numFmtId="0" fontId="39" fillId="2" borderId="1" xfId="0" applyFont="1" applyFill="1" applyBorder="1" applyAlignment="1">
      <alignment vertical="center" wrapText="1"/>
    </xf>
    <xf numFmtId="9" fontId="39" fillId="2" borderId="1" xfId="0" applyNumberFormat="1" applyFont="1" applyFill="1" applyBorder="1" applyAlignment="1">
      <alignment vertical="center" wrapText="1"/>
    </xf>
    <xf numFmtId="164" fontId="32" fillId="2" borderId="1" xfId="0" applyNumberFormat="1" applyFont="1" applyFill="1" applyBorder="1" applyAlignment="1">
      <alignment horizontal="right" vertical="center"/>
    </xf>
    <xf numFmtId="9" fontId="39" fillId="2" borderId="10" xfId="0" applyNumberFormat="1" applyFont="1" applyFill="1" applyBorder="1" applyAlignment="1">
      <alignment vertical="center"/>
    </xf>
    <xf numFmtId="0" fontId="45" fillId="2" borderId="1" xfId="0" applyFont="1" applyFill="1" applyBorder="1" applyAlignment="1">
      <alignment vertical="center" wrapText="1"/>
    </xf>
    <xf numFmtId="9" fontId="45" fillId="2" borderId="1" xfId="0" applyNumberFormat="1" applyFont="1" applyFill="1" applyBorder="1" applyAlignment="1">
      <alignment vertical="center" wrapText="1"/>
    </xf>
    <xf numFmtId="9" fontId="45" fillId="2" borderId="10" xfId="0" applyNumberFormat="1" applyFont="1" applyFill="1" applyBorder="1" applyAlignment="1">
      <alignment vertical="center"/>
    </xf>
    <xf numFmtId="3" fontId="39" fillId="0" borderId="1" xfId="0" applyNumberFormat="1" applyFont="1" applyBorder="1" applyAlignment="1">
      <alignment vertical="center" wrapText="1"/>
    </xf>
    <xf numFmtId="9" fontId="39" fillId="0" borderId="1" xfId="0" applyNumberFormat="1" applyFont="1" applyBorder="1" applyAlignment="1">
      <alignment vertical="center" wrapText="1"/>
    </xf>
    <xf numFmtId="9" fontId="45" fillId="0" borderId="1" xfId="0" applyNumberFormat="1" applyFont="1" applyBorder="1" applyAlignment="1">
      <alignment vertical="center" wrapText="1"/>
    </xf>
    <xf numFmtId="0" fontId="15" fillId="0" borderId="1" xfId="0" applyFont="1" applyBorder="1"/>
    <xf numFmtId="3" fontId="45" fillId="2" borderId="1" xfId="0" applyNumberFormat="1" applyFont="1" applyFill="1" applyBorder="1" applyAlignment="1">
      <alignment vertical="center"/>
    </xf>
    <xf numFmtId="0" fontId="32" fillId="4" borderId="1" xfId="0" applyFont="1" applyFill="1" applyBorder="1" applyAlignment="1">
      <alignment vertical="center" wrapText="1"/>
    </xf>
    <xf numFmtId="0" fontId="32" fillId="4" borderId="1" xfId="0" applyFont="1" applyFill="1" applyBorder="1" applyAlignment="1">
      <alignment vertical="top" wrapText="1"/>
    </xf>
    <xf numFmtId="167" fontId="39" fillId="0" borderId="1" xfId="0" applyNumberFormat="1" applyFont="1" applyBorder="1" applyAlignment="1">
      <alignment vertical="center" wrapText="1"/>
    </xf>
    <xf numFmtId="9" fontId="45" fillId="0" borderId="10" xfId="0" applyNumberFormat="1" applyFont="1" applyBorder="1" applyAlignment="1">
      <alignment vertical="center" wrapText="1"/>
    </xf>
    <xf numFmtId="3" fontId="39" fillId="0" borderId="1" xfId="0" applyNumberFormat="1" applyFont="1" applyBorder="1" applyAlignment="1">
      <alignment horizontal="left" vertical="center" wrapText="1"/>
    </xf>
    <xf numFmtId="9" fontId="39" fillId="0" borderId="10" xfId="0" applyNumberFormat="1" applyFont="1" applyBorder="1" applyAlignment="1">
      <alignment vertical="center" wrapText="1"/>
    </xf>
    <xf numFmtId="0" fontId="39" fillId="2" borderId="9" xfId="0" applyFont="1" applyFill="1" applyBorder="1" applyAlignment="1">
      <alignment horizontal="center" vertical="center"/>
    </xf>
    <xf numFmtId="9" fontId="39" fillId="2" borderId="1" xfId="0" applyNumberFormat="1" applyFont="1" applyFill="1" applyBorder="1" applyAlignment="1">
      <alignment vertical="center"/>
    </xf>
    <xf numFmtId="9" fontId="45" fillId="2" borderId="1" xfId="0" applyNumberFormat="1" applyFont="1" applyFill="1" applyBorder="1" applyAlignment="1">
      <alignment vertical="center"/>
    </xf>
    <xf numFmtId="0" fontId="39" fillId="2" borderId="1" xfId="0" applyFont="1" applyFill="1" applyBorder="1" applyAlignment="1">
      <alignment horizontal="left" vertical="center" wrapText="1"/>
    </xf>
    <xf numFmtId="0" fontId="45" fillId="2" borderId="1" xfId="0" applyFont="1" applyFill="1" applyBorder="1" applyAlignment="1">
      <alignment horizontal="left" vertical="center" wrapText="1"/>
    </xf>
    <xf numFmtId="0" fontId="15" fillId="0" borderId="20" xfId="0" applyFont="1" applyBorder="1" applyAlignment="1">
      <alignment horizontal="center" vertical="center"/>
    </xf>
    <xf numFmtId="49" fontId="15" fillId="3" borderId="21" xfId="0" applyNumberFormat="1" applyFont="1" applyFill="1" applyBorder="1" applyAlignment="1">
      <alignment horizontal="center" vertical="center" wrapText="1"/>
    </xf>
    <xf numFmtId="0" fontId="15" fillId="3" borderId="21" xfId="0" applyFont="1" applyFill="1" applyBorder="1" applyAlignment="1">
      <alignment horizontal="center" vertical="center" wrapText="1"/>
    </xf>
    <xf numFmtId="0" fontId="60" fillId="3" borderId="21" xfId="0" applyFont="1" applyFill="1" applyBorder="1" applyAlignment="1">
      <alignment horizontal="center" vertical="center" wrapText="1"/>
    </xf>
    <xf numFmtId="49" fontId="60" fillId="3" borderId="21" xfId="0" applyNumberFormat="1" applyFont="1" applyFill="1" applyBorder="1" applyAlignment="1">
      <alignment horizontal="center" vertical="center" wrapText="1"/>
    </xf>
    <xf numFmtId="3" fontId="15" fillId="3" borderId="21" xfId="0" applyNumberFormat="1" applyFont="1" applyFill="1" applyBorder="1" applyAlignment="1">
      <alignment horizontal="center" vertical="center" wrapText="1"/>
    </xf>
    <xf numFmtId="166" fontId="15" fillId="3" borderId="21" xfId="1" applyNumberFormat="1" applyFont="1" applyFill="1" applyBorder="1" applyAlignment="1">
      <alignment horizontal="center" vertical="center" wrapText="1"/>
    </xf>
    <xf numFmtId="9" fontId="15" fillId="3" borderId="22" xfId="0" applyNumberFormat="1" applyFont="1" applyFill="1" applyBorder="1" applyAlignment="1">
      <alignment horizontal="center" vertical="center" wrapText="1"/>
    </xf>
    <xf numFmtId="49" fontId="32" fillId="0" borderId="11" xfId="0" applyNumberFormat="1" applyFont="1" applyBorder="1" applyAlignment="1">
      <alignment horizontal="center" vertical="center" wrapText="1"/>
    </xf>
    <xf numFmtId="49" fontId="32" fillId="0" borderId="12" xfId="0" applyNumberFormat="1" applyFont="1" applyBorder="1" applyAlignment="1">
      <alignment horizontal="center" vertical="center" wrapText="1"/>
    </xf>
    <xf numFmtId="49" fontId="61" fillId="0" borderId="12" xfId="0" quotePrefix="1" applyNumberFormat="1" applyFont="1" applyBorder="1" applyAlignment="1">
      <alignment horizontal="left" vertical="center" wrapText="1"/>
    </xf>
    <xf numFmtId="49" fontId="45" fillId="0" borderId="18" xfId="0" applyNumberFormat="1" applyFont="1" applyBorder="1" applyAlignment="1">
      <alignment horizontal="center" vertical="center" wrapText="1"/>
    </xf>
    <xf numFmtId="3" fontId="45" fillId="0" borderId="18" xfId="0" applyNumberFormat="1" applyFont="1" applyBorder="1" applyAlignment="1">
      <alignment horizontal="right" vertical="center" wrapText="1"/>
    </xf>
    <xf numFmtId="9" fontId="45" fillId="0" borderId="19" xfId="0" applyNumberFormat="1" applyFont="1" applyBorder="1" applyAlignment="1">
      <alignment horizontal="right" vertical="center" wrapText="1"/>
    </xf>
    <xf numFmtId="0" fontId="39" fillId="2" borderId="18" xfId="0" quotePrefix="1" applyFont="1" applyFill="1" applyBorder="1" applyAlignment="1">
      <alignment horizontal="left" vertical="center" wrapText="1"/>
    </xf>
    <xf numFmtId="0" fontId="45" fillId="3" borderId="15" xfId="0" applyFont="1" applyFill="1" applyBorder="1" applyAlignment="1">
      <alignment horizontal="left" vertical="center" wrapText="1"/>
    </xf>
    <xf numFmtId="9" fontId="45" fillId="0" borderId="16" xfId="0" applyNumberFormat="1" applyFont="1" applyBorder="1" applyAlignment="1">
      <alignment horizontal="right" vertical="center" wrapText="1"/>
    </xf>
    <xf numFmtId="0" fontId="31" fillId="2" borderId="15" xfId="0" quotePrefix="1" applyFont="1" applyFill="1" applyBorder="1" applyAlignment="1">
      <alignment horizontal="left" vertical="top" wrapText="1"/>
    </xf>
    <xf numFmtId="0" fontId="32" fillId="2" borderId="11" xfId="0" applyFont="1" applyFill="1" applyBorder="1" applyAlignment="1">
      <alignment horizontal="center" vertical="center" wrapText="1"/>
    </xf>
    <xf numFmtId="49" fontId="45" fillId="0" borderId="12" xfId="0" applyNumberFormat="1" applyFont="1" applyBorder="1" applyAlignment="1">
      <alignment horizontal="center" vertical="center" wrapText="1"/>
    </xf>
    <xf numFmtId="3" fontId="45" fillId="0" borderId="12" xfId="0" applyNumberFormat="1" applyFont="1" applyBorder="1" applyAlignment="1">
      <alignment horizontal="right" vertical="center" wrapText="1"/>
    </xf>
    <xf numFmtId="9" fontId="45" fillId="0" borderId="13" xfId="0" applyNumberFormat="1" applyFont="1" applyBorder="1" applyAlignment="1">
      <alignment horizontal="right" vertical="center" wrapText="1"/>
    </xf>
    <xf numFmtId="0" fontId="15" fillId="3" borderId="18" xfId="0" applyFont="1" applyFill="1" applyBorder="1" applyAlignment="1">
      <alignment horizontal="right" vertical="center" wrapText="1"/>
    </xf>
    <xf numFmtId="9" fontId="15" fillId="3" borderId="19" xfId="0" applyNumberFormat="1" applyFont="1" applyFill="1" applyBorder="1" applyAlignment="1">
      <alignment horizontal="right" vertical="center" wrapText="1"/>
    </xf>
    <xf numFmtId="49" fontId="15" fillId="0" borderId="15" xfId="0" applyNumberFormat="1" applyFont="1" applyBorder="1" applyAlignment="1">
      <alignment horizontal="left" vertical="center" wrapText="1"/>
    </xf>
    <xf numFmtId="0" fontId="15" fillId="3" borderId="15" xfId="0" applyFont="1" applyFill="1" applyBorder="1" applyAlignment="1">
      <alignment horizontal="left" vertical="center"/>
    </xf>
    <xf numFmtId="0" fontId="15" fillId="3" borderId="15" xfId="0" applyFont="1" applyFill="1" applyBorder="1" applyAlignment="1">
      <alignment horizontal="right" vertical="center" wrapText="1"/>
    </xf>
    <xf numFmtId="166" fontId="15" fillId="3" borderId="15" xfId="1" applyNumberFormat="1" applyFont="1" applyFill="1" applyBorder="1" applyAlignment="1">
      <alignment horizontal="right" vertical="center" wrapText="1"/>
    </xf>
    <xf numFmtId="0" fontId="32" fillId="2" borderId="18" xfId="0" applyFont="1" applyFill="1" applyBorder="1" applyAlignment="1">
      <alignment vertical="center" wrapText="1"/>
    </xf>
    <xf numFmtId="49" fontId="45" fillId="0" borderId="15" xfId="0" applyNumberFormat="1" applyFont="1" applyBorder="1" applyAlignment="1">
      <alignment horizontal="left" vertical="center" wrapText="1"/>
    </xf>
    <xf numFmtId="166" fontId="45" fillId="3" borderId="15" xfId="1" applyNumberFormat="1" applyFont="1" applyFill="1" applyBorder="1" applyAlignment="1">
      <alignment horizontal="right" vertical="center" wrapText="1"/>
    </xf>
    <xf numFmtId="49" fontId="39" fillId="0" borderId="12" xfId="0" applyNumberFormat="1" applyFont="1" applyBorder="1" applyAlignment="1">
      <alignment horizontal="center" vertical="center"/>
    </xf>
    <xf numFmtId="0" fontId="32" fillId="2" borderId="12" xfId="0" applyFont="1" applyFill="1" applyBorder="1" applyAlignment="1">
      <alignment vertical="center" wrapText="1"/>
    </xf>
    <xf numFmtId="0" fontId="15" fillId="3" borderId="12" xfId="0" applyFont="1" applyFill="1" applyBorder="1" applyAlignment="1">
      <alignment horizontal="right" vertical="center" wrapText="1"/>
    </xf>
    <xf numFmtId="166" fontId="39" fillId="2" borderId="12" xfId="1" applyNumberFormat="1" applyFont="1" applyFill="1" applyBorder="1" applyAlignment="1">
      <alignment horizontal="right" vertical="center" wrapText="1"/>
    </xf>
    <xf numFmtId="9" fontId="15" fillId="3" borderId="13" xfId="0" applyNumberFormat="1" applyFont="1" applyFill="1" applyBorder="1" applyAlignment="1">
      <alignment horizontal="right" vertical="center" wrapText="1"/>
    </xf>
    <xf numFmtId="49" fontId="15" fillId="2" borderId="14" xfId="0" applyNumberFormat="1" applyFont="1" applyFill="1" applyBorder="1" applyAlignment="1">
      <alignment horizontal="center" vertical="center"/>
    </xf>
    <xf numFmtId="49" fontId="15" fillId="2" borderId="15" xfId="0" applyNumberFormat="1" applyFont="1" applyFill="1" applyBorder="1" applyAlignment="1">
      <alignment horizontal="center" vertical="center" wrapText="1"/>
    </xf>
    <xf numFmtId="3" fontId="15" fillId="2" borderId="15" xfId="0" applyNumberFormat="1" applyFont="1" applyFill="1" applyBorder="1" applyAlignment="1">
      <alignment horizontal="left" vertical="center" wrapText="1"/>
    </xf>
    <xf numFmtId="0" fontId="15" fillId="2" borderId="15" xfId="0" applyFont="1" applyFill="1" applyBorder="1" applyAlignment="1">
      <alignment horizontal="left" vertical="center" wrapText="1"/>
    </xf>
    <xf numFmtId="166" fontId="15" fillId="2" borderId="15" xfId="1" applyNumberFormat="1" applyFont="1" applyFill="1" applyBorder="1" applyAlignment="1">
      <alignment horizontal="right" vertical="center" wrapText="1"/>
    </xf>
    <xf numFmtId="3" fontId="45" fillId="0" borderId="15" xfId="0" applyNumberFormat="1" applyFont="1" applyBorder="1" applyAlignment="1">
      <alignment horizontal="left" vertical="center" wrapText="1"/>
    </xf>
    <xf numFmtId="9" fontId="45" fillId="0" borderId="16" xfId="0" applyNumberFormat="1" applyFont="1" applyBorder="1" applyAlignment="1">
      <alignment horizontal="right" vertical="center"/>
    </xf>
    <xf numFmtId="3" fontId="45" fillId="2" borderId="12" xfId="0" applyNumberFormat="1" applyFont="1" applyFill="1" applyBorder="1" applyAlignment="1">
      <alignment vertical="center" wrapText="1"/>
    </xf>
    <xf numFmtId="3" fontId="45" fillId="2" borderId="12" xfId="0" applyNumberFormat="1" applyFont="1" applyFill="1" applyBorder="1" applyAlignment="1">
      <alignment horizontal="right" vertical="center" wrapText="1"/>
    </xf>
    <xf numFmtId="3" fontId="45" fillId="2" borderId="12" xfId="0" applyNumberFormat="1" applyFont="1" applyFill="1" applyBorder="1" applyAlignment="1">
      <alignment horizontal="right" vertical="center"/>
    </xf>
    <xf numFmtId="9" fontId="45" fillId="2" borderId="12" xfId="0" applyNumberFormat="1" applyFont="1" applyFill="1" applyBorder="1" applyAlignment="1">
      <alignment vertical="center" wrapText="1"/>
    </xf>
    <xf numFmtId="3" fontId="39" fillId="2" borderId="12" xfId="0" applyNumberFormat="1" applyFont="1" applyFill="1" applyBorder="1" applyAlignment="1">
      <alignment vertical="center"/>
    </xf>
    <xf numFmtId="9" fontId="45" fillId="2" borderId="13" xfId="0" applyNumberFormat="1" applyFont="1" applyFill="1" applyBorder="1" applyAlignment="1">
      <alignment vertical="center"/>
    </xf>
    <xf numFmtId="49" fontId="32" fillId="2" borderId="15" xfId="0" applyNumberFormat="1" applyFont="1" applyFill="1" applyBorder="1" applyAlignment="1">
      <alignment horizontal="center" vertical="center" wrapText="1"/>
    </xf>
    <xf numFmtId="49" fontId="39" fillId="2" borderId="15" xfId="0" applyNumberFormat="1" applyFont="1" applyFill="1" applyBorder="1" applyAlignment="1">
      <alignment horizontal="center" vertical="center" wrapText="1"/>
    </xf>
    <xf numFmtId="3" fontId="45" fillId="2" borderId="15" xfId="0" applyNumberFormat="1" applyFont="1" applyFill="1" applyBorder="1" applyAlignment="1">
      <alignment horizontal="right" vertical="center" wrapText="1"/>
    </xf>
    <xf numFmtId="9" fontId="45" fillId="2" borderId="15" xfId="0" applyNumberFormat="1" applyFont="1" applyFill="1" applyBorder="1" applyAlignment="1">
      <alignment horizontal="right" vertical="center" wrapText="1"/>
    </xf>
    <xf numFmtId="49" fontId="32" fillId="2" borderId="14" xfId="0" applyNumberFormat="1" applyFont="1" applyFill="1" applyBorder="1" applyAlignment="1">
      <alignment horizontal="center" vertical="center" wrapText="1"/>
    </xf>
    <xf numFmtId="3" fontId="39" fillId="2" borderId="15" xfId="0" applyNumberFormat="1" applyFont="1" applyFill="1" applyBorder="1" applyAlignment="1">
      <alignment vertical="center"/>
    </xf>
    <xf numFmtId="49" fontId="32" fillId="2" borderId="26" xfId="0" applyNumberFormat="1" applyFont="1" applyFill="1" applyBorder="1" applyAlignment="1">
      <alignment horizontal="center" vertical="center" wrapText="1"/>
    </xf>
    <xf numFmtId="0" fontId="32" fillId="2" borderId="27" xfId="0" quotePrefix="1" applyFont="1" applyFill="1" applyBorder="1" applyAlignment="1">
      <alignment horizontal="left" vertical="center" wrapText="1"/>
    </xf>
    <xf numFmtId="49" fontId="39" fillId="2" borderId="27" xfId="0" applyNumberFormat="1" applyFont="1" applyFill="1" applyBorder="1" applyAlignment="1">
      <alignment horizontal="center" vertical="center" wrapText="1"/>
    </xf>
    <xf numFmtId="3" fontId="45" fillId="2" borderId="27" xfId="0" applyNumberFormat="1" applyFont="1" applyFill="1" applyBorder="1" applyAlignment="1">
      <alignment horizontal="right" vertical="center" wrapText="1"/>
    </xf>
    <xf numFmtId="3" fontId="45" fillId="2" borderId="27" xfId="0" applyNumberFormat="1" applyFont="1" applyFill="1" applyBorder="1" applyAlignment="1">
      <alignment horizontal="right" vertical="center"/>
    </xf>
    <xf numFmtId="9" fontId="45" fillId="2" borderId="27" xfId="0" applyNumberFormat="1" applyFont="1" applyFill="1" applyBorder="1" applyAlignment="1">
      <alignment horizontal="right" vertical="center" wrapText="1"/>
    </xf>
    <xf numFmtId="3" fontId="39" fillId="2" borderId="27" xfId="0" applyNumberFormat="1" applyFont="1" applyFill="1" applyBorder="1" applyAlignment="1">
      <alignment vertical="center"/>
    </xf>
    <xf numFmtId="9" fontId="45" fillId="2" borderId="28" xfId="0" applyNumberFormat="1" applyFont="1" applyFill="1" applyBorder="1" applyAlignment="1">
      <alignment horizontal="right" vertical="center"/>
    </xf>
    <xf numFmtId="3" fontId="45" fillId="2" borderId="18" xfId="0" applyNumberFormat="1" applyFont="1" applyFill="1" applyBorder="1" applyAlignment="1">
      <alignment vertical="center"/>
    </xf>
    <xf numFmtId="167" fontId="45" fillId="0" borderId="18" xfId="0" applyNumberFormat="1" applyFont="1" applyBorder="1" applyAlignment="1">
      <alignment vertical="center" wrapText="1"/>
    </xf>
    <xf numFmtId="167" fontId="45" fillId="0" borderId="19" xfId="0" applyNumberFormat="1" applyFont="1" applyBorder="1" applyAlignment="1">
      <alignment horizontal="right" vertical="center"/>
    </xf>
    <xf numFmtId="0" fontId="39" fillId="0" borderId="15" xfId="0" applyFont="1" applyBorder="1" applyAlignment="1">
      <alignment vertical="center" wrapText="1"/>
    </xf>
    <xf numFmtId="3" fontId="45" fillId="2" borderId="15" xfId="0" applyNumberFormat="1" applyFont="1" applyFill="1" applyBorder="1" applyAlignment="1">
      <alignment vertical="center"/>
    </xf>
    <xf numFmtId="3" fontId="45" fillId="0" borderId="15" xfId="0" applyNumberFormat="1" applyFont="1" applyBorder="1" applyAlignment="1">
      <alignment vertical="center" wrapText="1"/>
    </xf>
    <xf numFmtId="167" fontId="45" fillId="0" borderId="15" xfId="0" applyNumberFormat="1" applyFont="1" applyBorder="1" applyAlignment="1">
      <alignment vertical="center" wrapText="1"/>
    </xf>
    <xf numFmtId="0" fontId="32" fillId="2" borderId="26" xfId="0" applyFont="1" applyFill="1" applyBorder="1" applyAlignment="1">
      <alignment horizontal="center" vertical="center" wrapText="1"/>
    </xf>
    <xf numFmtId="0" fontId="39" fillId="3" borderId="27" xfId="0" applyFont="1" applyFill="1" applyBorder="1" applyAlignment="1">
      <alignment horizontal="left" vertical="center" wrapText="1"/>
    </xf>
    <xf numFmtId="3" fontId="45" fillId="2" borderId="27" xfId="0" applyNumberFormat="1" applyFont="1" applyFill="1" applyBorder="1" applyAlignment="1">
      <alignment vertical="center"/>
    </xf>
    <xf numFmtId="3" fontId="45" fillId="0" borderId="27" xfId="0" applyNumberFormat="1" applyFont="1" applyBorder="1" applyAlignment="1">
      <alignment vertical="center" wrapText="1"/>
    </xf>
    <xf numFmtId="167" fontId="45" fillId="0" borderId="27" xfId="0" applyNumberFormat="1" applyFont="1" applyBorder="1" applyAlignment="1">
      <alignment vertical="center" wrapText="1"/>
    </xf>
    <xf numFmtId="3" fontId="39" fillId="0" borderId="27" xfId="0" applyNumberFormat="1" applyFont="1" applyBorder="1" applyAlignment="1">
      <alignment vertical="center"/>
    </xf>
    <xf numFmtId="167" fontId="45" fillId="0" borderId="28" xfId="0" applyNumberFormat="1" applyFont="1" applyBorder="1" applyAlignment="1">
      <alignment horizontal="right" vertical="center"/>
    </xf>
    <xf numFmtId="0" fontId="32" fillId="2" borderId="15" xfId="0" applyFont="1" applyFill="1" applyBorder="1" applyAlignment="1">
      <alignment horizontal="center" vertical="center" wrapText="1"/>
    </xf>
    <xf numFmtId="1" fontId="9" fillId="0" borderId="15" xfId="0" applyNumberFormat="1" applyFont="1" applyBorder="1" applyAlignment="1">
      <alignment horizontal="center" vertical="center" wrapText="1"/>
    </xf>
    <xf numFmtId="1" fontId="9" fillId="0" borderId="16" xfId="0" applyNumberFormat="1" applyFont="1" applyBorder="1" applyAlignment="1">
      <alignment horizontal="center" vertical="center" wrapText="1"/>
    </xf>
    <xf numFmtId="49" fontId="39" fillId="0" borderId="6" xfId="0" applyNumberFormat="1" applyFont="1" applyBorder="1" applyAlignment="1">
      <alignment horizontal="center" vertical="center"/>
    </xf>
    <xf numFmtId="0" fontId="32" fillId="2" borderId="7" xfId="0" quotePrefix="1" applyFont="1" applyFill="1" applyBorder="1" applyAlignment="1">
      <alignment horizontal="left" vertical="center" wrapText="1"/>
    </xf>
    <xf numFmtId="0" fontId="39" fillId="3" borderId="7" xfId="0" applyFont="1" applyFill="1" applyBorder="1" applyAlignment="1">
      <alignment horizontal="left" vertical="center" wrapText="1"/>
    </xf>
    <xf numFmtId="49" fontId="15" fillId="0" borderId="7" xfId="0" applyNumberFormat="1" applyFont="1" applyBorder="1" applyAlignment="1">
      <alignment horizontal="center" vertical="center" wrapText="1"/>
    </xf>
    <xf numFmtId="3" fontId="45" fillId="0" borderId="7" xfId="0" applyNumberFormat="1" applyFont="1" applyBorder="1" applyAlignment="1">
      <alignment horizontal="right" vertical="center"/>
    </xf>
    <xf numFmtId="3" fontId="39" fillId="0" borderId="7" xfId="0" applyNumberFormat="1" applyFont="1" applyBorder="1" applyAlignment="1">
      <alignment vertical="center"/>
    </xf>
    <xf numFmtId="9" fontId="45" fillId="0" borderId="8" xfId="0" applyNumberFormat="1" applyFont="1" applyBorder="1" applyAlignment="1">
      <alignment horizontal="right" vertical="center"/>
    </xf>
    <xf numFmtId="0" fontId="59" fillId="0" borderId="14" xfId="0" applyFont="1" applyBorder="1" applyAlignment="1">
      <alignment horizontal="center" vertical="center" wrapText="1"/>
    </xf>
    <xf numFmtId="0" fontId="59" fillId="0" borderId="15" xfId="0" applyFont="1" applyBorder="1" applyAlignment="1">
      <alignment horizontal="center" vertical="center" wrapText="1"/>
    </xf>
    <xf numFmtId="49" fontId="59" fillId="0" borderId="15" xfId="0" applyNumberFormat="1" applyFont="1" applyBorder="1" applyAlignment="1">
      <alignment horizontal="center" vertical="center" wrapText="1"/>
    </xf>
    <xf numFmtId="0" fontId="59" fillId="3" borderId="15" xfId="0" applyFont="1" applyFill="1" applyBorder="1" applyAlignment="1">
      <alignment horizontal="center" vertical="center" wrapText="1"/>
    </xf>
    <xf numFmtId="0" fontId="59" fillId="0" borderId="25" xfId="0" applyFont="1" applyBorder="1" applyAlignment="1">
      <alignment horizontal="center" vertical="center"/>
    </xf>
    <xf numFmtId="0" fontId="59" fillId="0" borderId="15" xfId="0" applyFont="1" applyBorder="1" applyAlignment="1">
      <alignment horizontal="center" vertical="center"/>
    </xf>
    <xf numFmtId="0" fontId="59" fillId="0" borderId="16" xfId="0" applyFont="1" applyBorder="1" applyAlignment="1">
      <alignment horizontal="center" vertical="center"/>
    </xf>
    <xf numFmtId="0" fontId="33" fillId="2" borderId="1" xfId="3" applyFont="1" applyFill="1" applyBorder="1" applyAlignment="1">
      <alignment vertical="center" wrapText="1"/>
    </xf>
    <xf numFmtId="0" fontId="5" fillId="2" borderId="1" xfId="3" applyFont="1" applyFill="1" applyBorder="1" applyAlignment="1">
      <alignment vertical="center" wrapText="1"/>
    </xf>
    <xf numFmtId="0" fontId="5" fillId="2" borderId="12" xfId="3" applyFont="1" applyFill="1" applyBorder="1" applyAlignment="1">
      <alignment vertical="center" wrapText="1"/>
    </xf>
    <xf numFmtId="0" fontId="33" fillId="2" borderId="12" xfId="3" applyFont="1" applyFill="1" applyBorder="1" applyAlignment="1">
      <alignment vertical="center" wrapText="1"/>
    </xf>
    <xf numFmtId="167" fontId="1" fillId="2" borderId="15" xfId="0" applyNumberFormat="1" applyFont="1" applyFill="1" applyBorder="1" applyAlignment="1">
      <alignment horizontal="center" vertical="center" wrapText="1"/>
    </xf>
    <xf numFmtId="0" fontId="5" fillId="2" borderId="18" xfId="0" quotePrefix="1" applyFont="1" applyFill="1" applyBorder="1" applyAlignment="1">
      <alignment vertical="center" wrapText="1"/>
    </xf>
    <xf numFmtId="0" fontId="8" fillId="2" borderId="15" xfId="0" quotePrefix="1" applyFont="1" applyFill="1" applyBorder="1" applyAlignment="1">
      <alignment vertical="center" wrapText="1"/>
    </xf>
    <xf numFmtId="164" fontId="8" fillId="2" borderId="15" xfId="0" applyNumberFormat="1" applyFont="1" applyFill="1" applyBorder="1" applyAlignment="1">
      <alignment horizontal="center" vertical="center" wrapText="1"/>
    </xf>
    <xf numFmtId="164" fontId="8" fillId="2" borderId="15" xfId="0" applyNumberFormat="1" applyFont="1" applyFill="1" applyBorder="1" applyAlignment="1">
      <alignment horizontal="right" vertical="center" wrapText="1"/>
    </xf>
    <xf numFmtId="164" fontId="5" fillId="2" borderId="15" xfId="0" applyNumberFormat="1" applyFont="1" applyFill="1" applyBorder="1" applyAlignment="1">
      <alignment vertical="center"/>
    </xf>
    <xf numFmtId="164" fontId="8" fillId="2" borderId="15" xfId="0" applyNumberFormat="1" applyFont="1" applyFill="1" applyBorder="1" applyAlignment="1">
      <alignment vertical="center"/>
    </xf>
    <xf numFmtId="164" fontId="8" fillId="2" borderId="15" xfId="0" applyNumberFormat="1" applyFont="1" applyFill="1" applyBorder="1" applyAlignment="1">
      <alignment horizontal="right" vertical="center"/>
    </xf>
    <xf numFmtId="0" fontId="5" fillId="0" borderId="9" xfId="0" applyFont="1" applyBorder="1"/>
    <xf numFmtId="0" fontId="62" fillId="2" borderId="36" xfId="0" applyFont="1" applyFill="1" applyBorder="1" applyAlignment="1">
      <alignment horizontal="center" vertical="center" wrapText="1"/>
    </xf>
    <xf numFmtId="0" fontId="62" fillId="2" borderId="37" xfId="0" applyFont="1" applyFill="1" applyBorder="1" applyAlignment="1">
      <alignment horizontal="center" vertical="center" wrapText="1"/>
    </xf>
    <xf numFmtId="0" fontId="62" fillId="2" borderId="52" xfId="0" applyFont="1" applyFill="1" applyBorder="1" applyAlignment="1">
      <alignment horizontal="center" vertical="center" wrapText="1"/>
    </xf>
    <xf numFmtId="49" fontId="12" fillId="2" borderId="1" xfId="0" quotePrefix="1" applyNumberFormat="1" applyFont="1" applyFill="1" applyBorder="1" applyAlignment="1">
      <alignment vertical="top" wrapText="1"/>
    </xf>
    <xf numFmtId="0" fontId="15" fillId="0" borderId="0" xfId="0" applyFont="1" applyAlignment="1">
      <alignment horizontal="center" vertical="center"/>
    </xf>
    <xf numFmtId="0" fontId="34" fillId="0" borderId="0" xfId="0" applyFont="1" applyAlignment="1">
      <alignment horizontal="center"/>
    </xf>
    <xf numFmtId="0" fontId="41" fillId="0" borderId="44" xfId="0" applyFont="1" applyBorder="1" applyAlignment="1">
      <alignment horizontal="center" vertical="center" wrapText="1"/>
    </xf>
    <xf numFmtId="0" fontId="41" fillId="0" borderId="49"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30" xfId="0" applyFont="1" applyBorder="1" applyAlignment="1">
      <alignment horizontal="center" vertical="center" wrapText="1"/>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31" fillId="0" borderId="0" xfId="0" applyFont="1" applyAlignment="1">
      <alignment horizontal="center"/>
    </xf>
    <xf numFmtId="0" fontId="32" fillId="0" borderId="0" xfId="0" applyFont="1" applyAlignment="1">
      <alignment horizontal="center"/>
    </xf>
    <xf numFmtId="0" fontId="29"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4" fontId="6" fillId="2" borderId="51" xfId="0" applyNumberFormat="1" applyFont="1" applyFill="1" applyBorder="1" applyAlignment="1">
      <alignment horizontal="left" vertical="center"/>
    </xf>
    <xf numFmtId="164"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1" fillId="0" borderId="25" xfId="0" applyFont="1" applyBorder="1" applyAlignment="1">
      <alignment horizontal="center" vertical="center" wrapText="1"/>
    </xf>
    <xf numFmtId="0" fontId="41"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42" fillId="2" borderId="27" xfId="0" applyFont="1" applyFill="1" applyBorder="1" applyAlignment="1">
      <alignment horizontal="center" vertical="center" wrapText="1"/>
    </xf>
    <xf numFmtId="0" fontId="42" fillId="2" borderId="25"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21" xfId="0" applyFont="1" applyFill="1" applyBorder="1" applyAlignment="1">
      <alignment horizontal="center" vertical="center" wrapText="1"/>
    </xf>
    <xf numFmtId="0" fontId="42" fillId="2" borderId="42" xfId="0" applyFont="1" applyFill="1" applyBorder="1" applyAlignment="1">
      <alignment horizontal="center" vertical="center" wrapText="1"/>
    </xf>
    <xf numFmtId="0" fontId="42" fillId="2" borderId="48" xfId="0" applyFont="1" applyFill="1" applyBorder="1" applyAlignment="1">
      <alignment horizontal="center" vertical="center" wrapText="1"/>
    </xf>
    <xf numFmtId="0" fontId="42" fillId="2" borderId="31" xfId="0" applyFont="1" applyFill="1" applyBorder="1" applyAlignment="1">
      <alignment horizontal="center" vertical="center" wrapText="1"/>
    </xf>
    <xf numFmtId="0" fontId="42" fillId="2" borderId="43"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42" fillId="2" borderId="28" xfId="0" applyFont="1" applyFill="1" applyBorder="1" applyAlignment="1">
      <alignment horizontal="center" vertical="center" wrapText="1"/>
    </xf>
    <xf numFmtId="0" fontId="42" fillId="2" borderId="29" xfId="0"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6"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13" fillId="0" borderId="3" xfId="0" applyFont="1" applyBorder="1" applyAlignment="1">
      <alignment horizontal="left" wrapText="1"/>
    </xf>
    <xf numFmtId="0" fontId="13" fillId="0" borderId="5" xfId="0" applyFont="1" applyBorder="1" applyAlignment="1">
      <alignment horizontal="left" wrapText="1"/>
    </xf>
    <xf numFmtId="0" fontId="7" fillId="0" borderId="3" xfId="0" applyFont="1" applyBorder="1" applyAlignment="1">
      <alignment horizontal="left" wrapText="1"/>
    </xf>
    <xf numFmtId="0" fontId="7" fillId="0" borderId="5" xfId="0" applyFont="1" applyBorder="1" applyAlignment="1">
      <alignment horizontal="left" wrapText="1"/>
    </xf>
    <xf numFmtId="0" fontId="57" fillId="0" borderId="4" xfId="0" applyFont="1" applyBorder="1" applyAlignment="1">
      <alignment horizontal="left" wrapText="1"/>
    </xf>
    <xf numFmtId="0" fontId="57" fillId="0" borderId="5" xfId="0" applyFont="1" applyBorder="1" applyAlignment="1">
      <alignment horizontal="left"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13" fillId="0" borderId="1" xfId="0" applyFont="1" applyBorder="1" applyAlignment="1">
      <alignment horizontal="left" wrapText="1"/>
    </xf>
    <xf numFmtId="0" fontId="5" fillId="0" borderId="46" xfId="0" applyFont="1" applyBorder="1" applyAlignment="1">
      <alignment horizontal="left" vertical="center" wrapText="1"/>
    </xf>
    <xf numFmtId="0" fontId="5" fillId="0" borderId="35" xfId="0" applyFont="1" applyBorder="1" applyAlignment="1">
      <alignment horizontal="left" vertical="center" wrapText="1"/>
    </xf>
    <xf numFmtId="0" fontId="5" fillId="0" borderId="45" xfId="0" applyFont="1" applyBorder="1" applyAlignment="1">
      <alignment horizontal="center" vertical="center"/>
    </xf>
    <xf numFmtId="0" fontId="5" fillId="0" borderId="0" xfId="0" applyFont="1" applyAlignment="1">
      <alignment horizontal="center" vertical="center"/>
    </xf>
    <xf numFmtId="0" fontId="5" fillId="0" borderId="64" xfId="0" applyFont="1" applyBorder="1" applyAlignment="1">
      <alignment horizontal="center" vertic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50" xfId="0" applyFont="1" applyBorder="1" applyAlignment="1">
      <alignment horizontal="center"/>
    </xf>
    <xf numFmtId="0" fontId="6" fillId="0" borderId="49" xfId="0" applyFont="1" applyBorder="1" applyAlignment="1">
      <alignment horizontal="left" vertical="center" wrapText="1"/>
    </xf>
    <xf numFmtId="0" fontId="6" fillId="0" borderId="30" xfId="0" applyFont="1" applyBorder="1" applyAlignment="1">
      <alignment horizontal="left" vertical="center" wrapText="1"/>
    </xf>
    <xf numFmtId="0" fontId="7" fillId="0" borderId="46" xfId="0" applyFont="1" applyBorder="1" applyAlignment="1">
      <alignment horizontal="left" wrapText="1"/>
    </xf>
    <xf numFmtId="0" fontId="7" fillId="0" borderId="35" xfId="0" applyFont="1" applyBorder="1" applyAlignment="1">
      <alignment horizontal="left"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0" xfId="0" applyFont="1" applyAlignment="1">
      <alignment horizontal="left"/>
    </xf>
    <xf numFmtId="0" fontId="1" fillId="0" borderId="50" xfId="0" applyFont="1" applyBorder="1" applyAlignment="1">
      <alignment horizontal="center" vertical="top" wrapText="1"/>
    </xf>
    <xf numFmtId="0" fontId="1" fillId="0" borderId="32" xfId="0" applyFont="1" applyBorder="1" applyAlignment="1">
      <alignment horizontal="center" vertical="top" wrapText="1"/>
    </xf>
    <xf numFmtId="0" fontId="12" fillId="0" borderId="56" xfId="0" applyFont="1" applyBorder="1" applyAlignment="1">
      <alignment horizontal="center" vertical="top" wrapText="1"/>
    </xf>
    <xf numFmtId="0" fontId="12" fillId="0" borderId="47"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7" fillId="3" borderId="42"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Alignment="1">
      <alignment horizontal="left" vertical="center"/>
    </xf>
    <xf numFmtId="0" fontId="7" fillId="0" borderId="0" xfId="0" applyFont="1" applyAlignment="1">
      <alignment horizontal="right"/>
    </xf>
    <xf numFmtId="0" fontId="21" fillId="0" borderId="0" xfId="0" applyFont="1" applyAlignment="1">
      <alignment horizontal="left" vertical="center" wrapText="1"/>
    </xf>
    <xf numFmtId="0" fontId="23" fillId="0" borderId="0" xfId="0" applyFont="1" applyAlignment="1">
      <alignment horizontal="left" vertical="center" wrapText="1"/>
    </xf>
    <xf numFmtId="0" fontId="9" fillId="0" borderId="3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7"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0" fontId="15" fillId="0" borderId="0" xfId="0" applyFont="1" applyAlignment="1">
      <alignment horizontal="center" wrapText="1"/>
    </xf>
    <xf numFmtId="49" fontId="32" fillId="2" borderId="9" xfId="0" applyNumberFormat="1" applyFont="1" applyFill="1" applyBorder="1" applyAlignment="1">
      <alignment horizontal="center" vertical="center" wrapText="1"/>
    </xf>
    <xf numFmtId="49" fontId="32" fillId="2" borderId="11" xfId="0" applyNumberFormat="1" applyFont="1" applyFill="1" applyBorder="1" applyAlignment="1">
      <alignment horizontal="center" vertical="center" wrapText="1"/>
    </xf>
    <xf numFmtId="49" fontId="32" fillId="2" borderId="1" xfId="0" applyNumberFormat="1" applyFont="1" applyFill="1" applyBorder="1" applyAlignment="1">
      <alignment horizontal="center" vertical="center" wrapText="1"/>
    </xf>
    <xf numFmtId="49" fontId="32" fillId="2" borderId="12" xfId="0" applyNumberFormat="1" applyFont="1" applyFill="1" applyBorder="1" applyAlignment="1">
      <alignment horizontal="center" vertical="center" wrapText="1"/>
    </xf>
    <xf numFmtId="0" fontId="32" fillId="2" borderId="1" xfId="0" applyFont="1" applyFill="1" applyBorder="1" applyAlignment="1">
      <alignment horizontal="left" vertical="center" wrapText="1"/>
    </xf>
    <xf numFmtId="0" fontId="32" fillId="2" borderId="12" xfId="0" applyFont="1" applyFill="1" applyBorder="1" applyAlignment="1">
      <alignment horizontal="left" vertical="center" wrapText="1"/>
    </xf>
    <xf numFmtId="49" fontId="39" fillId="2" borderId="1" xfId="0" applyNumberFormat="1" applyFont="1" applyFill="1" applyBorder="1" applyAlignment="1">
      <alignment horizontal="center" vertical="center" wrapText="1"/>
    </xf>
    <xf numFmtId="49" fontId="39" fillId="2" borderId="12" xfId="0" applyNumberFormat="1" applyFont="1" applyFill="1" applyBorder="1" applyAlignment="1">
      <alignment horizontal="center" vertical="center" wrapText="1"/>
    </xf>
    <xf numFmtId="49" fontId="32" fillId="0" borderId="1" xfId="0" applyNumberFormat="1" applyFont="1" applyBorder="1" applyAlignment="1">
      <alignment horizontal="center" vertical="center" wrapText="1"/>
    </xf>
    <xf numFmtId="0" fontId="50" fillId="0" borderId="1" xfId="0" applyFont="1" applyBorder="1" applyAlignment="1">
      <alignment horizontal="left" vertical="center"/>
    </xf>
    <xf numFmtId="0" fontId="39" fillId="2" borderId="9"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39" fillId="2" borderId="1" xfId="0" quotePrefix="1" applyFont="1" applyFill="1" applyBorder="1" applyAlignment="1">
      <alignment horizontal="left" vertical="center" wrapText="1"/>
    </xf>
    <xf numFmtId="0" fontId="39" fillId="0" borderId="1" xfId="0"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13" xfId="0" applyNumberFormat="1" applyFont="1" applyBorder="1" applyAlignment="1">
      <alignment horizontal="center" vertical="center" wrapText="1"/>
    </xf>
    <xf numFmtId="49" fontId="39" fillId="2" borderId="9" xfId="0" applyNumberFormat="1" applyFont="1" applyFill="1" applyBorder="1" applyAlignment="1">
      <alignment horizontal="center" vertical="center"/>
    </xf>
    <xf numFmtId="0" fontId="38" fillId="2" borderId="9" xfId="0" applyFont="1" applyFill="1" applyBorder="1" applyAlignment="1">
      <alignment horizontal="center" vertical="center"/>
    </xf>
    <xf numFmtId="0" fontId="38" fillId="2" borderId="1" xfId="0" applyFont="1" applyFill="1" applyBorder="1" applyAlignment="1">
      <alignment horizontal="center" vertical="center" wrapText="1"/>
    </xf>
    <xf numFmtId="3" fontId="39" fillId="2" borderId="1" xfId="0" applyNumberFormat="1" applyFont="1" applyFill="1" applyBorder="1" applyAlignment="1">
      <alignment horizontal="left" vertical="center" wrapText="1"/>
    </xf>
    <xf numFmtId="3" fontId="39" fillId="2" borderId="1" xfId="0" applyNumberFormat="1" applyFont="1" applyFill="1" applyBorder="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49" fontId="7" fillId="0" borderId="6"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12" xfId="0" applyNumberFormat="1" applyFont="1" applyBorder="1" applyAlignment="1">
      <alignment horizontal="center" vertical="center" wrapText="1"/>
    </xf>
    <xf numFmtId="3" fontId="39" fillId="0" borderId="1" xfId="0" applyNumberFormat="1" applyFont="1" applyBorder="1" applyAlignment="1">
      <alignment horizontal="center" vertical="center" wrapText="1"/>
    </xf>
    <xf numFmtId="0" fontId="39" fillId="2" borderId="9" xfId="0" applyFont="1" applyFill="1" applyBorder="1" applyAlignment="1">
      <alignment horizontal="center" vertical="center"/>
    </xf>
    <xf numFmtId="1" fontId="39" fillId="2" borderId="1" xfId="0" applyNumberFormat="1" applyFont="1" applyFill="1" applyBorder="1" applyAlignment="1">
      <alignment horizontal="center" vertical="center" wrapText="1"/>
    </xf>
    <xf numFmtId="49" fontId="32" fillId="0" borderId="1" xfId="0" quotePrefix="1" applyNumberFormat="1" applyFont="1" applyBorder="1" applyAlignment="1">
      <alignment horizontal="left" vertical="center" wrapText="1"/>
    </xf>
    <xf numFmtId="0" fontId="13" fillId="0" borderId="27" xfId="0" applyFont="1" applyBorder="1" applyAlignment="1">
      <alignment horizontal="left" vertical="center" wrapText="1"/>
    </xf>
    <xf numFmtId="0" fontId="15" fillId="0" borderId="0" xfId="0" applyFont="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xf numFmtId="0" fontId="35"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35" fillId="0" borderId="7" xfId="0"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19" fillId="0" borderId="7"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21" xfId="0" applyFont="1" applyBorder="1" applyAlignment="1">
      <alignment horizontal="center" vertical="center" wrapText="1"/>
    </xf>
    <xf numFmtId="0" fontId="13" fillId="0" borderId="15" xfId="0" applyFont="1" applyBorder="1" applyAlignment="1">
      <alignment horizontal="center" vertical="center" wrapText="1"/>
    </xf>
    <xf numFmtId="49" fontId="25" fillId="0" borderId="9" xfId="0" applyNumberFormat="1" applyFont="1" applyBorder="1" applyAlignment="1">
      <alignment horizontal="center" vertical="center"/>
    </xf>
    <xf numFmtId="0" fontId="25" fillId="0" borderId="1" xfId="0" applyFont="1" applyBorder="1" applyAlignment="1">
      <alignment horizontal="center" vertical="center"/>
    </xf>
    <xf numFmtId="49" fontId="25"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0" fontId="7" fillId="2" borderId="0" xfId="0" applyFont="1" applyFill="1" applyAlignment="1">
      <alignment horizontal="left" vertical="center"/>
    </xf>
    <xf numFmtId="4" fontId="9" fillId="0" borderId="7"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21" xfId="0" applyNumberFormat="1" applyFont="1" applyBorder="1" applyAlignment="1">
      <alignment horizontal="center" vertical="center" wrapText="1"/>
    </xf>
    <xf numFmtId="4" fontId="9" fillId="0" borderId="8" xfId="0" applyNumberFormat="1" applyFont="1" applyBorder="1" applyAlignment="1">
      <alignment horizontal="center" vertical="center" wrapText="1"/>
    </xf>
    <xf numFmtId="4" fontId="9" fillId="0" borderId="10" xfId="0" applyNumberFormat="1" applyFont="1" applyBorder="1" applyAlignment="1">
      <alignment horizontal="center" vertical="center" wrapText="1"/>
    </xf>
    <xf numFmtId="4" fontId="9" fillId="0" borderId="22" xfId="0" applyNumberFormat="1" applyFont="1" applyBorder="1" applyAlignment="1">
      <alignment horizontal="center" vertical="center" wrapText="1"/>
    </xf>
  </cellXfs>
  <cellStyles count="7">
    <cellStyle name="Денежный 2" xfId="5"/>
    <cellStyle name="Обычный" xfId="0" builtinId="0"/>
    <cellStyle name="Обычный 2" xfId="3"/>
    <cellStyle name="Обычный 9 2 4 2 2" xfId="2"/>
    <cellStyle name="Процентный" xfId="6" builtinId="5"/>
    <cellStyle name="Процентный 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N95"/>
  <sheetViews>
    <sheetView view="pageBreakPreview" topLeftCell="A88" zoomScale="80" zoomScaleNormal="100" zoomScaleSheetLayoutView="80" workbookViewId="0">
      <selection activeCell="H3" sqref="H3:I4"/>
    </sheetView>
  </sheetViews>
  <sheetFormatPr defaultColWidth="8.88671875" defaultRowHeight="13.8" x14ac:dyDescent="0.3"/>
  <cols>
    <col min="1" max="1" width="11.33203125" customWidth="1"/>
    <col min="2" max="2" width="55.44140625" customWidth="1"/>
    <col min="3" max="3" width="13.5546875" customWidth="1"/>
    <col min="4" max="4" width="14.109375" customWidth="1"/>
    <col min="5" max="5" width="13.33203125" customWidth="1"/>
    <col min="6" max="6" width="14.88671875" customWidth="1"/>
    <col min="7" max="7" width="14.44140625" customWidth="1"/>
    <col min="8" max="8" width="14.109375" customWidth="1"/>
    <col min="9" max="9" width="13.6640625" customWidth="1"/>
    <col min="10" max="10" width="12.6640625" customWidth="1"/>
    <col min="11" max="11" width="15.5546875" customWidth="1"/>
  </cols>
  <sheetData>
    <row r="1" spans="1:14" ht="15.6" x14ac:dyDescent="0.3">
      <c r="G1" s="188"/>
      <c r="H1" s="188" t="s">
        <v>161</v>
      </c>
      <c r="I1" s="188"/>
      <c r="J1" s="188"/>
      <c r="K1" s="518"/>
      <c r="L1" s="1071"/>
      <c r="M1" s="1071"/>
      <c r="N1" s="1071"/>
    </row>
    <row r="2" spans="1:14" ht="15.6" customHeight="1" x14ac:dyDescent="0.3">
      <c r="G2" s="471"/>
      <c r="H2" s="1072" t="s">
        <v>657</v>
      </c>
      <c r="I2" s="1072"/>
      <c r="J2" s="1072"/>
      <c r="K2" s="1072"/>
      <c r="L2" s="518"/>
      <c r="M2" s="518"/>
      <c r="N2" s="518"/>
    </row>
    <row r="3" spans="1:14" ht="15.6" x14ac:dyDescent="0.3">
      <c r="G3" s="5"/>
      <c r="H3" s="6" t="s">
        <v>736</v>
      </c>
      <c r="I3" s="6"/>
      <c r="J3" s="474"/>
      <c r="K3" s="189"/>
      <c r="L3" s="518"/>
      <c r="M3" s="518"/>
      <c r="N3" s="518"/>
    </row>
    <row r="4" spans="1:14" ht="15.6" x14ac:dyDescent="0.3">
      <c r="G4" s="5"/>
      <c r="H4" s="1074" t="s">
        <v>737</v>
      </c>
      <c r="I4" s="1074"/>
      <c r="J4" s="474"/>
      <c r="K4" s="189"/>
      <c r="L4" s="518"/>
      <c r="M4" s="518"/>
      <c r="N4" s="518"/>
    </row>
    <row r="5" spans="1:14" ht="15.6" x14ac:dyDescent="0.3">
      <c r="G5" s="521"/>
      <c r="H5" s="521"/>
      <c r="J5" s="521"/>
      <c r="K5" s="520"/>
      <c r="L5" s="1072"/>
      <c r="M5" s="1072"/>
      <c r="N5" s="1072"/>
    </row>
    <row r="6" spans="1:14" ht="15.6" x14ac:dyDescent="0.3">
      <c r="G6" s="521"/>
      <c r="H6" s="521"/>
      <c r="J6" s="64"/>
      <c r="K6" s="517"/>
      <c r="L6" s="1073"/>
      <c r="M6" s="1073"/>
      <c r="N6" s="1073"/>
    </row>
    <row r="7" spans="1:14" ht="15.6" x14ac:dyDescent="0.3">
      <c r="G7" s="64"/>
      <c r="H7" s="64"/>
      <c r="I7" s="64"/>
      <c r="J7" s="64"/>
      <c r="K7" s="517"/>
      <c r="L7" s="1073"/>
      <c r="M7" s="1073"/>
      <c r="N7" s="1073"/>
    </row>
    <row r="8" spans="1:14" ht="34.5" customHeight="1" x14ac:dyDescent="0.35">
      <c r="A8" s="1068" t="s">
        <v>307</v>
      </c>
      <c r="B8" s="1069"/>
      <c r="C8" s="1069"/>
      <c r="D8" s="1069"/>
      <c r="E8" s="1069"/>
      <c r="F8" s="1069"/>
      <c r="G8" s="1069"/>
      <c r="H8" s="1069"/>
      <c r="I8" s="1069"/>
      <c r="J8" s="1069"/>
      <c r="K8" s="519"/>
      <c r="L8" s="1070"/>
      <c r="M8" s="1070"/>
      <c r="N8" s="1070"/>
    </row>
    <row r="9" spans="1:14" ht="15.6" x14ac:dyDescent="0.3">
      <c r="A9" s="1059" t="s">
        <v>162</v>
      </c>
      <c r="B9" s="1059"/>
      <c r="C9" s="1"/>
      <c r="D9" s="1"/>
      <c r="E9" s="1"/>
      <c r="F9" s="1"/>
      <c r="G9" s="1"/>
      <c r="H9" s="1"/>
      <c r="I9" s="1"/>
      <c r="J9" s="1"/>
      <c r="K9" s="1"/>
      <c r="L9" s="1060"/>
      <c r="M9" s="1060"/>
      <c r="N9" s="1060"/>
    </row>
    <row r="10" spans="1:14" ht="16.2" thickBot="1" x14ac:dyDescent="0.35">
      <c r="A10" s="1" t="s">
        <v>0</v>
      </c>
      <c r="B10" s="1"/>
      <c r="C10" s="1"/>
      <c r="D10" s="1"/>
      <c r="E10" s="1"/>
      <c r="F10" s="1"/>
      <c r="G10" s="1"/>
      <c r="H10" s="1"/>
      <c r="I10" s="1"/>
      <c r="J10" s="2" t="s">
        <v>268</v>
      </c>
      <c r="K10" s="2"/>
      <c r="L10" s="1060"/>
      <c r="M10" s="1060"/>
      <c r="N10" s="1060"/>
    </row>
    <row r="11" spans="1:14" ht="15.6" customHeight="1" x14ac:dyDescent="0.3">
      <c r="A11" s="1061" t="s">
        <v>308</v>
      </c>
      <c r="B11" s="1063" t="s">
        <v>309</v>
      </c>
      <c r="C11" s="1065" t="s">
        <v>1</v>
      </c>
      <c r="D11" s="1065"/>
      <c r="E11" s="1065"/>
      <c r="F11" s="1066" t="s">
        <v>2</v>
      </c>
      <c r="G11" s="1065"/>
      <c r="H11" s="1067"/>
      <c r="I11" s="1065" t="s">
        <v>3</v>
      </c>
      <c r="J11" s="1065"/>
      <c r="K11" s="1067"/>
    </row>
    <row r="12" spans="1:14" ht="15.6" customHeight="1" x14ac:dyDescent="0.3">
      <c r="A12" s="1062"/>
      <c r="B12" s="1064"/>
      <c r="C12" s="1057" t="s">
        <v>455</v>
      </c>
      <c r="D12" s="1053" t="s">
        <v>639</v>
      </c>
      <c r="E12" s="1049" t="s">
        <v>456</v>
      </c>
      <c r="F12" s="1051" t="s">
        <v>455</v>
      </c>
      <c r="G12" s="1053" t="s">
        <v>640</v>
      </c>
      <c r="H12" s="1055" t="s">
        <v>456</v>
      </c>
      <c r="I12" s="1057" t="s">
        <v>455</v>
      </c>
      <c r="J12" s="1053" t="s">
        <v>640</v>
      </c>
      <c r="K12" s="1055" t="s">
        <v>456</v>
      </c>
    </row>
    <row r="13" spans="1:14" ht="31.2" customHeight="1" x14ac:dyDescent="0.3">
      <c r="A13" s="1062"/>
      <c r="B13" s="1064"/>
      <c r="C13" s="1058"/>
      <c r="D13" s="1054"/>
      <c r="E13" s="1050"/>
      <c r="F13" s="1052"/>
      <c r="G13" s="1054"/>
      <c r="H13" s="1056"/>
      <c r="I13" s="1058"/>
      <c r="J13" s="1054"/>
      <c r="K13" s="1056"/>
    </row>
    <row r="14" spans="1:14" ht="16.2" thickBot="1" x14ac:dyDescent="0.35">
      <c r="A14" s="9">
        <v>1</v>
      </c>
      <c r="B14" s="358">
        <v>2</v>
      </c>
      <c r="C14" s="383">
        <v>3</v>
      </c>
      <c r="D14" s="10">
        <v>4</v>
      </c>
      <c r="E14" s="375">
        <v>5</v>
      </c>
      <c r="F14" s="9">
        <v>6</v>
      </c>
      <c r="G14" s="10">
        <v>7</v>
      </c>
      <c r="H14" s="358">
        <v>8</v>
      </c>
      <c r="I14" s="383">
        <v>9</v>
      </c>
      <c r="J14" s="10">
        <v>10</v>
      </c>
      <c r="K14" s="358">
        <v>11</v>
      </c>
    </row>
    <row r="15" spans="1:14" ht="16.2" thickBot="1" x14ac:dyDescent="0.35">
      <c r="A15" s="347" t="s">
        <v>310</v>
      </c>
      <c r="B15" s="422" t="s">
        <v>311</v>
      </c>
      <c r="C15" s="416">
        <f>F15+I15</f>
        <v>479651016</v>
      </c>
      <c r="D15" s="12">
        <f>G15+J15</f>
        <v>530049972.15399998</v>
      </c>
      <c r="E15" s="376">
        <f>D15/C15*100</f>
        <v>110.50742195321442</v>
      </c>
      <c r="F15" s="396">
        <f>F16+F21+F25</f>
        <v>479291416</v>
      </c>
      <c r="G15" s="12">
        <f>G16+G21+G25+G19</f>
        <v>529634487.884</v>
      </c>
      <c r="H15" s="397">
        <f>G15/F15*100</f>
        <v>110.50364563257691</v>
      </c>
      <c r="I15" s="384">
        <f>I40</f>
        <v>359600</v>
      </c>
      <c r="J15" s="348">
        <f>J40</f>
        <v>415484.27</v>
      </c>
      <c r="K15" s="349">
        <f>J15/I15*100</f>
        <v>115.54067575083427</v>
      </c>
      <c r="L15" s="80"/>
    </row>
    <row r="16" spans="1:14" ht="32.4" x14ac:dyDescent="0.3">
      <c r="A16" s="359" t="s">
        <v>312</v>
      </c>
      <c r="B16" s="423" t="s">
        <v>313</v>
      </c>
      <c r="C16" s="417">
        <f>F16+I16</f>
        <v>301090216</v>
      </c>
      <c r="D16" s="345">
        <f t="shared" ref="D16:D89" si="0">G16+J16</f>
        <v>330468550.79000002</v>
      </c>
      <c r="E16" s="377">
        <f t="shared" ref="E16:E91" si="1">D16/C16*100</f>
        <v>109.757319643359</v>
      </c>
      <c r="F16" s="398">
        <f>F17+F18</f>
        <v>301090216</v>
      </c>
      <c r="G16" s="345">
        <f>G17+G18</f>
        <v>330468550.79000002</v>
      </c>
      <c r="H16" s="399">
        <f t="shared" ref="H16:H91" si="2">G16/F16*100</f>
        <v>109.757319643359</v>
      </c>
      <c r="I16" s="385"/>
      <c r="J16" s="346"/>
      <c r="K16" s="798"/>
      <c r="L16" s="80"/>
    </row>
    <row r="17" spans="1:12" ht="21" customHeight="1" x14ac:dyDescent="0.3">
      <c r="A17" s="360" t="s">
        <v>314</v>
      </c>
      <c r="B17" s="424" t="s">
        <v>315</v>
      </c>
      <c r="C17" s="387">
        <f>F17</f>
        <v>300987916</v>
      </c>
      <c r="D17" s="8">
        <f t="shared" si="0"/>
        <v>329502123.74000001</v>
      </c>
      <c r="E17" s="378">
        <f t="shared" si="1"/>
        <v>109.473539044006</v>
      </c>
      <c r="F17" s="400">
        <v>300987916</v>
      </c>
      <c r="G17" s="13">
        <v>329502123.74000001</v>
      </c>
      <c r="H17" s="401">
        <f t="shared" si="2"/>
        <v>109.473539044006</v>
      </c>
      <c r="I17" s="386"/>
      <c r="J17" s="79"/>
      <c r="K17" s="799"/>
      <c r="L17" s="80"/>
    </row>
    <row r="18" spans="1:12" ht="36.75" customHeight="1" x14ac:dyDescent="0.3">
      <c r="A18" s="360" t="s">
        <v>316</v>
      </c>
      <c r="B18" s="424" t="s">
        <v>317</v>
      </c>
      <c r="C18" s="387">
        <f t="shared" ref="C18:C24" si="3">F18</f>
        <v>102300</v>
      </c>
      <c r="D18" s="8">
        <f t="shared" si="0"/>
        <v>966427.05</v>
      </c>
      <c r="E18" s="522" t="str">
        <f>H18</f>
        <v>збільшення у 9,4 рази</v>
      </c>
      <c r="F18" s="400">
        <v>102300</v>
      </c>
      <c r="G18" s="13">
        <v>966427.05</v>
      </c>
      <c r="H18" s="402" t="s">
        <v>710</v>
      </c>
      <c r="I18" s="387"/>
      <c r="J18" s="79"/>
      <c r="K18" s="799"/>
      <c r="L18" s="80"/>
    </row>
    <row r="19" spans="1:12" ht="32.4" x14ac:dyDescent="0.3">
      <c r="A19" s="361">
        <v>13000000</v>
      </c>
      <c r="B19" s="425" t="s">
        <v>489</v>
      </c>
      <c r="C19" s="418">
        <v>0</v>
      </c>
      <c r="D19" s="78">
        <f t="shared" si="0"/>
        <v>1480.77</v>
      </c>
      <c r="E19" s="379" t="s">
        <v>295</v>
      </c>
      <c r="F19" s="403">
        <v>0</v>
      </c>
      <c r="G19" s="82">
        <f>G20</f>
        <v>1480.77</v>
      </c>
      <c r="H19" s="404" t="s">
        <v>295</v>
      </c>
      <c r="I19" s="388"/>
      <c r="J19" s="82"/>
      <c r="K19" s="363"/>
      <c r="L19" s="80"/>
    </row>
    <row r="20" spans="1:12" ht="36.75" customHeight="1" x14ac:dyDescent="0.3">
      <c r="A20" s="342">
        <v>13030000</v>
      </c>
      <c r="B20" s="426" t="s">
        <v>496</v>
      </c>
      <c r="C20" s="394">
        <v>0</v>
      </c>
      <c r="D20" s="8">
        <f t="shared" si="0"/>
        <v>1480.77</v>
      </c>
      <c r="E20" s="378" t="s">
        <v>295</v>
      </c>
      <c r="F20" s="405">
        <v>0</v>
      </c>
      <c r="G20" s="13">
        <v>1480.77</v>
      </c>
      <c r="H20" s="404" t="s">
        <v>295</v>
      </c>
      <c r="I20" s="387"/>
      <c r="J20" s="79"/>
      <c r="K20" s="799"/>
      <c r="L20" s="80"/>
    </row>
    <row r="21" spans="1:12" ht="16.2" x14ac:dyDescent="0.3">
      <c r="A21" s="362" t="s">
        <v>318</v>
      </c>
      <c r="B21" s="425" t="s">
        <v>319</v>
      </c>
      <c r="C21" s="523">
        <f>F21</f>
        <v>19638200</v>
      </c>
      <c r="D21" s="78">
        <f t="shared" si="0"/>
        <v>24691964.134</v>
      </c>
      <c r="E21" s="379">
        <f>H21</f>
        <v>125.73435515474942</v>
      </c>
      <c r="F21" s="406">
        <f>F22+F23+F24</f>
        <v>19638200</v>
      </c>
      <c r="G21" s="82">
        <f>G22+G23+G24</f>
        <v>24691964.134</v>
      </c>
      <c r="H21" s="407">
        <f t="shared" si="2"/>
        <v>125.73435515474942</v>
      </c>
      <c r="I21" s="386"/>
      <c r="J21" s="79"/>
      <c r="K21" s="799"/>
      <c r="L21" s="80"/>
    </row>
    <row r="22" spans="1:12" ht="33.75" customHeight="1" x14ac:dyDescent="0.3">
      <c r="A22" s="360" t="s">
        <v>320</v>
      </c>
      <c r="B22" s="424" t="s">
        <v>321</v>
      </c>
      <c r="C22" s="387">
        <f t="shared" si="3"/>
        <v>443200</v>
      </c>
      <c r="D22" s="8">
        <f t="shared" si="0"/>
        <v>1124762.004</v>
      </c>
      <c r="E22" s="378">
        <f t="shared" si="1"/>
        <v>253.78204061371838</v>
      </c>
      <c r="F22" s="400">
        <v>443200</v>
      </c>
      <c r="G22" s="13">
        <v>1124762.004</v>
      </c>
      <c r="H22" s="401">
        <f t="shared" si="2"/>
        <v>253.78204061371838</v>
      </c>
      <c r="I22" s="387"/>
      <c r="J22" s="79"/>
      <c r="K22" s="799"/>
      <c r="L22" s="80"/>
    </row>
    <row r="23" spans="1:12" ht="31.2" x14ac:dyDescent="0.3">
      <c r="A23" s="360" t="s">
        <v>322</v>
      </c>
      <c r="B23" s="424" t="s">
        <v>323</v>
      </c>
      <c r="C23" s="387">
        <f t="shared" si="3"/>
        <v>5118800</v>
      </c>
      <c r="D23" s="8">
        <f t="shared" si="0"/>
        <v>6945812.0899999999</v>
      </c>
      <c r="E23" s="378">
        <f t="shared" si="1"/>
        <v>135.69219524107211</v>
      </c>
      <c r="F23" s="400">
        <v>5118800</v>
      </c>
      <c r="G23" s="13">
        <v>6945812.0899999999</v>
      </c>
      <c r="H23" s="401">
        <f t="shared" si="2"/>
        <v>135.69219524107211</v>
      </c>
      <c r="I23" s="387"/>
      <c r="J23" s="79"/>
      <c r="K23" s="799"/>
      <c r="L23" s="80"/>
    </row>
    <row r="24" spans="1:12" ht="46.8" x14ac:dyDescent="0.3">
      <c r="A24" s="360" t="s">
        <v>324</v>
      </c>
      <c r="B24" s="424" t="s">
        <v>325</v>
      </c>
      <c r="C24" s="387">
        <f t="shared" si="3"/>
        <v>14076200</v>
      </c>
      <c r="D24" s="8">
        <f t="shared" si="0"/>
        <v>16621390.039999999</v>
      </c>
      <c r="E24" s="378">
        <f t="shared" si="1"/>
        <v>118.08151376081612</v>
      </c>
      <c r="F24" s="400">
        <v>14076200</v>
      </c>
      <c r="G24" s="13">
        <v>16621390.039999999</v>
      </c>
      <c r="H24" s="401">
        <f t="shared" si="2"/>
        <v>118.08151376081612</v>
      </c>
      <c r="I24" s="387"/>
      <c r="J24" s="79"/>
      <c r="K24" s="799"/>
      <c r="L24" s="80"/>
    </row>
    <row r="25" spans="1:12" ht="50.25" customHeight="1" x14ac:dyDescent="0.3">
      <c r="A25" s="362" t="s">
        <v>326</v>
      </c>
      <c r="B25" s="425" t="s">
        <v>327</v>
      </c>
      <c r="C25" s="388">
        <f>F25</f>
        <v>158563000</v>
      </c>
      <c r="D25" s="78">
        <f t="shared" si="0"/>
        <v>174472492.19</v>
      </c>
      <c r="E25" s="379">
        <f t="shared" si="1"/>
        <v>110.03354640742164</v>
      </c>
      <c r="F25" s="406">
        <f>F26+F38+F39</f>
        <v>158563000</v>
      </c>
      <c r="G25" s="82">
        <f>G26+G38+G39</f>
        <v>174472492.19</v>
      </c>
      <c r="H25" s="407">
        <f t="shared" si="2"/>
        <v>110.03354640742164</v>
      </c>
      <c r="I25" s="386"/>
      <c r="J25" s="79"/>
      <c r="K25" s="799"/>
      <c r="L25" s="80"/>
    </row>
    <row r="26" spans="1:12" ht="15.6" x14ac:dyDescent="0.3">
      <c r="A26" s="360" t="s">
        <v>328</v>
      </c>
      <c r="B26" s="424" t="s">
        <v>329</v>
      </c>
      <c r="C26" s="387">
        <f>F26</f>
        <v>126863100</v>
      </c>
      <c r="D26" s="8">
        <f t="shared" si="0"/>
        <v>134554013.33999997</v>
      </c>
      <c r="E26" s="378">
        <f t="shared" si="1"/>
        <v>106.06237222643935</v>
      </c>
      <c r="F26" s="400">
        <f>F27+F32</f>
        <v>126863100</v>
      </c>
      <c r="G26" s="13">
        <f>G27+G32+G37</f>
        <v>134554013.33999997</v>
      </c>
      <c r="H26" s="401">
        <f t="shared" si="2"/>
        <v>106.06237222643935</v>
      </c>
      <c r="I26" s="387"/>
      <c r="J26" s="79"/>
      <c r="K26" s="799"/>
      <c r="L26" s="80"/>
    </row>
    <row r="27" spans="1:12" ht="35.25" customHeight="1" x14ac:dyDescent="0.3">
      <c r="A27" s="360"/>
      <c r="B27" s="424" t="s">
        <v>330</v>
      </c>
      <c r="C27" s="387">
        <f>F27+I27</f>
        <v>6666700</v>
      </c>
      <c r="D27" s="8">
        <f t="shared" si="0"/>
        <v>10554448.059999999</v>
      </c>
      <c r="E27" s="378">
        <f t="shared" si="1"/>
        <v>158.31592932035338</v>
      </c>
      <c r="F27" s="400">
        <f>F28+F29+F30+F31</f>
        <v>6666700</v>
      </c>
      <c r="G27" s="13">
        <f>G28+G29+G30+G31</f>
        <v>10554448.059999999</v>
      </c>
      <c r="H27" s="401">
        <f t="shared" si="2"/>
        <v>158.31592932035338</v>
      </c>
      <c r="I27" s="387"/>
      <c r="J27" s="79"/>
      <c r="K27" s="799"/>
      <c r="L27" s="80"/>
    </row>
    <row r="28" spans="1:12" ht="54" customHeight="1" x14ac:dyDescent="0.3">
      <c r="A28" s="342">
        <v>18010100</v>
      </c>
      <c r="B28" s="424" t="s">
        <v>331</v>
      </c>
      <c r="C28" s="387">
        <f t="shared" ref="C28:C31" si="4">F28+I28</f>
        <v>17400</v>
      </c>
      <c r="D28" s="8">
        <f t="shared" si="0"/>
        <v>27858.32</v>
      </c>
      <c r="E28" s="378">
        <f t="shared" si="1"/>
        <v>160.10528735632184</v>
      </c>
      <c r="F28" s="400">
        <v>17400</v>
      </c>
      <c r="G28" s="13">
        <v>27858.32</v>
      </c>
      <c r="H28" s="401">
        <f t="shared" si="2"/>
        <v>160.10528735632184</v>
      </c>
      <c r="I28" s="387"/>
      <c r="J28" s="79"/>
      <c r="K28" s="799"/>
      <c r="L28" s="80"/>
    </row>
    <row r="29" spans="1:12" ht="46.8" x14ac:dyDescent="0.3">
      <c r="A29" s="342">
        <v>18010200</v>
      </c>
      <c r="B29" s="424" t="s">
        <v>332</v>
      </c>
      <c r="C29" s="387">
        <f t="shared" si="4"/>
        <v>522000</v>
      </c>
      <c r="D29" s="8">
        <f t="shared" si="0"/>
        <v>817071.6</v>
      </c>
      <c r="E29" s="378">
        <f t="shared" si="1"/>
        <v>156.5271264367816</v>
      </c>
      <c r="F29" s="400">
        <v>522000</v>
      </c>
      <c r="G29" s="13">
        <v>817071.6</v>
      </c>
      <c r="H29" s="401">
        <f t="shared" si="2"/>
        <v>156.5271264367816</v>
      </c>
      <c r="I29" s="387"/>
      <c r="J29" s="79"/>
      <c r="K29" s="799"/>
      <c r="L29" s="80"/>
    </row>
    <row r="30" spans="1:12" ht="46.8" x14ac:dyDescent="0.3">
      <c r="A30" s="342">
        <v>18010300</v>
      </c>
      <c r="B30" s="424" t="s">
        <v>333</v>
      </c>
      <c r="C30" s="387">
        <f t="shared" si="4"/>
        <v>1641500</v>
      </c>
      <c r="D30" s="8">
        <f t="shared" si="0"/>
        <v>3650871.58</v>
      </c>
      <c r="E30" s="378">
        <f t="shared" si="1"/>
        <v>222.41069631434664</v>
      </c>
      <c r="F30" s="400">
        <v>1641500</v>
      </c>
      <c r="G30" s="13">
        <v>3650871.58</v>
      </c>
      <c r="H30" s="401">
        <f t="shared" si="2"/>
        <v>222.41069631434664</v>
      </c>
      <c r="I30" s="387"/>
      <c r="J30" s="79"/>
      <c r="K30" s="799"/>
      <c r="L30" s="80"/>
    </row>
    <row r="31" spans="1:12" ht="54.75" customHeight="1" x14ac:dyDescent="0.3">
      <c r="A31" s="342">
        <v>18010400</v>
      </c>
      <c r="B31" s="424" t="s">
        <v>334</v>
      </c>
      <c r="C31" s="387">
        <f t="shared" si="4"/>
        <v>4485800</v>
      </c>
      <c r="D31" s="8">
        <f t="shared" si="0"/>
        <v>6058646.5599999996</v>
      </c>
      <c r="E31" s="378">
        <f t="shared" si="1"/>
        <v>135.06278835436265</v>
      </c>
      <c r="F31" s="400">
        <v>4485800</v>
      </c>
      <c r="G31" s="13">
        <v>6058646.5599999996</v>
      </c>
      <c r="H31" s="401">
        <f t="shared" si="2"/>
        <v>135.06278835436265</v>
      </c>
      <c r="I31" s="387"/>
      <c r="J31" s="79"/>
      <c r="K31" s="799"/>
      <c r="L31" s="80"/>
    </row>
    <row r="32" spans="1:12" ht="15.6" x14ac:dyDescent="0.3">
      <c r="A32" s="342"/>
      <c r="B32" s="424" t="s">
        <v>335</v>
      </c>
      <c r="C32" s="387">
        <f>F32+I32</f>
        <v>120196400</v>
      </c>
      <c r="D32" s="8">
        <f t="shared" si="0"/>
        <v>123880815.36</v>
      </c>
      <c r="E32" s="378">
        <f t="shared" si="1"/>
        <v>103.06532921119103</v>
      </c>
      <c r="F32" s="400">
        <f>F33+F34+F35+F36</f>
        <v>120196400</v>
      </c>
      <c r="G32" s="13">
        <f>G33+G34+G35+G36</f>
        <v>123880815.36</v>
      </c>
      <c r="H32" s="401">
        <f t="shared" si="2"/>
        <v>103.06532921119103</v>
      </c>
      <c r="I32" s="387"/>
      <c r="J32" s="79"/>
      <c r="K32" s="799"/>
      <c r="L32" s="80"/>
    </row>
    <row r="33" spans="1:12" ht="15.6" x14ac:dyDescent="0.3">
      <c r="A33" s="342">
        <v>18010500</v>
      </c>
      <c r="B33" s="424" t="s">
        <v>336</v>
      </c>
      <c r="C33" s="387">
        <f t="shared" ref="C33:C37" si="5">F33+I33</f>
        <v>82596100</v>
      </c>
      <c r="D33" s="8">
        <f t="shared" si="0"/>
        <v>84914240.140000001</v>
      </c>
      <c r="E33" s="378">
        <f t="shared" si="1"/>
        <v>102.80659757543032</v>
      </c>
      <c r="F33" s="400">
        <v>82596100</v>
      </c>
      <c r="G33" s="13">
        <v>84914240.140000001</v>
      </c>
      <c r="H33" s="401">
        <f t="shared" si="2"/>
        <v>102.80659757543032</v>
      </c>
      <c r="I33" s="387"/>
      <c r="J33" s="79"/>
      <c r="K33" s="799"/>
      <c r="L33" s="80"/>
    </row>
    <row r="34" spans="1:12" ht="15.6" x14ac:dyDescent="0.3">
      <c r="A34" s="342">
        <v>18010600</v>
      </c>
      <c r="B34" s="424" t="s">
        <v>337</v>
      </c>
      <c r="C34" s="387">
        <f t="shared" si="5"/>
        <v>34176000</v>
      </c>
      <c r="D34" s="8">
        <f t="shared" si="0"/>
        <v>34494245.359999999</v>
      </c>
      <c r="E34" s="378">
        <f t="shared" si="1"/>
        <v>100.9311954588015</v>
      </c>
      <c r="F34" s="400">
        <v>34176000</v>
      </c>
      <c r="G34" s="13">
        <v>34494245.359999999</v>
      </c>
      <c r="H34" s="401">
        <f t="shared" si="2"/>
        <v>100.9311954588015</v>
      </c>
      <c r="I34" s="387"/>
      <c r="J34" s="79"/>
      <c r="K34" s="799"/>
      <c r="L34" s="80"/>
    </row>
    <row r="35" spans="1:12" ht="15.6" x14ac:dyDescent="0.3">
      <c r="A35" s="342">
        <v>18010700</v>
      </c>
      <c r="B35" s="424" t="s">
        <v>338</v>
      </c>
      <c r="C35" s="387">
        <f t="shared" si="5"/>
        <v>1289300</v>
      </c>
      <c r="D35" s="8">
        <f t="shared" si="0"/>
        <v>2012856.95</v>
      </c>
      <c r="E35" s="378">
        <f t="shared" si="1"/>
        <v>156.12013883502675</v>
      </c>
      <c r="F35" s="400">
        <v>1289300</v>
      </c>
      <c r="G35" s="13">
        <v>2012856.95</v>
      </c>
      <c r="H35" s="401">
        <f t="shared" si="2"/>
        <v>156.12013883502675</v>
      </c>
      <c r="I35" s="387"/>
      <c r="J35" s="79"/>
      <c r="K35" s="799"/>
      <c r="L35" s="80"/>
    </row>
    <row r="36" spans="1:12" ht="15.6" x14ac:dyDescent="0.3">
      <c r="A36" s="342">
        <v>18010900</v>
      </c>
      <c r="B36" s="424" t="s">
        <v>339</v>
      </c>
      <c r="C36" s="387">
        <f t="shared" si="5"/>
        <v>2135000</v>
      </c>
      <c r="D36" s="8">
        <f t="shared" si="0"/>
        <v>2459472.91</v>
      </c>
      <c r="E36" s="378">
        <f t="shared" si="1"/>
        <v>115.1977943793911</v>
      </c>
      <c r="F36" s="400">
        <v>2135000</v>
      </c>
      <c r="G36" s="13">
        <v>2459472.91</v>
      </c>
      <c r="H36" s="401">
        <f t="shared" si="2"/>
        <v>115.1977943793911</v>
      </c>
      <c r="I36" s="387"/>
      <c r="J36" s="79"/>
      <c r="K36" s="799"/>
      <c r="L36" s="80"/>
    </row>
    <row r="37" spans="1:12" ht="15.6" x14ac:dyDescent="0.3">
      <c r="A37" s="342">
        <v>18011000</v>
      </c>
      <c r="B37" s="424" t="s">
        <v>488</v>
      </c>
      <c r="C37" s="394">
        <f t="shared" si="5"/>
        <v>0</v>
      </c>
      <c r="D37" s="8">
        <f t="shared" si="0"/>
        <v>118749.92</v>
      </c>
      <c r="E37" s="378" t="s">
        <v>295</v>
      </c>
      <c r="F37" s="405">
        <v>0</v>
      </c>
      <c r="G37" s="13">
        <v>118749.92</v>
      </c>
      <c r="H37" s="401" t="s">
        <v>295</v>
      </c>
      <c r="I37" s="387"/>
      <c r="J37" s="79"/>
      <c r="K37" s="799"/>
      <c r="L37" s="80"/>
    </row>
    <row r="38" spans="1:12" ht="15.6" x14ac:dyDescent="0.3">
      <c r="A38" s="360" t="s">
        <v>340</v>
      </c>
      <c r="B38" s="424" t="s">
        <v>341</v>
      </c>
      <c r="C38" s="387">
        <f>F38</f>
        <v>20000</v>
      </c>
      <c r="D38" s="8">
        <f t="shared" si="0"/>
        <v>31310.36</v>
      </c>
      <c r="E38" s="378">
        <f t="shared" si="1"/>
        <v>156.55179999999999</v>
      </c>
      <c r="F38" s="400">
        <v>20000</v>
      </c>
      <c r="G38" s="13">
        <v>31310.36</v>
      </c>
      <c r="H38" s="401">
        <f t="shared" si="2"/>
        <v>156.55179999999999</v>
      </c>
      <c r="I38" s="387"/>
      <c r="J38" s="79"/>
      <c r="K38" s="799"/>
      <c r="L38" s="80"/>
    </row>
    <row r="39" spans="1:12" ht="15.6" x14ac:dyDescent="0.3">
      <c r="A39" s="360" t="s">
        <v>342</v>
      </c>
      <c r="B39" s="424" t="s">
        <v>343</v>
      </c>
      <c r="C39" s="387">
        <f>F39</f>
        <v>31679900</v>
      </c>
      <c r="D39" s="8">
        <f t="shared" si="0"/>
        <v>39887168.490000002</v>
      </c>
      <c r="E39" s="378">
        <f t="shared" si="1"/>
        <v>125.90686362646349</v>
      </c>
      <c r="F39" s="400">
        <v>31679900</v>
      </c>
      <c r="G39" s="13">
        <v>39887168.490000002</v>
      </c>
      <c r="H39" s="401">
        <f t="shared" si="2"/>
        <v>125.90686362646349</v>
      </c>
      <c r="I39" s="387"/>
      <c r="J39" s="79"/>
      <c r="K39" s="799"/>
      <c r="L39" s="80"/>
    </row>
    <row r="40" spans="1:12" ht="16.2" x14ac:dyDescent="0.3">
      <c r="A40" s="362" t="s">
        <v>344</v>
      </c>
      <c r="B40" s="425" t="s">
        <v>345</v>
      </c>
      <c r="C40" s="388">
        <f>I40</f>
        <v>359600</v>
      </c>
      <c r="D40" s="81">
        <f t="shared" si="0"/>
        <v>415484.27</v>
      </c>
      <c r="E40" s="380">
        <f t="shared" si="1"/>
        <v>115.54067575083427</v>
      </c>
      <c r="F40" s="406"/>
      <c r="G40" s="82"/>
      <c r="H40" s="404"/>
      <c r="I40" s="388">
        <f>I41</f>
        <v>359600</v>
      </c>
      <c r="J40" s="82">
        <f>J41</f>
        <v>415484.27</v>
      </c>
      <c r="K40" s="363">
        <f>J40/I40*100</f>
        <v>115.54067575083427</v>
      </c>
      <c r="L40" s="80"/>
    </row>
    <row r="41" spans="1:12" ht="16.2" thickBot="1" x14ac:dyDescent="0.35">
      <c r="A41" s="364" t="s">
        <v>346</v>
      </c>
      <c r="B41" s="427" t="s">
        <v>347</v>
      </c>
      <c r="C41" s="389">
        <f>I41</f>
        <v>359600</v>
      </c>
      <c r="D41" s="14">
        <f t="shared" si="0"/>
        <v>415484.27</v>
      </c>
      <c r="E41" s="381">
        <f t="shared" si="1"/>
        <v>115.54067575083427</v>
      </c>
      <c r="F41" s="408"/>
      <c r="G41" s="350"/>
      <c r="H41" s="409"/>
      <c r="I41" s="389">
        <v>359600</v>
      </c>
      <c r="J41" s="350">
        <v>415484.27</v>
      </c>
      <c r="K41" s="365">
        <f t="shared" ref="K41:K42" si="6">J41/I41*100</f>
        <v>115.54067575083427</v>
      </c>
      <c r="L41" s="80"/>
    </row>
    <row r="42" spans="1:12" ht="16.2" thickBot="1" x14ac:dyDescent="0.35">
      <c r="A42" s="347" t="s">
        <v>348</v>
      </c>
      <c r="B42" s="422" t="s">
        <v>349</v>
      </c>
      <c r="C42" s="384">
        <f>F42+I42</f>
        <v>16057500</v>
      </c>
      <c r="D42" s="12">
        <f>G42+J42</f>
        <v>19363127.59</v>
      </c>
      <c r="E42" s="376">
        <f t="shared" si="1"/>
        <v>120.58619081426126</v>
      </c>
      <c r="F42" s="410">
        <f>F43+F48+F55</f>
        <v>6090100</v>
      </c>
      <c r="G42" s="348">
        <f>G43+G48+G55</f>
        <v>6757377.1699999999</v>
      </c>
      <c r="H42" s="397">
        <f t="shared" si="2"/>
        <v>110.95675227007766</v>
      </c>
      <c r="I42" s="384">
        <f>I55+I61</f>
        <v>9967400</v>
      </c>
      <c r="J42" s="348">
        <f>J55+J61</f>
        <v>12605750.42</v>
      </c>
      <c r="K42" s="349">
        <f t="shared" si="6"/>
        <v>126.46979573409314</v>
      </c>
      <c r="L42" s="80"/>
    </row>
    <row r="43" spans="1:12" ht="32.4" x14ac:dyDescent="0.3">
      <c r="A43" s="359" t="s">
        <v>350</v>
      </c>
      <c r="B43" s="423" t="s">
        <v>351</v>
      </c>
      <c r="C43" s="419">
        <f t="shared" ref="C43:C54" si="7">F43</f>
        <v>942600</v>
      </c>
      <c r="D43" s="345">
        <f t="shared" si="0"/>
        <v>1329068.46</v>
      </c>
      <c r="E43" s="377">
        <f t="shared" si="1"/>
        <v>141.00026098026734</v>
      </c>
      <c r="F43" s="411">
        <f>F44+F45+F47+F46</f>
        <v>942600</v>
      </c>
      <c r="G43" s="351">
        <f>G44+G45+G47+G46</f>
        <v>1329068.46</v>
      </c>
      <c r="H43" s="399">
        <f t="shared" si="2"/>
        <v>141.00026098026734</v>
      </c>
      <c r="I43" s="385"/>
      <c r="J43" s="346"/>
      <c r="K43" s="798"/>
      <c r="L43" s="80"/>
    </row>
    <row r="44" spans="1:12" ht="46.8" x14ac:dyDescent="0.3">
      <c r="A44" s="360" t="s">
        <v>352</v>
      </c>
      <c r="B44" s="424" t="s">
        <v>353</v>
      </c>
      <c r="C44" s="387">
        <f t="shared" si="7"/>
        <v>24000</v>
      </c>
      <c r="D44" s="8">
        <f t="shared" si="0"/>
        <v>222769.92000000001</v>
      </c>
      <c r="E44" s="522" t="str">
        <f>H44</f>
        <v>збільшення у 9,3 разів</v>
      </c>
      <c r="F44" s="400">
        <v>24000</v>
      </c>
      <c r="G44" s="13">
        <v>222769.92000000001</v>
      </c>
      <c r="H44" s="402" t="s">
        <v>711</v>
      </c>
      <c r="I44" s="387"/>
      <c r="J44" s="13"/>
      <c r="K44" s="366"/>
      <c r="L44" s="80"/>
    </row>
    <row r="45" spans="1:12" ht="28.5" customHeight="1" x14ac:dyDescent="0.3">
      <c r="A45" s="360" t="s">
        <v>354</v>
      </c>
      <c r="B45" s="424" t="s">
        <v>355</v>
      </c>
      <c r="C45" s="387">
        <f t="shared" si="7"/>
        <v>34300</v>
      </c>
      <c r="D45" s="8">
        <f t="shared" si="0"/>
        <v>37519.1</v>
      </c>
      <c r="E45" s="378">
        <f t="shared" si="1"/>
        <v>109.38513119533528</v>
      </c>
      <c r="F45" s="400">
        <v>34300</v>
      </c>
      <c r="G45" s="13">
        <v>37519.1</v>
      </c>
      <c r="H45" s="401">
        <f t="shared" si="2"/>
        <v>109.38513119533528</v>
      </c>
      <c r="I45" s="387"/>
      <c r="J45" s="13"/>
      <c r="K45" s="366"/>
      <c r="L45" s="80"/>
    </row>
    <row r="46" spans="1:12" ht="101.25" customHeight="1" x14ac:dyDescent="0.3">
      <c r="A46" s="342">
        <v>21081500</v>
      </c>
      <c r="B46" s="424" t="s">
        <v>490</v>
      </c>
      <c r="C46" s="394">
        <f t="shared" si="7"/>
        <v>0</v>
      </c>
      <c r="D46" s="8">
        <f t="shared" si="0"/>
        <v>184400</v>
      </c>
      <c r="E46" s="379" t="s">
        <v>295</v>
      </c>
      <c r="F46" s="405">
        <v>0</v>
      </c>
      <c r="G46" s="13">
        <v>184400</v>
      </c>
      <c r="H46" s="401" t="s">
        <v>295</v>
      </c>
      <c r="I46" s="387"/>
      <c r="J46" s="13"/>
      <c r="K46" s="366"/>
      <c r="L46" s="80"/>
    </row>
    <row r="47" spans="1:12" ht="15.6" x14ac:dyDescent="0.3">
      <c r="A47" s="360" t="s">
        <v>356</v>
      </c>
      <c r="B47" s="424" t="s">
        <v>357</v>
      </c>
      <c r="C47" s="387">
        <f t="shared" si="7"/>
        <v>884300</v>
      </c>
      <c r="D47" s="8">
        <f t="shared" si="0"/>
        <v>884379.44</v>
      </c>
      <c r="E47" s="378">
        <f t="shared" si="1"/>
        <v>100.00898337668211</v>
      </c>
      <c r="F47" s="400">
        <v>884300</v>
      </c>
      <c r="G47" s="13">
        <v>884379.44</v>
      </c>
      <c r="H47" s="401">
        <f t="shared" si="2"/>
        <v>100.00898337668211</v>
      </c>
      <c r="I47" s="387"/>
      <c r="J47" s="13"/>
      <c r="K47" s="366"/>
      <c r="L47" s="80"/>
    </row>
    <row r="48" spans="1:12" ht="32.4" x14ac:dyDescent="0.3">
      <c r="A48" s="362" t="s">
        <v>358</v>
      </c>
      <c r="B48" s="425" t="s">
        <v>359</v>
      </c>
      <c r="C48" s="388">
        <f t="shared" si="7"/>
        <v>1704300</v>
      </c>
      <c r="D48" s="78">
        <f t="shared" si="0"/>
        <v>1899546.51</v>
      </c>
      <c r="E48" s="379">
        <f t="shared" si="1"/>
        <v>111.4561116000704</v>
      </c>
      <c r="F48" s="406">
        <f>F49+F50+F51+F53+F54+F52</f>
        <v>1704300</v>
      </c>
      <c r="G48" s="82">
        <f>G49+G50+G51+G53+G54+G52</f>
        <v>1899546.51</v>
      </c>
      <c r="H48" s="407">
        <f t="shared" si="2"/>
        <v>111.4561116000704</v>
      </c>
      <c r="I48" s="386"/>
      <c r="J48" s="79"/>
      <c r="K48" s="799"/>
      <c r="L48" s="80"/>
    </row>
    <row r="49" spans="1:12" ht="46.8" x14ac:dyDescent="0.3">
      <c r="A49" s="360" t="s">
        <v>360</v>
      </c>
      <c r="B49" s="424" t="s">
        <v>361</v>
      </c>
      <c r="C49" s="387">
        <f t="shared" si="7"/>
        <v>104500</v>
      </c>
      <c r="D49" s="8">
        <f t="shared" si="0"/>
        <v>111064</v>
      </c>
      <c r="E49" s="378">
        <f t="shared" si="1"/>
        <v>106.28133971291867</v>
      </c>
      <c r="F49" s="400">
        <v>104500</v>
      </c>
      <c r="G49" s="13">
        <v>111064</v>
      </c>
      <c r="H49" s="401">
        <f t="shared" si="2"/>
        <v>106.28133971291867</v>
      </c>
      <c r="I49" s="387"/>
      <c r="J49" s="13"/>
      <c r="K49" s="366"/>
      <c r="L49" s="80"/>
    </row>
    <row r="50" spans="1:12" ht="15.6" x14ac:dyDescent="0.3">
      <c r="A50" s="360" t="s">
        <v>362</v>
      </c>
      <c r="B50" s="424" t="s">
        <v>363</v>
      </c>
      <c r="C50" s="387">
        <f t="shared" si="7"/>
        <v>185700</v>
      </c>
      <c r="D50" s="8">
        <f t="shared" si="0"/>
        <v>186627.36</v>
      </c>
      <c r="E50" s="378">
        <f t="shared" si="1"/>
        <v>100.49938610662359</v>
      </c>
      <c r="F50" s="400">
        <v>185700</v>
      </c>
      <c r="G50" s="13">
        <v>186627.36</v>
      </c>
      <c r="H50" s="401">
        <f t="shared" si="2"/>
        <v>100.49938610662359</v>
      </c>
      <c r="I50" s="387"/>
      <c r="J50" s="13"/>
      <c r="K50" s="366"/>
      <c r="L50" s="80"/>
    </row>
    <row r="51" spans="1:12" ht="31.2" x14ac:dyDescent="0.3">
      <c r="A51" s="360" t="s">
        <v>364</v>
      </c>
      <c r="B51" s="424" t="s">
        <v>365</v>
      </c>
      <c r="C51" s="387">
        <f t="shared" si="7"/>
        <v>485100</v>
      </c>
      <c r="D51" s="8">
        <f t="shared" si="0"/>
        <v>576630</v>
      </c>
      <c r="E51" s="378">
        <f t="shared" si="1"/>
        <v>118.8682745825603</v>
      </c>
      <c r="F51" s="400">
        <v>485100</v>
      </c>
      <c r="G51" s="13">
        <v>576630</v>
      </c>
      <c r="H51" s="401">
        <f t="shared" si="2"/>
        <v>118.8682745825603</v>
      </c>
      <c r="I51" s="387"/>
      <c r="J51" s="13"/>
      <c r="K51" s="366"/>
      <c r="L51" s="80"/>
    </row>
    <row r="52" spans="1:12" ht="46.8" x14ac:dyDescent="0.3">
      <c r="A52" s="342">
        <v>22012900</v>
      </c>
      <c r="B52" s="424" t="s">
        <v>491</v>
      </c>
      <c r="C52" s="394">
        <f t="shared" si="7"/>
        <v>0</v>
      </c>
      <c r="D52" s="8">
        <f t="shared" si="0"/>
        <v>12188</v>
      </c>
      <c r="E52" s="378" t="s">
        <v>295</v>
      </c>
      <c r="F52" s="405">
        <v>0</v>
      </c>
      <c r="G52" s="13">
        <v>12188</v>
      </c>
      <c r="H52" s="401" t="s">
        <v>295</v>
      </c>
      <c r="I52" s="387"/>
      <c r="J52" s="13"/>
      <c r="K52" s="366"/>
      <c r="L52" s="80"/>
    </row>
    <row r="53" spans="1:12" ht="46.8" x14ac:dyDescent="0.3">
      <c r="A53" s="360" t="s">
        <v>366</v>
      </c>
      <c r="B53" s="424" t="s">
        <v>367</v>
      </c>
      <c r="C53" s="387">
        <f t="shared" si="7"/>
        <v>653000</v>
      </c>
      <c r="D53" s="8">
        <f t="shared" si="0"/>
        <v>665210.93000000005</v>
      </c>
      <c r="E53" s="378">
        <f t="shared" si="1"/>
        <v>101.86997396630935</v>
      </c>
      <c r="F53" s="400">
        <v>653000</v>
      </c>
      <c r="G53" s="13">
        <v>665210.93000000005</v>
      </c>
      <c r="H53" s="401">
        <f t="shared" si="2"/>
        <v>101.86997396630935</v>
      </c>
      <c r="I53" s="387"/>
      <c r="J53" s="13"/>
      <c r="K53" s="366"/>
      <c r="L53" s="80"/>
    </row>
    <row r="54" spans="1:12" ht="15.6" x14ac:dyDescent="0.3">
      <c r="A54" s="360" t="s">
        <v>368</v>
      </c>
      <c r="B54" s="424" t="s">
        <v>369</v>
      </c>
      <c r="C54" s="387">
        <f t="shared" si="7"/>
        <v>276000</v>
      </c>
      <c r="D54" s="8">
        <f t="shared" si="0"/>
        <v>347826.22</v>
      </c>
      <c r="E54" s="378">
        <f t="shared" si="1"/>
        <v>126.02399275362318</v>
      </c>
      <c r="F54" s="400">
        <v>276000</v>
      </c>
      <c r="G54" s="13">
        <v>347826.22</v>
      </c>
      <c r="H54" s="401">
        <f t="shared" si="2"/>
        <v>126.02399275362318</v>
      </c>
      <c r="I54" s="386"/>
      <c r="J54" s="79"/>
      <c r="K54" s="799"/>
      <c r="L54" s="80"/>
    </row>
    <row r="55" spans="1:12" ht="16.2" x14ac:dyDescent="0.3">
      <c r="A55" s="362" t="s">
        <v>370</v>
      </c>
      <c r="B55" s="425" t="s">
        <v>371</v>
      </c>
      <c r="C55" s="388">
        <f>F55+I55</f>
        <v>3449100</v>
      </c>
      <c r="D55" s="78">
        <f>G55+J55</f>
        <v>3535738.8600000003</v>
      </c>
      <c r="E55" s="379">
        <f t="shared" si="1"/>
        <v>102.51192658954511</v>
      </c>
      <c r="F55" s="406">
        <f>F56+F59</f>
        <v>3443200</v>
      </c>
      <c r="G55" s="82">
        <f>G56+G59+G57</f>
        <v>3528762.2</v>
      </c>
      <c r="H55" s="407">
        <f t="shared" si="2"/>
        <v>102.48496166356877</v>
      </c>
      <c r="I55" s="388">
        <f>I60</f>
        <v>5900</v>
      </c>
      <c r="J55" s="82">
        <f>J60+J58</f>
        <v>6976.66</v>
      </c>
      <c r="K55" s="363">
        <f>J55/I55*100</f>
        <v>118.24847457627119</v>
      </c>
      <c r="L55" s="80"/>
    </row>
    <row r="56" spans="1:12" ht="15.6" x14ac:dyDescent="0.3">
      <c r="A56" s="360" t="s">
        <v>372</v>
      </c>
      <c r="B56" s="424" t="s">
        <v>373</v>
      </c>
      <c r="C56" s="387">
        <f>F56</f>
        <v>3038600</v>
      </c>
      <c r="D56" s="78">
        <f t="shared" si="0"/>
        <v>3084859.92</v>
      </c>
      <c r="E56" s="522">
        <f>H56</f>
        <v>101.52240900414664</v>
      </c>
      <c r="F56" s="400">
        <v>3038600</v>
      </c>
      <c r="G56" s="13">
        <v>3084859.92</v>
      </c>
      <c r="H56" s="401">
        <f t="shared" si="2"/>
        <v>101.52240900414664</v>
      </c>
      <c r="I56" s="387"/>
      <c r="J56" s="13"/>
      <c r="K56" s="366"/>
      <c r="L56" s="80"/>
    </row>
    <row r="57" spans="1:12" ht="62.4" x14ac:dyDescent="0.3">
      <c r="A57" s="342">
        <v>24062000</v>
      </c>
      <c r="B57" s="424" t="s">
        <v>714</v>
      </c>
      <c r="C57" s="394">
        <f>F57</f>
        <v>0</v>
      </c>
      <c r="D57" s="8">
        <f t="shared" si="0"/>
        <v>36000</v>
      </c>
      <c r="E57" s="522" t="str">
        <f>H57</f>
        <v>х</v>
      </c>
      <c r="F57" s="405">
        <v>0</v>
      </c>
      <c r="G57" s="13">
        <v>36000</v>
      </c>
      <c r="H57" s="401" t="s">
        <v>295</v>
      </c>
      <c r="I57" s="387"/>
      <c r="J57" s="13"/>
      <c r="K57" s="366"/>
      <c r="L57" s="80"/>
    </row>
    <row r="58" spans="1:12" ht="62.4" x14ac:dyDescent="0.3">
      <c r="A58" s="342">
        <v>24062100</v>
      </c>
      <c r="B58" s="424" t="s">
        <v>713</v>
      </c>
      <c r="C58" s="394">
        <f>I58</f>
        <v>0</v>
      </c>
      <c r="D58" s="8">
        <f>J58</f>
        <v>1075.2</v>
      </c>
      <c r="E58" s="522" t="str">
        <f>K58</f>
        <v>х</v>
      </c>
      <c r="F58" s="400"/>
      <c r="G58" s="13"/>
      <c r="H58" s="401"/>
      <c r="I58" s="394">
        <v>0</v>
      </c>
      <c r="J58" s="13">
        <v>1075.2</v>
      </c>
      <c r="K58" s="366" t="s">
        <v>295</v>
      </c>
      <c r="L58" s="80"/>
    </row>
    <row r="59" spans="1:12" ht="81.75" customHeight="1" x14ac:dyDescent="0.3">
      <c r="A59" s="360" t="s">
        <v>374</v>
      </c>
      <c r="B59" s="424" t="s">
        <v>375</v>
      </c>
      <c r="C59" s="394">
        <f>F59</f>
        <v>404600</v>
      </c>
      <c r="D59" s="8">
        <f t="shared" si="0"/>
        <v>407902.28</v>
      </c>
      <c r="E59" s="378">
        <f>H59</f>
        <v>100.81618388531884</v>
      </c>
      <c r="F59" s="405">
        <v>404600</v>
      </c>
      <c r="G59" s="13">
        <v>407902.28</v>
      </c>
      <c r="H59" s="401">
        <f t="shared" si="2"/>
        <v>100.81618388531884</v>
      </c>
      <c r="I59" s="387"/>
      <c r="J59" s="13"/>
      <c r="K59" s="366"/>
      <c r="L59" s="80"/>
    </row>
    <row r="60" spans="1:12" ht="31.2" x14ac:dyDescent="0.3">
      <c r="A60" s="360" t="s">
        <v>376</v>
      </c>
      <c r="B60" s="424" t="s">
        <v>377</v>
      </c>
      <c r="C60" s="387">
        <f>I60</f>
        <v>5900</v>
      </c>
      <c r="D60" s="8">
        <f t="shared" si="0"/>
        <v>5901.46</v>
      </c>
      <c r="E60" s="378">
        <f t="shared" si="1"/>
        <v>100.02474576271187</v>
      </c>
      <c r="F60" s="400"/>
      <c r="G60" s="13"/>
      <c r="H60" s="404"/>
      <c r="I60" s="387">
        <v>5900</v>
      </c>
      <c r="J60" s="13">
        <v>5901.46</v>
      </c>
      <c r="K60" s="366">
        <f>J60/I60*100</f>
        <v>100.02474576271187</v>
      </c>
      <c r="L60" s="80"/>
    </row>
    <row r="61" spans="1:12" ht="16.2" x14ac:dyDescent="0.3">
      <c r="A61" s="362" t="s">
        <v>378</v>
      </c>
      <c r="B61" s="425" t="s">
        <v>379</v>
      </c>
      <c r="C61" s="388">
        <f>I61</f>
        <v>9961500</v>
      </c>
      <c r="D61" s="81">
        <f t="shared" si="0"/>
        <v>12598773.76</v>
      </c>
      <c r="E61" s="380">
        <f t="shared" si="1"/>
        <v>126.47466506048286</v>
      </c>
      <c r="F61" s="406"/>
      <c r="G61" s="82"/>
      <c r="H61" s="404"/>
      <c r="I61" s="388">
        <f>I62+I63</f>
        <v>9961500</v>
      </c>
      <c r="J61" s="82">
        <f>J62+J63</f>
        <v>12598773.76</v>
      </c>
      <c r="K61" s="363">
        <f>J61/I61*100</f>
        <v>126.47466506048286</v>
      </c>
      <c r="L61" s="80"/>
    </row>
    <row r="62" spans="1:12" ht="34.5" customHeight="1" x14ac:dyDescent="0.3">
      <c r="A62" s="360" t="s">
        <v>380</v>
      </c>
      <c r="B62" s="424" t="s">
        <v>381</v>
      </c>
      <c r="C62" s="387">
        <f>I62</f>
        <v>9961500</v>
      </c>
      <c r="D62" s="8">
        <f t="shared" si="0"/>
        <v>5864997.75</v>
      </c>
      <c r="E62" s="378">
        <f t="shared" si="1"/>
        <v>58.876652612558345</v>
      </c>
      <c r="F62" s="400"/>
      <c r="G62" s="13"/>
      <c r="H62" s="404"/>
      <c r="I62" s="387">
        <v>9961500</v>
      </c>
      <c r="J62" s="13">
        <v>5864997.75</v>
      </c>
      <c r="K62" s="366">
        <f>J62/I62*100</f>
        <v>58.876652612558345</v>
      </c>
      <c r="L62" s="80"/>
    </row>
    <row r="63" spans="1:12" ht="25.5" customHeight="1" thickBot="1" x14ac:dyDescent="0.35">
      <c r="A63" s="367">
        <v>25020000</v>
      </c>
      <c r="B63" s="427" t="s">
        <v>492</v>
      </c>
      <c r="C63" s="390">
        <v>0</v>
      </c>
      <c r="D63" s="14">
        <f t="shared" si="0"/>
        <v>6733776.0099999998</v>
      </c>
      <c r="E63" s="381" t="s">
        <v>295</v>
      </c>
      <c r="F63" s="408"/>
      <c r="G63" s="350"/>
      <c r="H63" s="409"/>
      <c r="I63" s="390">
        <v>0</v>
      </c>
      <c r="J63" s="350">
        <v>6733776.0099999998</v>
      </c>
      <c r="K63" s="365" t="s">
        <v>295</v>
      </c>
      <c r="L63" s="80"/>
    </row>
    <row r="64" spans="1:12" ht="32.25" customHeight="1" thickBot="1" x14ac:dyDescent="0.35">
      <c r="A64" s="353" t="s">
        <v>382</v>
      </c>
      <c r="B64" s="428" t="s">
        <v>383</v>
      </c>
      <c r="C64" s="391">
        <f>C65</f>
        <v>5284526</v>
      </c>
      <c r="D64" s="12">
        <f t="shared" si="0"/>
        <v>17781711.390000001</v>
      </c>
      <c r="E64" s="524" t="str">
        <f>K64</f>
        <v>збільшення у 3,4 рази</v>
      </c>
      <c r="F64" s="412"/>
      <c r="G64" s="354"/>
      <c r="H64" s="397"/>
      <c r="I64" s="391">
        <f>I65</f>
        <v>5284526</v>
      </c>
      <c r="J64" s="354">
        <f>J65</f>
        <v>17781711.390000001</v>
      </c>
      <c r="K64" s="355" t="str">
        <f>K65</f>
        <v>збільшення у 3,4 рази</v>
      </c>
      <c r="L64" s="80"/>
    </row>
    <row r="65" spans="1:12" ht="78.599999999999994" thickBot="1" x14ac:dyDescent="0.35">
      <c r="A65" s="371" t="s">
        <v>384</v>
      </c>
      <c r="B65" s="432" t="s">
        <v>385</v>
      </c>
      <c r="C65" s="395">
        <f>I65</f>
        <v>5284526</v>
      </c>
      <c r="D65" s="170">
        <f t="shared" si="0"/>
        <v>17781711.390000001</v>
      </c>
      <c r="E65" s="525" t="str">
        <f>K65</f>
        <v>збільшення у 3,4 рази</v>
      </c>
      <c r="F65" s="414"/>
      <c r="G65" s="373"/>
      <c r="H65" s="415"/>
      <c r="I65" s="395">
        <v>5284526</v>
      </c>
      <c r="J65" s="373">
        <v>17781711.390000001</v>
      </c>
      <c r="K65" s="435" t="s">
        <v>712</v>
      </c>
      <c r="L65" s="80"/>
    </row>
    <row r="66" spans="1:12" ht="31.8" thickBot="1" x14ac:dyDescent="0.35">
      <c r="A66" s="347"/>
      <c r="B66" s="422" t="s">
        <v>386</v>
      </c>
      <c r="C66" s="384">
        <f>F66+I66</f>
        <v>500993042</v>
      </c>
      <c r="D66" s="12">
        <f t="shared" si="0"/>
        <v>567250935.01400006</v>
      </c>
      <c r="E66" s="376">
        <f t="shared" si="1"/>
        <v>113.22531202219773</v>
      </c>
      <c r="F66" s="410">
        <f>F15+F42</f>
        <v>485381516</v>
      </c>
      <c r="G66" s="348">
        <f>G15+G42</f>
        <v>536391865.05400002</v>
      </c>
      <c r="H66" s="397">
        <f t="shared" si="2"/>
        <v>110.50933077847161</v>
      </c>
      <c r="I66" s="384">
        <f>I64+I42+I15</f>
        <v>15611526</v>
      </c>
      <c r="J66" s="348">
        <f>J64+J42+J15+J89</f>
        <v>30859069.960000001</v>
      </c>
      <c r="K66" s="349">
        <f>J66/I66*100</f>
        <v>197.66850441142014</v>
      </c>
      <c r="L66" s="80"/>
    </row>
    <row r="67" spans="1:12" ht="21" customHeight="1" thickBot="1" x14ac:dyDescent="0.35">
      <c r="A67" s="347" t="s">
        <v>387</v>
      </c>
      <c r="B67" s="422" t="s">
        <v>388</v>
      </c>
      <c r="C67" s="384">
        <f>F67+I67</f>
        <v>187947585</v>
      </c>
      <c r="D67" s="12">
        <f>G67+J67</f>
        <v>187470356.71000001</v>
      </c>
      <c r="E67" s="376">
        <f t="shared" si="1"/>
        <v>99.746084372406273</v>
      </c>
      <c r="F67" s="410">
        <f>F68</f>
        <v>182826205</v>
      </c>
      <c r="G67" s="348">
        <f>G68</f>
        <v>182387926.71000001</v>
      </c>
      <c r="H67" s="397">
        <f t="shared" si="2"/>
        <v>99.760276000915738</v>
      </c>
      <c r="I67" s="348">
        <f>I68</f>
        <v>5121380</v>
      </c>
      <c r="J67" s="348">
        <f>J68</f>
        <v>5082430</v>
      </c>
      <c r="K67" s="349" t="s">
        <v>295</v>
      </c>
      <c r="L67" s="80"/>
    </row>
    <row r="68" spans="1:12" ht="19.5" customHeight="1" x14ac:dyDescent="0.3">
      <c r="A68" s="359" t="s">
        <v>389</v>
      </c>
      <c r="B68" s="423" t="s">
        <v>390</v>
      </c>
      <c r="C68" s="419">
        <f>F68+I68</f>
        <v>187947585</v>
      </c>
      <c r="D68" s="352">
        <f>G68+J68</f>
        <v>187470356.71000001</v>
      </c>
      <c r="E68" s="382">
        <f t="shared" si="1"/>
        <v>99.746084372406273</v>
      </c>
      <c r="F68" s="411">
        <f>F69+F71+F74+F76</f>
        <v>182826205</v>
      </c>
      <c r="G68" s="351">
        <f>G69+G71+G76+G74</f>
        <v>182387926.71000001</v>
      </c>
      <c r="H68" s="399">
        <f t="shared" si="2"/>
        <v>99.760276000915738</v>
      </c>
      <c r="I68" s="351">
        <f>I76+I71</f>
        <v>5121380</v>
      </c>
      <c r="J68" s="351">
        <f>J76+J71</f>
        <v>5082430</v>
      </c>
      <c r="K68" s="368" t="s">
        <v>295</v>
      </c>
      <c r="L68" s="80"/>
    </row>
    <row r="69" spans="1:12" ht="29.25" customHeight="1" x14ac:dyDescent="0.3">
      <c r="A69" s="369">
        <v>41020000</v>
      </c>
      <c r="B69" s="429" t="s">
        <v>391</v>
      </c>
      <c r="C69" s="386">
        <f t="shared" ref="C69:C87" si="8">F69</f>
        <v>86943700</v>
      </c>
      <c r="D69" s="78">
        <f t="shared" si="0"/>
        <v>86943700</v>
      </c>
      <c r="E69" s="379">
        <f t="shared" si="1"/>
        <v>100</v>
      </c>
      <c r="F69" s="413">
        <f>F70</f>
        <v>86943700</v>
      </c>
      <c r="G69" s="79">
        <f>G70</f>
        <v>86943700</v>
      </c>
      <c r="H69" s="404">
        <f t="shared" si="2"/>
        <v>100</v>
      </c>
      <c r="I69" s="386"/>
      <c r="J69" s="79"/>
      <c r="K69" s="799"/>
      <c r="L69" s="80"/>
    </row>
    <row r="70" spans="1:12" ht="115.5" customHeight="1" x14ac:dyDescent="0.3">
      <c r="A70" s="342">
        <v>41021400</v>
      </c>
      <c r="B70" s="424" t="s">
        <v>392</v>
      </c>
      <c r="C70" s="387">
        <f t="shared" si="8"/>
        <v>86943700</v>
      </c>
      <c r="D70" s="8">
        <f t="shared" si="0"/>
        <v>86943700</v>
      </c>
      <c r="E70" s="378">
        <f t="shared" si="1"/>
        <v>100</v>
      </c>
      <c r="F70" s="400">
        <v>86943700</v>
      </c>
      <c r="G70" s="13">
        <v>86943700</v>
      </c>
      <c r="H70" s="401">
        <f t="shared" si="2"/>
        <v>100</v>
      </c>
      <c r="I70" s="387"/>
      <c r="J70" s="13"/>
      <c r="K70" s="366"/>
      <c r="L70" s="80"/>
    </row>
    <row r="71" spans="1:12" ht="27.75" customHeight="1" x14ac:dyDescent="0.3">
      <c r="A71" s="369" t="s">
        <v>393</v>
      </c>
      <c r="B71" s="429" t="s">
        <v>394</v>
      </c>
      <c r="C71" s="386">
        <f>F71+I71</f>
        <v>81301000</v>
      </c>
      <c r="D71" s="78">
        <f>G71+J71</f>
        <v>81061260.650000006</v>
      </c>
      <c r="E71" s="379">
        <f t="shared" si="1"/>
        <v>99.705121277721062</v>
      </c>
      <c r="F71" s="413">
        <f>F73+F72</f>
        <v>77800400</v>
      </c>
      <c r="G71" s="79">
        <f>G73+G72</f>
        <v>77560660.650000006</v>
      </c>
      <c r="H71" s="404">
        <f t="shared" si="2"/>
        <v>99.69185331952022</v>
      </c>
      <c r="I71" s="413">
        <f>I73+I72</f>
        <v>3500600</v>
      </c>
      <c r="J71" s="79">
        <f>J73+J72</f>
        <v>3500600</v>
      </c>
      <c r="K71" s="404">
        <f t="shared" ref="K71" si="9">J71/I71*100</f>
        <v>100</v>
      </c>
      <c r="L71" s="80"/>
    </row>
    <row r="72" spans="1:12" ht="51" customHeight="1" x14ac:dyDescent="0.3">
      <c r="A72" s="342">
        <v>41033300</v>
      </c>
      <c r="B72" s="424" t="s">
        <v>715</v>
      </c>
      <c r="C72" s="387">
        <f>F72+I72</f>
        <v>5790400</v>
      </c>
      <c r="D72" s="8">
        <f>G72+J72</f>
        <v>5550660.6500000004</v>
      </c>
      <c r="E72" s="378">
        <f t="shared" si="1"/>
        <v>95.859710037303131</v>
      </c>
      <c r="F72" s="400">
        <v>2289800</v>
      </c>
      <c r="G72" s="13">
        <v>2050060.65</v>
      </c>
      <c r="H72" s="401">
        <f t="shared" si="2"/>
        <v>89.530118350947674</v>
      </c>
      <c r="I72" s="387">
        <v>3500600</v>
      </c>
      <c r="J72" s="13">
        <v>3500600</v>
      </c>
      <c r="K72" s="366">
        <f>J72/I72*100</f>
        <v>100</v>
      </c>
      <c r="L72" s="80"/>
    </row>
    <row r="73" spans="1:12" ht="31.2" x14ac:dyDescent="0.3">
      <c r="A73" s="360" t="s">
        <v>395</v>
      </c>
      <c r="B73" s="424" t="s">
        <v>396</v>
      </c>
      <c r="C73" s="387">
        <f>F73</f>
        <v>75510600</v>
      </c>
      <c r="D73" s="8">
        <f t="shared" si="0"/>
        <v>75510600</v>
      </c>
      <c r="E73" s="378">
        <f t="shared" si="1"/>
        <v>100</v>
      </c>
      <c r="F73" s="400">
        <v>75510600</v>
      </c>
      <c r="G73" s="13">
        <v>75510600</v>
      </c>
      <c r="H73" s="401">
        <f t="shared" si="2"/>
        <v>100</v>
      </c>
      <c r="I73" s="387"/>
      <c r="J73" s="13"/>
      <c r="K73" s="366"/>
      <c r="L73" s="80"/>
    </row>
    <row r="74" spans="1:12" ht="31.2" x14ac:dyDescent="0.3">
      <c r="A74" s="370">
        <v>41040000</v>
      </c>
      <c r="B74" s="429" t="s">
        <v>547</v>
      </c>
      <c r="C74" s="386">
        <f>F74</f>
        <v>170895</v>
      </c>
      <c r="D74" s="78">
        <f>G74</f>
        <v>170895</v>
      </c>
      <c r="E74" s="379">
        <f t="shared" si="1"/>
        <v>100</v>
      </c>
      <c r="F74" s="413">
        <f>F75</f>
        <v>170895</v>
      </c>
      <c r="G74" s="79">
        <f>G75</f>
        <v>170895</v>
      </c>
      <c r="H74" s="404">
        <f>H75</f>
        <v>100</v>
      </c>
      <c r="I74" s="387"/>
      <c r="J74" s="13"/>
      <c r="K74" s="366"/>
      <c r="L74" s="80"/>
    </row>
    <row r="75" spans="1:12" ht="15.6" x14ac:dyDescent="0.3">
      <c r="A75" s="342">
        <v>41040400</v>
      </c>
      <c r="B75" s="424" t="s">
        <v>548</v>
      </c>
      <c r="C75" s="387">
        <f>F75</f>
        <v>170895</v>
      </c>
      <c r="D75" s="8">
        <f>G75</f>
        <v>170895</v>
      </c>
      <c r="E75" s="378">
        <f t="shared" si="1"/>
        <v>100</v>
      </c>
      <c r="F75" s="400">
        <v>170895</v>
      </c>
      <c r="G75" s="13">
        <v>170895</v>
      </c>
      <c r="H75" s="401">
        <f t="shared" si="2"/>
        <v>100</v>
      </c>
      <c r="I75" s="387"/>
      <c r="J75" s="13"/>
      <c r="K75" s="366"/>
      <c r="L75" s="80"/>
    </row>
    <row r="76" spans="1:12" ht="31.2" x14ac:dyDescent="0.3">
      <c r="A76" s="370">
        <v>41050000</v>
      </c>
      <c r="B76" s="429" t="s">
        <v>495</v>
      </c>
      <c r="C76" s="386">
        <f>F76+I76</f>
        <v>19531990</v>
      </c>
      <c r="D76" s="78">
        <f>G76+J76</f>
        <v>19294501.060000002</v>
      </c>
      <c r="E76" s="379">
        <f t="shared" si="1"/>
        <v>98.784102695117099</v>
      </c>
      <c r="F76" s="413">
        <f>F78+F83+F84+F85+F88+F82+F77+F80+F81+F86+F87</f>
        <v>17911210</v>
      </c>
      <c r="G76" s="79">
        <f>G78+G83+G84+G85+G80+G88+G82+G77+G81+G86+G87</f>
        <v>17712671.060000002</v>
      </c>
      <c r="H76" s="404">
        <f t="shared" si="2"/>
        <v>98.891538092624685</v>
      </c>
      <c r="I76" s="393">
        <f>I79</f>
        <v>1620780</v>
      </c>
      <c r="J76" s="79">
        <f>J79</f>
        <v>1581830</v>
      </c>
      <c r="K76" s="799">
        <f>K79</f>
        <v>97.596836091264706</v>
      </c>
      <c r="L76" s="80"/>
    </row>
    <row r="77" spans="1:12" ht="93.6" x14ac:dyDescent="0.3">
      <c r="A77" s="342">
        <v>41050600</v>
      </c>
      <c r="B77" s="424" t="s">
        <v>588</v>
      </c>
      <c r="C77" s="387">
        <f>F77</f>
        <v>3708133</v>
      </c>
      <c r="D77" s="8">
        <f t="shared" ref="D77" si="10">G77+J77</f>
        <v>3682401.28</v>
      </c>
      <c r="E77" s="378">
        <f t="shared" ref="E77" si="11">D77/C77*100</f>
        <v>99.306073433719874</v>
      </c>
      <c r="F77" s="400">
        <v>3708133</v>
      </c>
      <c r="G77" s="13">
        <v>3682401.28</v>
      </c>
      <c r="H77" s="401">
        <f t="shared" si="2"/>
        <v>99.306073433719874</v>
      </c>
      <c r="I77" s="393"/>
      <c r="J77" s="79"/>
      <c r="K77" s="799"/>
      <c r="L77" s="80"/>
    </row>
    <row r="78" spans="1:12" ht="46.8" x14ac:dyDescent="0.3">
      <c r="A78" s="342" t="s">
        <v>397</v>
      </c>
      <c r="B78" s="424" t="s">
        <v>398</v>
      </c>
      <c r="C78" s="387">
        <f>F78</f>
        <v>1766200</v>
      </c>
      <c r="D78" s="8">
        <f t="shared" si="0"/>
        <v>1766200</v>
      </c>
      <c r="E78" s="378">
        <f t="shared" si="1"/>
        <v>100</v>
      </c>
      <c r="F78" s="400">
        <v>1766200</v>
      </c>
      <c r="G78" s="13">
        <v>1766200</v>
      </c>
      <c r="H78" s="401">
        <f t="shared" si="2"/>
        <v>100</v>
      </c>
      <c r="I78" s="394"/>
      <c r="J78" s="13"/>
      <c r="K78" s="366"/>
      <c r="L78" s="80"/>
    </row>
    <row r="79" spans="1:12" ht="46.8" x14ac:dyDescent="0.3">
      <c r="A79" s="342">
        <v>41051100</v>
      </c>
      <c r="B79" s="424" t="s">
        <v>494</v>
      </c>
      <c r="C79" s="564">
        <f>I79</f>
        <v>1620780</v>
      </c>
      <c r="D79" s="526">
        <f t="shared" si="0"/>
        <v>1581830</v>
      </c>
      <c r="E79" s="378">
        <f>K79</f>
        <v>97.596836091264706</v>
      </c>
      <c r="F79" s="400"/>
      <c r="G79" s="13"/>
      <c r="H79" s="401"/>
      <c r="I79" s="394">
        <v>1620780</v>
      </c>
      <c r="J79" s="13">
        <v>1581830</v>
      </c>
      <c r="K79" s="366">
        <f>J79/I79*100</f>
        <v>97.596836091264706</v>
      </c>
      <c r="L79" s="80"/>
    </row>
    <row r="80" spans="1:12" ht="62.4" x14ac:dyDescent="0.3">
      <c r="A80" s="342">
        <v>41051200</v>
      </c>
      <c r="B80" s="424" t="s">
        <v>549</v>
      </c>
      <c r="C80" s="564" t="str">
        <f t="shared" ref="C80:E82" si="12">F80</f>
        <v>401350</v>
      </c>
      <c r="D80" s="526">
        <f t="shared" si="12"/>
        <v>401350</v>
      </c>
      <c r="E80" s="378">
        <f t="shared" si="12"/>
        <v>100</v>
      </c>
      <c r="F80" s="527" t="s">
        <v>716</v>
      </c>
      <c r="G80" s="13">
        <v>401350</v>
      </c>
      <c r="H80" s="401">
        <f t="shared" si="2"/>
        <v>100</v>
      </c>
      <c r="I80" s="394"/>
      <c r="J80" s="13"/>
      <c r="K80" s="366"/>
      <c r="L80" s="80"/>
    </row>
    <row r="81" spans="1:12" ht="62.4" x14ac:dyDescent="0.3">
      <c r="A81" s="342">
        <v>41051400</v>
      </c>
      <c r="B81" s="424" t="s">
        <v>589</v>
      </c>
      <c r="C81" s="564" t="str">
        <f>F81</f>
        <v>1037466</v>
      </c>
      <c r="D81" s="526">
        <f>G81</f>
        <v>1006458</v>
      </c>
      <c r="E81" s="378">
        <f>H81</f>
        <v>97.01117916153396</v>
      </c>
      <c r="F81" s="527" t="s">
        <v>717</v>
      </c>
      <c r="G81" s="13">
        <v>1006458</v>
      </c>
      <c r="H81" s="401">
        <f t="shared" si="2"/>
        <v>97.01117916153396</v>
      </c>
      <c r="I81" s="394"/>
      <c r="J81" s="13"/>
      <c r="K81" s="366"/>
      <c r="L81" s="80"/>
    </row>
    <row r="82" spans="1:12" ht="62.4" x14ac:dyDescent="0.3">
      <c r="A82" s="342">
        <v>41051700</v>
      </c>
      <c r="B82" s="424" t="s">
        <v>550</v>
      </c>
      <c r="C82" s="564">
        <f t="shared" si="12"/>
        <v>323630</v>
      </c>
      <c r="D82" s="526">
        <f t="shared" si="12"/>
        <v>323630</v>
      </c>
      <c r="E82" s="378">
        <f t="shared" si="12"/>
        <v>100</v>
      </c>
      <c r="F82" s="400">
        <v>323630</v>
      </c>
      <c r="G82" s="13">
        <v>323630</v>
      </c>
      <c r="H82" s="401">
        <f t="shared" ref="H82:H88" si="13">G82/F82*100</f>
        <v>100</v>
      </c>
      <c r="I82" s="394"/>
      <c r="J82" s="13"/>
      <c r="K82" s="366"/>
      <c r="L82" s="80"/>
    </row>
    <row r="83" spans="1:12" ht="48" customHeight="1" x14ac:dyDescent="0.3">
      <c r="A83" s="343">
        <v>41053900</v>
      </c>
      <c r="B83" s="430" t="s">
        <v>399</v>
      </c>
      <c r="C83" s="564">
        <f t="shared" si="8"/>
        <v>57773</v>
      </c>
      <c r="D83" s="526">
        <f t="shared" si="0"/>
        <v>49854.69</v>
      </c>
      <c r="E83" s="378">
        <f t="shared" ref="E83:E88" si="14">H83</f>
        <v>86.294099319751453</v>
      </c>
      <c r="F83" s="783">
        <v>57773</v>
      </c>
      <c r="G83" s="526">
        <v>49854.69</v>
      </c>
      <c r="H83" s="401">
        <f t="shared" si="13"/>
        <v>86.294099319751453</v>
      </c>
      <c r="I83" s="394"/>
      <c r="J83" s="13"/>
      <c r="K83" s="366"/>
      <c r="L83" s="80"/>
    </row>
    <row r="84" spans="1:12" ht="46.8" x14ac:dyDescent="0.3">
      <c r="A84" s="344">
        <v>41053900</v>
      </c>
      <c r="B84" s="430" t="s">
        <v>400</v>
      </c>
      <c r="C84" s="564">
        <f t="shared" si="8"/>
        <v>164690</v>
      </c>
      <c r="D84" s="526">
        <f t="shared" si="0"/>
        <v>48100</v>
      </c>
      <c r="E84" s="378">
        <f t="shared" si="14"/>
        <v>29.206387758819602</v>
      </c>
      <c r="F84" s="783">
        <v>164690</v>
      </c>
      <c r="G84" s="526">
        <v>48100</v>
      </c>
      <c r="H84" s="401">
        <f t="shared" si="13"/>
        <v>29.206387758819602</v>
      </c>
      <c r="I84" s="394"/>
      <c r="J84" s="13"/>
      <c r="K84" s="366"/>
      <c r="L84" s="80"/>
    </row>
    <row r="85" spans="1:12" ht="66" customHeight="1" x14ac:dyDescent="0.3">
      <c r="A85" s="344">
        <v>41053900</v>
      </c>
      <c r="B85" s="430" t="s">
        <v>401</v>
      </c>
      <c r="C85" s="564">
        <f t="shared" si="8"/>
        <v>17623</v>
      </c>
      <c r="D85" s="526">
        <f t="shared" si="0"/>
        <v>14531.83</v>
      </c>
      <c r="E85" s="378">
        <f t="shared" si="14"/>
        <v>82.459456392214719</v>
      </c>
      <c r="F85" s="783">
        <v>17623</v>
      </c>
      <c r="G85" s="526">
        <v>14531.83</v>
      </c>
      <c r="H85" s="401">
        <f t="shared" si="13"/>
        <v>82.459456392214719</v>
      </c>
      <c r="I85" s="394"/>
      <c r="J85" s="13"/>
      <c r="K85" s="366"/>
      <c r="L85" s="80"/>
    </row>
    <row r="86" spans="1:12" ht="66" customHeight="1" x14ac:dyDescent="0.3">
      <c r="A86" s="344">
        <v>41053900</v>
      </c>
      <c r="B86" s="430" t="s">
        <v>718</v>
      </c>
      <c r="C86" s="564">
        <f t="shared" si="8"/>
        <v>10000000</v>
      </c>
      <c r="D86" s="526">
        <f>G86</f>
        <v>10000000</v>
      </c>
      <c r="E86" s="378">
        <f t="shared" si="14"/>
        <v>100</v>
      </c>
      <c r="F86" s="783">
        <v>10000000</v>
      </c>
      <c r="G86" s="526">
        <v>10000000</v>
      </c>
      <c r="H86" s="401">
        <f t="shared" si="13"/>
        <v>100</v>
      </c>
      <c r="I86" s="394"/>
      <c r="J86" s="13"/>
      <c r="K86" s="366"/>
      <c r="L86" s="80"/>
    </row>
    <row r="87" spans="1:12" ht="66" customHeight="1" x14ac:dyDescent="0.3">
      <c r="A87" s="344">
        <v>41053900</v>
      </c>
      <c r="B87" s="430" t="s">
        <v>719</v>
      </c>
      <c r="C87" s="564">
        <f t="shared" si="8"/>
        <v>268034</v>
      </c>
      <c r="D87" s="526">
        <f>G87</f>
        <v>264229.26</v>
      </c>
      <c r="E87" s="378">
        <f t="shared" si="14"/>
        <v>98.580500981218805</v>
      </c>
      <c r="F87" s="783">
        <v>268034</v>
      </c>
      <c r="G87" s="526">
        <v>264229.26</v>
      </c>
      <c r="H87" s="401">
        <f t="shared" si="13"/>
        <v>98.580500981218805</v>
      </c>
      <c r="I87" s="394"/>
      <c r="J87" s="13"/>
      <c r="K87" s="366"/>
      <c r="L87" s="80"/>
    </row>
    <row r="88" spans="1:12" ht="66" customHeight="1" thickBot="1" x14ac:dyDescent="0.35">
      <c r="A88" s="528">
        <v>41057700</v>
      </c>
      <c r="B88" s="529" t="s">
        <v>551</v>
      </c>
      <c r="C88" s="565">
        <f>F88</f>
        <v>166311</v>
      </c>
      <c r="D88" s="566">
        <f t="shared" si="0"/>
        <v>155916</v>
      </c>
      <c r="E88" s="795">
        <f t="shared" si="14"/>
        <v>93.749661778234753</v>
      </c>
      <c r="F88" s="414">
        <v>166311</v>
      </c>
      <c r="G88" s="530">
        <v>155916</v>
      </c>
      <c r="H88" s="797">
        <f t="shared" si="13"/>
        <v>93.749661778234753</v>
      </c>
      <c r="I88" s="531"/>
      <c r="J88" s="373"/>
      <c r="K88" s="800"/>
      <c r="L88" s="80"/>
    </row>
    <row r="89" spans="1:12" ht="16.2" thickBot="1" x14ac:dyDescent="0.35">
      <c r="A89" s="356">
        <v>50000000</v>
      </c>
      <c r="B89" s="431" t="s">
        <v>493</v>
      </c>
      <c r="C89" s="420">
        <v>0</v>
      </c>
      <c r="D89" s="357">
        <f t="shared" si="0"/>
        <v>56123.88</v>
      </c>
      <c r="E89" s="376" t="s">
        <v>295</v>
      </c>
      <c r="F89" s="410"/>
      <c r="G89" s="348"/>
      <c r="H89" s="397"/>
      <c r="I89" s="392">
        <v>0</v>
      </c>
      <c r="J89" s="348">
        <v>56123.88</v>
      </c>
      <c r="K89" s="349" t="s">
        <v>295</v>
      </c>
      <c r="L89" s="80"/>
    </row>
    <row r="90" spans="1:12" ht="16.2" thickBot="1" x14ac:dyDescent="0.35">
      <c r="A90" s="371"/>
      <c r="B90" s="432"/>
      <c r="C90" s="421"/>
      <c r="D90" s="372"/>
      <c r="E90" s="796"/>
      <c r="F90" s="414"/>
      <c r="G90" s="373"/>
      <c r="H90" s="415"/>
      <c r="I90" s="395"/>
      <c r="J90" s="373"/>
      <c r="K90" s="800"/>
      <c r="L90" s="80"/>
    </row>
    <row r="91" spans="1:12" ht="16.2" thickBot="1" x14ac:dyDescent="0.35">
      <c r="A91" s="374" t="s">
        <v>6</v>
      </c>
      <c r="B91" s="422" t="s">
        <v>402</v>
      </c>
      <c r="C91" s="384">
        <f>F91+I91</f>
        <v>688940627</v>
      </c>
      <c r="D91" s="12">
        <f>G91+J91</f>
        <v>754721291.7240001</v>
      </c>
      <c r="E91" s="376">
        <f t="shared" si="1"/>
        <v>109.54808907270323</v>
      </c>
      <c r="F91" s="410">
        <f>F66+F67</f>
        <v>668207721</v>
      </c>
      <c r="G91" s="348">
        <f>G66+G67</f>
        <v>718779791.76400006</v>
      </c>
      <c r="H91" s="397">
        <f t="shared" si="2"/>
        <v>107.56831583572799</v>
      </c>
      <c r="I91" s="384">
        <f>I66+I67</f>
        <v>20732906</v>
      </c>
      <c r="J91" s="348">
        <f>J66+J67</f>
        <v>35941499.960000001</v>
      </c>
      <c r="K91" s="349">
        <f>J91/I91*100</f>
        <v>173.35485898600035</v>
      </c>
      <c r="L91" s="80"/>
    </row>
    <row r="92" spans="1:12" ht="15.6" x14ac:dyDescent="0.3">
      <c r="A92" s="1"/>
      <c r="B92" s="1"/>
      <c r="C92" s="1"/>
      <c r="D92" s="1"/>
      <c r="E92" s="1"/>
      <c r="F92" s="1"/>
      <c r="G92" s="1"/>
      <c r="H92" s="1"/>
      <c r="I92" s="1"/>
      <c r="J92" s="1"/>
      <c r="K92" s="1"/>
    </row>
    <row r="93" spans="1:12" x14ac:dyDescent="0.3">
      <c r="A93" s="1048"/>
      <c r="B93" s="1048"/>
      <c r="C93" s="1048"/>
      <c r="D93" s="1048"/>
      <c r="E93" s="1048"/>
      <c r="F93" s="1048"/>
      <c r="G93" s="1048"/>
      <c r="H93" s="1048"/>
      <c r="I93" s="1048"/>
      <c r="J93" s="1048"/>
      <c r="K93" s="516"/>
    </row>
    <row r="95" spans="1:12" ht="17.399999999999999" x14ac:dyDescent="0.3">
      <c r="A95" s="25" t="s">
        <v>649</v>
      </c>
      <c r="B95" s="25"/>
      <c r="C95" s="83"/>
      <c r="D95" s="83"/>
      <c r="E95" s="83"/>
      <c r="F95" s="21"/>
      <c r="G95" s="21"/>
      <c r="H95" s="1047" t="s">
        <v>468</v>
      </c>
      <c r="I95" s="1047"/>
      <c r="J95" s="1047"/>
      <c r="K95" s="1047"/>
    </row>
  </sheetData>
  <mergeCells count="27">
    <mergeCell ref="A8:J8"/>
    <mergeCell ref="L8:N8"/>
    <mergeCell ref="L1:N1"/>
    <mergeCell ref="L5:N5"/>
    <mergeCell ref="L6:N6"/>
    <mergeCell ref="L7:N7"/>
    <mergeCell ref="H2:K2"/>
    <mergeCell ref="H4:I4"/>
    <mergeCell ref="A9:B9"/>
    <mergeCell ref="L9:N9"/>
    <mergeCell ref="L10:N10"/>
    <mergeCell ref="A11:A13"/>
    <mergeCell ref="B11:B13"/>
    <mergeCell ref="C11:E11"/>
    <mergeCell ref="F11:H11"/>
    <mergeCell ref="I11:K11"/>
    <mergeCell ref="C12:C13"/>
    <mergeCell ref="D12:D13"/>
    <mergeCell ref="K12:K13"/>
    <mergeCell ref="H95:K95"/>
    <mergeCell ref="A93:J93"/>
    <mergeCell ref="E12:E13"/>
    <mergeCell ref="F12:F13"/>
    <mergeCell ref="G12:G13"/>
    <mergeCell ref="H12:H13"/>
    <mergeCell ref="I12:I13"/>
    <mergeCell ref="J12:J13"/>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2:T36"/>
  <sheetViews>
    <sheetView view="pageBreakPreview" topLeftCell="A16" zoomScale="90" zoomScaleNormal="100" zoomScaleSheetLayoutView="90" workbookViewId="0">
      <selection activeCell="G4" sqref="G4:H5"/>
    </sheetView>
  </sheetViews>
  <sheetFormatPr defaultRowHeight="13.8" x14ac:dyDescent="0.3"/>
  <cols>
    <col min="1" max="1" width="11.33203125" customWidth="1"/>
    <col min="2" max="2" width="50.5546875" customWidth="1"/>
    <col min="3" max="3" width="17" customWidth="1"/>
    <col min="4" max="4" width="16.44140625" customWidth="1"/>
    <col min="5" max="5" width="19.44140625" customWidth="1"/>
    <col min="6" max="6" width="15.33203125" customWidth="1"/>
    <col min="7" max="7" width="15" customWidth="1"/>
    <col min="8" max="8" width="16" customWidth="1"/>
    <col min="9" max="9" width="15.6640625" customWidth="1"/>
    <col min="10" max="10" width="16.109375" customWidth="1"/>
  </cols>
  <sheetData>
    <row r="2" spans="1:10" ht="15.6" x14ac:dyDescent="0.3">
      <c r="G2" s="3" t="s">
        <v>163</v>
      </c>
      <c r="H2" s="3"/>
      <c r="I2" s="4"/>
    </row>
    <row r="3" spans="1:10" ht="15.6" x14ac:dyDescent="0.3">
      <c r="G3" s="3" t="s">
        <v>657</v>
      </c>
      <c r="H3" s="3"/>
      <c r="I3" s="4"/>
    </row>
    <row r="4" spans="1:10" ht="15.6" x14ac:dyDescent="0.3">
      <c r="G4" s="6" t="s">
        <v>736</v>
      </c>
      <c r="H4" s="6"/>
      <c r="I4" s="7"/>
    </row>
    <row r="5" spans="1:10" ht="15.6" x14ac:dyDescent="0.3">
      <c r="G5" s="1074" t="s">
        <v>737</v>
      </c>
      <c r="H5" s="1074"/>
      <c r="I5" s="58"/>
    </row>
    <row r="6" spans="1:10" ht="15.6" x14ac:dyDescent="0.3">
      <c r="G6" s="3"/>
      <c r="H6" s="3"/>
      <c r="I6" s="3"/>
    </row>
    <row r="8" spans="1:10" ht="21" x14ac:dyDescent="0.4">
      <c r="A8" s="1087" t="s">
        <v>658</v>
      </c>
      <c r="B8" s="1088"/>
      <c r="C8" s="1088"/>
      <c r="D8" s="1088"/>
      <c r="E8" s="1088"/>
      <c r="F8" s="1088"/>
      <c r="G8" s="1088"/>
      <c r="H8" s="1088"/>
      <c r="I8" s="76"/>
      <c r="J8" s="76"/>
    </row>
    <row r="9" spans="1:10" ht="21" x14ac:dyDescent="0.4">
      <c r="A9" s="75"/>
      <c r="B9" s="76"/>
      <c r="C9" s="76"/>
      <c r="D9" s="76"/>
      <c r="E9" s="76"/>
      <c r="F9" s="76"/>
      <c r="G9" s="76"/>
      <c r="H9" s="76"/>
      <c r="I9" s="76"/>
      <c r="J9" s="76"/>
    </row>
    <row r="10" spans="1:10" ht="15.6" x14ac:dyDescent="0.3">
      <c r="A10" s="85" t="s">
        <v>162</v>
      </c>
      <c r="B10" s="1"/>
      <c r="C10" s="1"/>
      <c r="D10" s="1"/>
      <c r="E10" s="1"/>
      <c r="F10" s="1"/>
      <c r="G10" s="1"/>
      <c r="H10" s="1"/>
      <c r="I10" s="1"/>
      <c r="J10" s="1"/>
    </row>
    <row r="11" spans="1:10" ht="16.2" thickBot="1" x14ac:dyDescent="0.35">
      <c r="A11" s="86" t="s">
        <v>0</v>
      </c>
      <c r="B11" s="1"/>
      <c r="C11" s="1"/>
      <c r="D11" s="1"/>
      <c r="E11" s="1"/>
      <c r="F11" s="1"/>
      <c r="G11" s="1"/>
      <c r="H11" s="2" t="s">
        <v>268</v>
      </c>
      <c r="I11" s="2"/>
      <c r="J11" s="2"/>
    </row>
    <row r="12" spans="1:10" ht="15.6" customHeight="1" x14ac:dyDescent="0.3">
      <c r="A12" s="1089" t="s">
        <v>308</v>
      </c>
      <c r="B12" s="1092" t="s">
        <v>403</v>
      </c>
      <c r="C12" s="1084" t="s">
        <v>1</v>
      </c>
      <c r="D12" s="1085"/>
      <c r="E12" s="1084" t="s">
        <v>2</v>
      </c>
      <c r="F12" s="1085"/>
      <c r="G12" s="1084" t="s">
        <v>3</v>
      </c>
      <c r="H12" s="1085"/>
      <c r="I12" s="1085"/>
      <c r="J12" s="1086"/>
    </row>
    <row r="13" spans="1:10" ht="15.6" customHeight="1" x14ac:dyDescent="0.3">
      <c r="A13" s="1090"/>
      <c r="B13" s="1093"/>
      <c r="C13" s="1053" t="s">
        <v>455</v>
      </c>
      <c r="D13" s="1053" t="s">
        <v>727</v>
      </c>
      <c r="E13" s="1053" t="s">
        <v>455</v>
      </c>
      <c r="F13" s="1053" t="s">
        <v>728</v>
      </c>
      <c r="G13" s="1053" t="s">
        <v>455</v>
      </c>
      <c r="H13" s="1053" t="s">
        <v>5</v>
      </c>
      <c r="I13" s="1053" t="s">
        <v>727</v>
      </c>
      <c r="J13" s="1055" t="s">
        <v>5</v>
      </c>
    </row>
    <row r="14" spans="1:10" ht="44.4" customHeight="1" thickBot="1" x14ac:dyDescent="0.35">
      <c r="A14" s="1091"/>
      <c r="B14" s="1094"/>
      <c r="C14" s="1082"/>
      <c r="D14" s="1082"/>
      <c r="E14" s="1082"/>
      <c r="F14" s="1082"/>
      <c r="G14" s="1082"/>
      <c r="H14" s="1082"/>
      <c r="I14" s="1082"/>
      <c r="J14" s="1083"/>
    </row>
    <row r="15" spans="1:10" ht="16.2" thickBot="1" x14ac:dyDescent="0.35">
      <c r="A15" s="164">
        <v>1</v>
      </c>
      <c r="B15" s="165">
        <v>2</v>
      </c>
      <c r="C15" s="165">
        <v>3</v>
      </c>
      <c r="D15" s="165">
        <v>4</v>
      </c>
      <c r="E15" s="165">
        <v>5</v>
      </c>
      <c r="F15" s="165">
        <v>6</v>
      </c>
      <c r="G15" s="165">
        <v>7</v>
      </c>
      <c r="H15" s="166">
        <v>6</v>
      </c>
      <c r="I15" s="165">
        <v>7</v>
      </c>
      <c r="J15" s="167">
        <v>8</v>
      </c>
    </row>
    <row r="16" spans="1:10" ht="15.6" x14ac:dyDescent="0.3">
      <c r="A16" s="1075" t="s">
        <v>404</v>
      </c>
      <c r="B16" s="1076"/>
      <c r="C16" s="1076"/>
      <c r="D16" s="1076"/>
      <c r="E16" s="1076"/>
      <c r="F16" s="1076"/>
      <c r="G16" s="1076"/>
      <c r="H16" s="1076"/>
      <c r="I16" s="168"/>
      <c r="J16" s="488"/>
    </row>
    <row r="17" spans="1:20" ht="15.6" x14ac:dyDescent="0.3">
      <c r="A17" s="87" t="s">
        <v>405</v>
      </c>
      <c r="B17" s="88" t="s">
        <v>406</v>
      </c>
      <c r="C17" s="78">
        <f>E17+G17</f>
        <v>130026687</v>
      </c>
      <c r="D17" s="78">
        <f>F17+I17</f>
        <v>104685341.3</v>
      </c>
      <c r="E17" s="78">
        <f>E18</f>
        <v>-66970254</v>
      </c>
      <c r="F17" s="78">
        <f>F18</f>
        <v>-6877064.9399999976</v>
      </c>
      <c r="G17" s="78">
        <f>G18</f>
        <v>196996941</v>
      </c>
      <c r="H17" s="156">
        <f>H18</f>
        <v>196996941</v>
      </c>
      <c r="I17" s="156">
        <f t="shared" ref="I17:J17" si="0">I18</f>
        <v>111562406.23999999</v>
      </c>
      <c r="J17" s="489">
        <f t="shared" si="0"/>
        <v>111562406.23999999</v>
      </c>
    </row>
    <row r="18" spans="1:20" ht="31.2" x14ac:dyDescent="0.3">
      <c r="A18" s="89" t="s">
        <v>407</v>
      </c>
      <c r="B18" s="90" t="s">
        <v>408</v>
      </c>
      <c r="C18" s="78">
        <f t="shared" ref="C18:C21" si="1">E18+G18</f>
        <v>130026687</v>
      </c>
      <c r="D18" s="78">
        <f t="shared" ref="D18:D22" si="2">F18+I18</f>
        <v>104685341.3</v>
      </c>
      <c r="E18" s="8">
        <f>E19-E20+E21</f>
        <v>-66970254</v>
      </c>
      <c r="F18" s="8">
        <f>F19-1000000+F21</f>
        <v>-6877064.9399999976</v>
      </c>
      <c r="G18" s="8">
        <f>G21</f>
        <v>196996941</v>
      </c>
      <c r="H18" s="157">
        <f>H21</f>
        <v>196996941</v>
      </c>
      <c r="I18" s="157">
        <f t="shared" ref="I18:J18" si="3">I21</f>
        <v>111562406.23999999</v>
      </c>
      <c r="J18" s="490">
        <f t="shared" si="3"/>
        <v>111562406.23999999</v>
      </c>
    </row>
    <row r="19" spans="1:20" ht="15.6" x14ac:dyDescent="0.3">
      <c r="A19" s="89" t="s">
        <v>409</v>
      </c>
      <c r="B19" s="90" t="s">
        <v>410</v>
      </c>
      <c r="C19" s="78">
        <f>E19+G19</f>
        <v>135026687</v>
      </c>
      <c r="D19" s="78">
        <f t="shared" si="2"/>
        <v>105685341.3</v>
      </c>
      <c r="E19" s="13">
        <f>1000000+25340511+40131417+20498000+18379851+16761523+2915385+10000000</f>
        <v>135026687</v>
      </c>
      <c r="F19" s="13">
        <v>105685341.3</v>
      </c>
      <c r="G19" s="8">
        <v>0</v>
      </c>
      <c r="H19" s="158">
        <v>0</v>
      </c>
      <c r="I19" s="162">
        <v>0</v>
      </c>
      <c r="J19" s="491"/>
    </row>
    <row r="20" spans="1:20" ht="15.6" x14ac:dyDescent="0.3">
      <c r="A20" s="89" t="s">
        <v>411</v>
      </c>
      <c r="B20" s="90" t="s">
        <v>412</v>
      </c>
      <c r="C20" s="78">
        <f t="shared" si="1"/>
        <v>5000000</v>
      </c>
      <c r="D20" s="78">
        <f t="shared" si="2"/>
        <v>5000000</v>
      </c>
      <c r="E20" s="8">
        <f>1000000+4000000</f>
        <v>5000000</v>
      </c>
      <c r="F20" s="8">
        <f>1000000+4000000</f>
        <v>5000000</v>
      </c>
      <c r="G20" s="8">
        <v>0</v>
      </c>
      <c r="H20" s="158">
        <v>0</v>
      </c>
      <c r="I20" s="162">
        <v>0</v>
      </c>
      <c r="J20" s="491"/>
    </row>
    <row r="21" spans="1:20" ht="47.4" thickBot="1" x14ac:dyDescent="0.35">
      <c r="A21" s="92" t="s">
        <v>413</v>
      </c>
      <c r="B21" s="93" t="s">
        <v>414</v>
      </c>
      <c r="C21" s="481">
        <f t="shared" si="1"/>
        <v>0</v>
      </c>
      <c r="D21" s="481">
        <f t="shared" si="2"/>
        <v>0</v>
      </c>
      <c r="E21" s="14">
        <v>-196996941</v>
      </c>
      <c r="F21" s="14">
        <f>-111562406.24</f>
        <v>-111562406.23999999</v>
      </c>
      <c r="G21" s="14">
        <v>196996941</v>
      </c>
      <c r="H21" s="482">
        <f>G21</f>
        <v>196996941</v>
      </c>
      <c r="I21" s="483">
        <f>111562406.24</f>
        <v>111562406.23999999</v>
      </c>
      <c r="J21" s="492">
        <f>I21</f>
        <v>111562406.23999999</v>
      </c>
    </row>
    <row r="22" spans="1:20" ht="16.8" thickBot="1" x14ac:dyDescent="0.4">
      <c r="A22" s="94" t="s">
        <v>6</v>
      </c>
      <c r="B22" s="95" t="s">
        <v>415</v>
      </c>
      <c r="C22" s="12">
        <f>E22+G22</f>
        <v>130026687</v>
      </c>
      <c r="D22" s="12">
        <f t="shared" si="2"/>
        <v>104685341.3</v>
      </c>
      <c r="E22" s="96">
        <f t="shared" ref="E22:J22" si="4">E17</f>
        <v>-66970254</v>
      </c>
      <c r="F22" s="96">
        <f t="shared" si="4"/>
        <v>-6877064.9399999976</v>
      </c>
      <c r="G22" s="96">
        <f t="shared" si="4"/>
        <v>196996941</v>
      </c>
      <c r="H22" s="161">
        <f t="shared" si="4"/>
        <v>196996941</v>
      </c>
      <c r="I22" s="161">
        <f t="shared" si="4"/>
        <v>111562406.23999999</v>
      </c>
      <c r="J22" s="97">
        <f t="shared" si="4"/>
        <v>111562406.23999999</v>
      </c>
    </row>
    <row r="23" spans="1:20" ht="15.6" x14ac:dyDescent="0.3">
      <c r="A23" s="1077" t="s">
        <v>416</v>
      </c>
      <c r="B23" s="1078"/>
      <c r="C23" s="1078"/>
      <c r="D23" s="1078"/>
      <c r="E23" s="1078"/>
      <c r="F23" s="1078"/>
      <c r="G23" s="1078"/>
      <c r="H23" s="1078"/>
      <c r="I23" s="484"/>
      <c r="J23" s="493"/>
    </row>
    <row r="24" spans="1:20" ht="16.2" x14ac:dyDescent="0.3">
      <c r="A24" s="87" t="s">
        <v>417</v>
      </c>
      <c r="B24" s="88" t="s">
        <v>418</v>
      </c>
      <c r="C24" s="78">
        <f>E24+G24</f>
        <v>130026687</v>
      </c>
      <c r="D24" s="78">
        <f>F24+I24</f>
        <v>104685341.3</v>
      </c>
      <c r="E24" s="78">
        <f t="shared" ref="E24:J24" si="5">E17</f>
        <v>-66970254</v>
      </c>
      <c r="F24" s="78">
        <f t="shared" si="5"/>
        <v>-6877064.9399999976</v>
      </c>
      <c r="G24" s="78">
        <f t="shared" si="5"/>
        <v>196996941</v>
      </c>
      <c r="H24" s="159">
        <f t="shared" si="5"/>
        <v>196996941</v>
      </c>
      <c r="I24" s="159">
        <f t="shared" si="5"/>
        <v>111562406.23999999</v>
      </c>
      <c r="J24" s="494">
        <f t="shared" si="5"/>
        <v>111562406.23999999</v>
      </c>
    </row>
    <row r="25" spans="1:20" ht="15.6" x14ac:dyDescent="0.3">
      <c r="A25" s="89" t="s">
        <v>419</v>
      </c>
      <c r="B25" s="90" t="s">
        <v>420</v>
      </c>
      <c r="C25" s="78">
        <f t="shared" ref="C25:C29" si="6">E25+G25</f>
        <v>130026687</v>
      </c>
      <c r="D25" s="78">
        <f t="shared" ref="D25:D29" si="7">F25+I25</f>
        <v>104685341.3</v>
      </c>
      <c r="E25" s="8">
        <f t="shared" ref="E25:F27" si="8">E18</f>
        <v>-66970254</v>
      </c>
      <c r="F25" s="8">
        <f t="shared" si="8"/>
        <v>-6877064.9399999976</v>
      </c>
      <c r="G25" s="8">
        <f>G28</f>
        <v>196996941</v>
      </c>
      <c r="H25" s="158">
        <f>H28</f>
        <v>196996941</v>
      </c>
      <c r="I25" s="158">
        <f>I28</f>
        <v>111562406.23999999</v>
      </c>
      <c r="J25" s="491">
        <f>I25</f>
        <v>111562406.23999999</v>
      </c>
    </row>
    <row r="26" spans="1:20" ht="15.6" x14ac:dyDescent="0.3">
      <c r="A26" s="89" t="s">
        <v>421</v>
      </c>
      <c r="B26" s="90" t="s">
        <v>410</v>
      </c>
      <c r="C26" s="78">
        <f t="shared" si="6"/>
        <v>135026687</v>
      </c>
      <c r="D26" s="78">
        <f t="shared" si="7"/>
        <v>105685341.3</v>
      </c>
      <c r="E26" s="8">
        <f t="shared" si="8"/>
        <v>135026687</v>
      </c>
      <c r="F26" s="8">
        <f t="shared" si="8"/>
        <v>105685341.3</v>
      </c>
      <c r="G26" s="8">
        <v>0</v>
      </c>
      <c r="H26" s="158">
        <v>0</v>
      </c>
      <c r="I26" s="162">
        <v>0</v>
      </c>
      <c r="J26" s="491"/>
      <c r="M26" s="91"/>
    </row>
    <row r="27" spans="1:20" ht="15.6" x14ac:dyDescent="0.3">
      <c r="A27" s="89" t="s">
        <v>422</v>
      </c>
      <c r="B27" s="90" t="s">
        <v>412</v>
      </c>
      <c r="C27" s="78">
        <f t="shared" si="6"/>
        <v>5000000</v>
      </c>
      <c r="D27" s="78">
        <f t="shared" si="7"/>
        <v>5000000</v>
      </c>
      <c r="E27" s="8">
        <f t="shared" si="8"/>
        <v>5000000</v>
      </c>
      <c r="F27" s="8">
        <f t="shared" si="8"/>
        <v>5000000</v>
      </c>
      <c r="G27" s="8">
        <v>0</v>
      </c>
      <c r="H27" s="158">
        <v>0</v>
      </c>
      <c r="I27" s="162">
        <v>0</v>
      </c>
      <c r="J27" s="491"/>
    </row>
    <row r="28" spans="1:20" ht="47.4" thickBot="1" x14ac:dyDescent="0.35">
      <c r="A28" s="92" t="s">
        <v>423</v>
      </c>
      <c r="B28" s="93" t="s">
        <v>414</v>
      </c>
      <c r="C28" s="481">
        <f t="shared" si="6"/>
        <v>0</v>
      </c>
      <c r="D28" s="481">
        <f t="shared" si="7"/>
        <v>0</v>
      </c>
      <c r="E28" s="14">
        <f t="shared" ref="E28:J29" si="9">E21</f>
        <v>-196996941</v>
      </c>
      <c r="F28" s="14">
        <f t="shared" si="9"/>
        <v>-111562406.23999999</v>
      </c>
      <c r="G28" s="14">
        <f>G21</f>
        <v>196996941</v>
      </c>
      <c r="H28" s="160">
        <f>H21</f>
        <v>196996941</v>
      </c>
      <c r="I28" s="160">
        <f>I21</f>
        <v>111562406.23999999</v>
      </c>
      <c r="J28" s="495">
        <f>J21</f>
        <v>111562406.23999999</v>
      </c>
    </row>
    <row r="29" spans="1:20" ht="16.8" thickBot="1" x14ac:dyDescent="0.4">
      <c r="A29" s="94" t="s">
        <v>6</v>
      </c>
      <c r="B29" s="95" t="s">
        <v>415</v>
      </c>
      <c r="C29" s="12">
        <f t="shared" si="6"/>
        <v>130026687</v>
      </c>
      <c r="D29" s="12">
        <f t="shared" si="7"/>
        <v>104685341.3</v>
      </c>
      <c r="E29" s="96">
        <f t="shared" si="9"/>
        <v>-66970254</v>
      </c>
      <c r="F29" s="96">
        <f t="shared" si="9"/>
        <v>-6877064.9399999976</v>
      </c>
      <c r="G29" s="96">
        <f t="shared" si="9"/>
        <v>196996941</v>
      </c>
      <c r="H29" s="161">
        <f t="shared" si="9"/>
        <v>196996941</v>
      </c>
      <c r="I29" s="161">
        <f t="shared" si="9"/>
        <v>111562406.23999999</v>
      </c>
      <c r="J29" s="97">
        <f t="shared" si="9"/>
        <v>111562406.23999999</v>
      </c>
    </row>
    <row r="31" spans="1:20" ht="13.5" customHeight="1" x14ac:dyDescent="0.3"/>
    <row r="32" spans="1:20" s="5" customFormat="1" ht="42.6" customHeight="1" x14ac:dyDescent="0.3">
      <c r="A32" s="1079" t="s">
        <v>649</v>
      </c>
      <c r="B32" s="1079"/>
      <c r="C32" s="98"/>
      <c r="D32" s="98"/>
      <c r="E32" s="98"/>
      <c r="F32" s="98"/>
      <c r="G32" s="1080" t="s">
        <v>468</v>
      </c>
      <c r="H32" s="1080"/>
      <c r="I32" s="150"/>
      <c r="J32" s="150"/>
      <c r="K32" s="3"/>
      <c r="L32" s="3"/>
      <c r="M32" s="3"/>
      <c r="O32" s="3"/>
      <c r="P32" s="99"/>
      <c r="Q32" s="3"/>
      <c r="R32" s="100"/>
      <c r="S32" s="101"/>
      <c r="T32" s="102"/>
    </row>
    <row r="33" spans="1:10" s="18" customFormat="1" ht="21" x14ac:dyDescent="0.4">
      <c r="A33" s="17"/>
      <c r="B33" s="17"/>
      <c r="H33" s="19"/>
      <c r="I33" s="19"/>
      <c r="J33" s="19"/>
    </row>
    <row r="34" spans="1:10" ht="15.6" x14ac:dyDescent="0.3">
      <c r="A34" s="20"/>
      <c r="B34" s="20"/>
    </row>
    <row r="35" spans="1:10" ht="15.6" x14ac:dyDescent="0.3">
      <c r="A35" s="1081"/>
      <c r="B35" s="1081"/>
    </row>
    <row r="36" spans="1:10" ht="15.6" x14ac:dyDescent="0.3">
      <c r="A36" s="1"/>
    </row>
  </sheetData>
  <mergeCells count="20">
    <mergeCell ref="A35:B35"/>
    <mergeCell ref="G13:G14"/>
    <mergeCell ref="I13:I14"/>
    <mergeCell ref="J13:J14"/>
    <mergeCell ref="G12:J12"/>
    <mergeCell ref="A12:A14"/>
    <mergeCell ref="B12:B14"/>
    <mergeCell ref="H13:H14"/>
    <mergeCell ref="C12:D12"/>
    <mergeCell ref="C13:C14"/>
    <mergeCell ref="D13:D14"/>
    <mergeCell ref="E12:F12"/>
    <mergeCell ref="E13:E14"/>
    <mergeCell ref="F13:F14"/>
    <mergeCell ref="G5:H5"/>
    <mergeCell ref="A16:H16"/>
    <mergeCell ref="A23:H23"/>
    <mergeCell ref="A32:B32"/>
    <mergeCell ref="G32:H32"/>
    <mergeCell ref="A8:H8"/>
  </mergeCells>
  <pageMargins left="1.1811023622047245" right="0.39370078740157483" top="0.78740157480314965" bottom="0.78740157480314965"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N369"/>
  <sheetViews>
    <sheetView view="pageBreakPreview" topLeftCell="A337" zoomScale="88" zoomScaleNormal="100" zoomScaleSheetLayoutView="88" workbookViewId="0">
      <selection activeCell="K3" sqref="K3:L4"/>
    </sheetView>
  </sheetViews>
  <sheetFormatPr defaultColWidth="8.88671875" defaultRowHeight="15.6" x14ac:dyDescent="0.3"/>
  <cols>
    <col min="1" max="3" width="12.109375" style="40" customWidth="1"/>
    <col min="4" max="4" width="44.33203125" style="41" customWidth="1"/>
    <col min="5" max="5" width="17.44140625" style="41" customWidth="1"/>
    <col min="6" max="6" width="18.6640625" style="41" customWidth="1"/>
    <col min="7" max="7" width="10.6640625" style="41" customWidth="1"/>
    <col min="8" max="8" width="18" style="42" customWidth="1"/>
    <col min="9" max="9" width="17.5546875" style="42" customWidth="1"/>
    <col min="10" max="10" width="11.44140625" style="42" customWidth="1"/>
    <col min="11" max="11" width="17.44140625" style="41" customWidth="1"/>
    <col min="12" max="12" width="18.5546875" style="41" customWidth="1"/>
    <col min="13" max="13" width="12" style="41" customWidth="1"/>
    <col min="14" max="16384" width="8.88671875" style="1"/>
  </cols>
  <sheetData>
    <row r="1" spans="1:14" x14ac:dyDescent="0.3">
      <c r="K1" s="3" t="s">
        <v>501</v>
      </c>
    </row>
    <row r="2" spans="1:14" x14ac:dyDescent="0.3">
      <c r="K2" s="3" t="s">
        <v>638</v>
      </c>
    </row>
    <row r="3" spans="1:14" x14ac:dyDescent="0.3">
      <c r="K3" s="6" t="s">
        <v>736</v>
      </c>
      <c r="L3" s="6"/>
      <c r="M3" s="475"/>
    </row>
    <row r="4" spans="1:14" x14ac:dyDescent="0.3">
      <c r="K4" s="1074" t="s">
        <v>737</v>
      </c>
      <c r="L4" s="1074"/>
      <c r="M4" s="476"/>
    </row>
    <row r="5" spans="1:14" x14ac:dyDescent="0.3">
      <c r="I5" s="41"/>
      <c r="J5" s="41"/>
      <c r="K5" s="3"/>
      <c r="L5" s="472"/>
      <c r="M5" s="472"/>
      <c r="N5" s="2"/>
    </row>
    <row r="6" spans="1:14" x14ac:dyDescent="0.3">
      <c r="I6" s="41"/>
      <c r="J6" s="41"/>
      <c r="K6" s="473"/>
      <c r="L6" s="473"/>
      <c r="M6" s="473"/>
      <c r="N6" s="19"/>
    </row>
    <row r="7" spans="1:14" x14ac:dyDescent="0.3">
      <c r="A7" s="1099" t="s">
        <v>164</v>
      </c>
      <c r="B7" s="1100"/>
      <c r="C7" s="1100"/>
      <c r="D7" s="1100"/>
      <c r="E7" s="1100"/>
      <c r="F7" s="1100"/>
      <c r="G7" s="1100"/>
      <c r="H7" s="1100"/>
      <c r="I7" s="1100"/>
      <c r="J7" s="1100"/>
      <c r="K7" s="1100"/>
      <c r="L7" s="77"/>
      <c r="M7" s="77"/>
    </row>
    <row r="8" spans="1:14" x14ac:dyDescent="0.3">
      <c r="A8" s="1099" t="s">
        <v>659</v>
      </c>
      <c r="B8" s="1100"/>
      <c r="C8" s="1100"/>
      <c r="D8" s="1100"/>
      <c r="E8" s="1100"/>
      <c r="F8" s="1100"/>
      <c r="G8" s="1100"/>
      <c r="H8" s="1100"/>
      <c r="I8" s="1100"/>
      <c r="J8" s="1100"/>
      <c r="K8" s="1100"/>
      <c r="L8" s="77"/>
      <c r="M8" s="77"/>
    </row>
    <row r="9" spans="1:14" x14ac:dyDescent="0.3">
      <c r="A9" s="43" t="s">
        <v>162</v>
      </c>
    </row>
    <row r="10" spans="1:14" ht="17.399999999999999" customHeight="1" thickBot="1" x14ac:dyDescent="0.35">
      <c r="A10" s="40" t="s">
        <v>0</v>
      </c>
      <c r="K10" s="42" t="s">
        <v>7</v>
      </c>
      <c r="L10" s="42"/>
      <c r="M10" s="42"/>
    </row>
    <row r="11" spans="1:14" s="28" customFormat="1" ht="13.95" customHeight="1" x14ac:dyDescent="0.25">
      <c r="A11" s="1101" t="s">
        <v>8</v>
      </c>
      <c r="B11" s="1104" t="s">
        <v>9</v>
      </c>
      <c r="C11" s="1104" t="s">
        <v>10</v>
      </c>
      <c r="D11" s="1104" t="s">
        <v>11</v>
      </c>
      <c r="E11" s="1107" t="s">
        <v>2</v>
      </c>
      <c r="F11" s="1107"/>
      <c r="G11" s="1107"/>
      <c r="H11" s="1110" t="s">
        <v>3</v>
      </c>
      <c r="I11" s="1111"/>
      <c r="J11" s="1112"/>
      <c r="K11" s="1110" t="s">
        <v>165</v>
      </c>
      <c r="L11" s="1111"/>
      <c r="M11" s="1113"/>
    </row>
    <row r="12" spans="1:14" s="28" customFormat="1" ht="13.2" x14ac:dyDescent="0.25">
      <c r="A12" s="1102"/>
      <c r="B12" s="1105"/>
      <c r="C12" s="1105"/>
      <c r="D12" s="1105"/>
      <c r="E12" s="1095" t="s">
        <v>455</v>
      </c>
      <c r="F12" s="1108" t="s">
        <v>729</v>
      </c>
      <c r="G12" s="1095" t="s">
        <v>456</v>
      </c>
      <c r="H12" s="1095" t="s">
        <v>455</v>
      </c>
      <c r="I12" s="1108" t="s">
        <v>730</v>
      </c>
      <c r="J12" s="1095" t="s">
        <v>456</v>
      </c>
      <c r="K12" s="1095" t="s">
        <v>455</v>
      </c>
      <c r="L12" s="1108" t="s">
        <v>731</v>
      </c>
      <c r="M12" s="1114" t="s">
        <v>456</v>
      </c>
    </row>
    <row r="13" spans="1:14" s="28" customFormat="1" ht="13.2" customHeight="1" x14ac:dyDescent="0.25">
      <c r="A13" s="1102"/>
      <c r="B13" s="1105"/>
      <c r="C13" s="1105"/>
      <c r="D13" s="1105"/>
      <c r="E13" s="1096"/>
      <c r="F13" s="1108"/>
      <c r="G13" s="1096"/>
      <c r="H13" s="1096"/>
      <c r="I13" s="1108"/>
      <c r="J13" s="1096"/>
      <c r="K13" s="1096"/>
      <c r="L13" s="1108"/>
      <c r="M13" s="1115"/>
    </row>
    <row r="14" spans="1:14" s="28" customFormat="1" ht="55.95" customHeight="1" thickBot="1" x14ac:dyDescent="0.3">
      <c r="A14" s="1103"/>
      <c r="B14" s="1106"/>
      <c r="C14" s="1106"/>
      <c r="D14" s="1106"/>
      <c r="E14" s="1097"/>
      <c r="F14" s="1109"/>
      <c r="G14" s="1097"/>
      <c r="H14" s="1097"/>
      <c r="I14" s="1109"/>
      <c r="J14" s="1097"/>
      <c r="K14" s="1097"/>
      <c r="L14" s="1109"/>
      <c r="M14" s="1116"/>
    </row>
    <row r="15" spans="1:14" ht="11.25" customHeight="1" thickBot="1" x14ac:dyDescent="0.35">
      <c r="A15" s="1043">
        <v>1</v>
      </c>
      <c r="B15" s="1044">
        <v>2</v>
      </c>
      <c r="C15" s="1044">
        <v>3</v>
      </c>
      <c r="D15" s="1044">
        <v>4</v>
      </c>
      <c r="E15" s="1044">
        <v>5</v>
      </c>
      <c r="F15" s="1044">
        <v>6</v>
      </c>
      <c r="G15" s="1044">
        <v>7</v>
      </c>
      <c r="H15" s="1044">
        <v>8</v>
      </c>
      <c r="I15" s="1044">
        <v>9</v>
      </c>
      <c r="J15" s="1044">
        <v>10</v>
      </c>
      <c r="K15" s="1044">
        <v>11</v>
      </c>
      <c r="L15" s="1044">
        <v>12</v>
      </c>
      <c r="M15" s="1045">
        <v>13</v>
      </c>
    </row>
    <row r="16" spans="1:14" ht="44.25" customHeight="1" thickBot="1" x14ac:dyDescent="0.35">
      <c r="A16" s="32" t="s">
        <v>13</v>
      </c>
      <c r="B16" s="33" t="s">
        <v>14</v>
      </c>
      <c r="C16" s="33" t="s">
        <v>14</v>
      </c>
      <c r="D16" s="34" t="s">
        <v>15</v>
      </c>
      <c r="E16" s="169">
        <f>E17</f>
        <v>126651259</v>
      </c>
      <c r="F16" s="169">
        <f>F17</f>
        <v>120934037.41</v>
      </c>
      <c r="G16" s="485">
        <f>F16/E16</f>
        <v>0.95485854909661816</v>
      </c>
      <c r="H16" s="172">
        <f>H17</f>
        <v>59189664</v>
      </c>
      <c r="I16" s="172">
        <f>I17</f>
        <v>51633833.270000003</v>
      </c>
      <c r="J16" s="485">
        <f>I16/H16</f>
        <v>0.87234543635861839</v>
      </c>
      <c r="K16" s="172">
        <f t="shared" ref="K16:L18" si="0">E16+H16</f>
        <v>185840923</v>
      </c>
      <c r="L16" s="169">
        <f t="shared" si="0"/>
        <v>172567870.68000001</v>
      </c>
      <c r="M16" s="480">
        <f>L16/K16</f>
        <v>0.92857842015776049</v>
      </c>
    </row>
    <row r="17" spans="1:13" ht="31.8" thickBot="1" x14ac:dyDescent="0.35">
      <c r="A17" s="837" t="s">
        <v>16</v>
      </c>
      <c r="B17" s="836" t="s">
        <v>14</v>
      </c>
      <c r="C17" s="836" t="s">
        <v>14</v>
      </c>
      <c r="D17" s="1036" t="s">
        <v>15</v>
      </c>
      <c r="E17" s="1037">
        <f>E18+E24+E26+E30+E34+E36+E40+E43+E46+E50+E52+E58+E60+E48+E56</f>
        <v>126651259</v>
      </c>
      <c r="F17" s="1037">
        <f>F18+F24+F26+F30+F34+F36+F40+F43+F46+F50+F52+F58+F60+F48+F56</f>
        <v>120934037.41</v>
      </c>
      <c r="G17" s="173">
        <f t="shared" ref="G17:G243" si="1">F17/E17</f>
        <v>0.95485854909661816</v>
      </c>
      <c r="H17" s="1038">
        <f>H18+H30+H40+H43+H36+H60+H24+H26+H46+H48+H50+H52+H58</f>
        <v>59189664</v>
      </c>
      <c r="I17" s="1038">
        <f>I18+I30+I40+I43+I36+I60+I24+I26+I46+I48+I50+I52+I58</f>
        <v>51633833.270000003</v>
      </c>
      <c r="J17" s="173">
        <f t="shared" ref="J17:J197" si="2">I17/H17</f>
        <v>0.87234543635861839</v>
      </c>
      <c r="K17" s="1038">
        <f>E17+H17</f>
        <v>185840923</v>
      </c>
      <c r="L17" s="1037">
        <f>F17+I17</f>
        <v>172567870.68000001</v>
      </c>
      <c r="M17" s="182">
        <f t="shared" ref="M17:M99" si="3">L17/K17</f>
        <v>0.92857842015776049</v>
      </c>
    </row>
    <row r="18" spans="1:13" ht="78" x14ac:dyDescent="0.3">
      <c r="A18" s="838" t="s">
        <v>166</v>
      </c>
      <c r="B18" s="839" t="s">
        <v>167</v>
      </c>
      <c r="C18" s="839" t="s">
        <v>17</v>
      </c>
      <c r="D18" s="1035" t="s">
        <v>168</v>
      </c>
      <c r="E18" s="39">
        <f>E19</f>
        <v>30404221</v>
      </c>
      <c r="F18" s="39">
        <f>F19</f>
        <v>28004949.140000001</v>
      </c>
      <c r="G18" s="174">
        <f t="shared" si="1"/>
        <v>0.92108754044380881</v>
      </c>
      <c r="H18" s="181">
        <f>H22</f>
        <v>338000</v>
      </c>
      <c r="I18" s="44">
        <f>I19+I22+I23</f>
        <v>583698.99</v>
      </c>
      <c r="J18" s="174">
        <f t="shared" si="2"/>
        <v>1.7269200887573963</v>
      </c>
      <c r="K18" s="181">
        <f t="shared" si="0"/>
        <v>30742221</v>
      </c>
      <c r="L18" s="511">
        <f t="shared" si="0"/>
        <v>28588648.129999999</v>
      </c>
      <c r="M18" s="498">
        <f t="shared" si="3"/>
        <v>0.92994738831654356</v>
      </c>
    </row>
    <row r="19" spans="1:13" ht="16.2" x14ac:dyDescent="0.3">
      <c r="A19" s="802"/>
      <c r="B19" s="803"/>
      <c r="C19" s="803"/>
      <c r="D19" s="1030" t="s">
        <v>458</v>
      </c>
      <c r="E19" s="37">
        <v>30404221</v>
      </c>
      <c r="F19" s="37">
        <v>28004949.140000001</v>
      </c>
      <c r="G19" s="175">
        <f t="shared" si="1"/>
        <v>0.92108754044380881</v>
      </c>
      <c r="H19" s="177">
        <v>0</v>
      </c>
      <c r="I19" s="8">
        <v>22.86</v>
      </c>
      <c r="J19" s="175">
        <v>0</v>
      </c>
      <c r="K19" s="178">
        <f t="shared" ref="K19:K63" si="4">E19+H19</f>
        <v>30404221</v>
      </c>
      <c r="L19" s="163">
        <f t="shared" ref="L19:L63" si="5">F19+I19</f>
        <v>28004972</v>
      </c>
      <c r="M19" s="499">
        <f t="shared" si="3"/>
        <v>0.92108829231309697</v>
      </c>
    </row>
    <row r="20" spans="1:13" x14ac:dyDescent="0.3">
      <c r="A20" s="802"/>
      <c r="B20" s="803"/>
      <c r="C20" s="803"/>
      <c r="D20" s="1031" t="s">
        <v>459</v>
      </c>
      <c r="E20" s="37">
        <v>23566881</v>
      </c>
      <c r="F20" s="37">
        <v>22701683.920000002</v>
      </c>
      <c r="G20" s="175">
        <f t="shared" si="1"/>
        <v>0.96328758650752311</v>
      </c>
      <c r="H20" s="177"/>
      <c r="I20" s="8"/>
      <c r="J20" s="175"/>
      <c r="K20" s="178">
        <f t="shared" si="4"/>
        <v>23566881</v>
      </c>
      <c r="L20" s="163">
        <f t="shared" si="5"/>
        <v>22701683.920000002</v>
      </c>
      <c r="M20" s="499">
        <f t="shared" si="3"/>
        <v>0.96328758650752311</v>
      </c>
    </row>
    <row r="21" spans="1:13" ht="31.2" x14ac:dyDescent="0.3">
      <c r="A21" s="802"/>
      <c r="B21" s="803"/>
      <c r="C21" s="803"/>
      <c r="D21" s="1031" t="s">
        <v>460</v>
      </c>
      <c r="E21" s="37">
        <v>2835579</v>
      </c>
      <c r="F21" s="37">
        <v>1974745.3</v>
      </c>
      <c r="G21" s="175">
        <f t="shared" si="1"/>
        <v>0.6964169575243716</v>
      </c>
      <c r="H21" s="177"/>
      <c r="I21" s="8"/>
      <c r="J21" s="175"/>
      <c r="K21" s="178">
        <f t="shared" si="4"/>
        <v>2835579</v>
      </c>
      <c r="L21" s="163">
        <f t="shared" si="5"/>
        <v>1974745.3</v>
      </c>
      <c r="M21" s="499">
        <f t="shared" si="3"/>
        <v>0.6964169575243716</v>
      </c>
    </row>
    <row r="22" spans="1:13" ht="16.2" x14ac:dyDescent="0.3">
      <c r="A22" s="802"/>
      <c r="B22" s="803"/>
      <c r="C22" s="803"/>
      <c r="D22" s="1030" t="s">
        <v>461</v>
      </c>
      <c r="E22" s="37"/>
      <c r="F22" s="37"/>
      <c r="G22" s="175"/>
      <c r="H22" s="177">
        <f>H23</f>
        <v>338000</v>
      </c>
      <c r="I22" s="8">
        <v>365367.13</v>
      </c>
      <c r="J22" s="175">
        <f t="shared" si="2"/>
        <v>1.0809678402366865</v>
      </c>
      <c r="K22" s="178">
        <f t="shared" si="4"/>
        <v>338000</v>
      </c>
      <c r="L22" s="163">
        <f t="shared" si="5"/>
        <v>365367.13</v>
      </c>
      <c r="M22" s="499">
        <f t="shared" si="3"/>
        <v>1.0809678402366865</v>
      </c>
    </row>
    <row r="23" spans="1:13" x14ac:dyDescent="0.3">
      <c r="A23" s="802"/>
      <c r="B23" s="803"/>
      <c r="C23" s="803"/>
      <c r="D23" s="1031" t="s">
        <v>462</v>
      </c>
      <c r="E23" s="37"/>
      <c r="F23" s="37"/>
      <c r="G23" s="175"/>
      <c r="H23" s="177">
        <v>338000</v>
      </c>
      <c r="I23" s="8">
        <v>218309</v>
      </c>
      <c r="J23" s="175">
        <f t="shared" si="2"/>
        <v>0.64588461538461539</v>
      </c>
      <c r="K23" s="178">
        <f t="shared" si="4"/>
        <v>338000</v>
      </c>
      <c r="L23" s="163">
        <f t="shared" si="5"/>
        <v>218309</v>
      </c>
      <c r="M23" s="499">
        <f t="shared" si="3"/>
        <v>0.64588461538461539</v>
      </c>
    </row>
    <row r="24" spans="1:13" ht="31.2" x14ac:dyDescent="0.3">
      <c r="A24" s="46" t="s">
        <v>457</v>
      </c>
      <c r="B24" s="45" t="s">
        <v>219</v>
      </c>
      <c r="C24" s="803">
        <v>133</v>
      </c>
      <c r="D24" s="26" t="s">
        <v>245</v>
      </c>
      <c r="E24" s="37">
        <f>E25</f>
        <v>109000</v>
      </c>
      <c r="F24" s="37">
        <f>F25</f>
        <v>18000</v>
      </c>
      <c r="G24" s="175">
        <f t="shared" si="1"/>
        <v>0.16513761467889909</v>
      </c>
      <c r="H24" s="177">
        <v>0</v>
      </c>
      <c r="I24" s="8"/>
      <c r="J24" s="175"/>
      <c r="K24" s="178">
        <f t="shared" si="4"/>
        <v>109000</v>
      </c>
      <c r="L24" s="163">
        <f t="shared" si="5"/>
        <v>18000</v>
      </c>
      <c r="M24" s="499">
        <f t="shared" si="3"/>
        <v>0.16513761467889909</v>
      </c>
    </row>
    <row r="25" spans="1:13" ht="16.2" x14ac:dyDescent="0.3">
      <c r="A25" s="46"/>
      <c r="B25" s="45"/>
      <c r="C25" s="803"/>
      <c r="D25" s="1030" t="s">
        <v>458</v>
      </c>
      <c r="E25" s="37">
        <v>109000</v>
      </c>
      <c r="F25" s="37">
        <v>18000</v>
      </c>
      <c r="G25" s="175">
        <f t="shared" si="1"/>
        <v>0.16513761467889909</v>
      </c>
      <c r="H25" s="177"/>
      <c r="I25" s="8"/>
      <c r="J25" s="175"/>
      <c r="K25" s="178">
        <f t="shared" si="4"/>
        <v>109000</v>
      </c>
      <c r="L25" s="163">
        <f t="shared" si="5"/>
        <v>18000</v>
      </c>
      <c r="M25" s="499">
        <f t="shared" si="3"/>
        <v>0.16513761467889909</v>
      </c>
    </row>
    <row r="26" spans="1:13" ht="31.2" x14ac:dyDescent="0.3">
      <c r="A26" s="802" t="s">
        <v>18</v>
      </c>
      <c r="B26" s="803" t="s">
        <v>19</v>
      </c>
      <c r="C26" s="803" t="s">
        <v>20</v>
      </c>
      <c r="D26" s="26" t="s">
        <v>21</v>
      </c>
      <c r="E26" s="37">
        <f>E27</f>
        <v>27331824</v>
      </c>
      <c r="F26" s="37">
        <f>F27</f>
        <v>26699397.010000002</v>
      </c>
      <c r="G26" s="175">
        <f t="shared" si="1"/>
        <v>0.97686114947908353</v>
      </c>
      <c r="H26" s="177">
        <f>H28</f>
        <v>2173600</v>
      </c>
      <c r="I26" s="177">
        <f>I28</f>
        <v>2152033.9300000002</v>
      </c>
      <c r="J26" s="175">
        <f t="shared" si="2"/>
        <v>0.99007817905778439</v>
      </c>
      <c r="K26" s="178">
        <f t="shared" si="4"/>
        <v>29505424</v>
      </c>
      <c r="L26" s="163">
        <f t="shared" si="5"/>
        <v>28851430.940000001</v>
      </c>
      <c r="M26" s="499">
        <f t="shared" si="3"/>
        <v>0.97783481911664794</v>
      </c>
    </row>
    <row r="27" spans="1:13" ht="16.2" x14ac:dyDescent="0.3">
      <c r="A27" s="802"/>
      <c r="B27" s="803"/>
      <c r="C27" s="803"/>
      <c r="D27" s="1030" t="s">
        <v>458</v>
      </c>
      <c r="E27" s="37">
        <v>27331824</v>
      </c>
      <c r="F27" s="37">
        <v>26699397.010000002</v>
      </c>
      <c r="G27" s="175">
        <f t="shared" si="1"/>
        <v>0.97686114947908353</v>
      </c>
      <c r="H27" s="177"/>
      <c r="I27" s="8"/>
      <c r="J27" s="175"/>
      <c r="K27" s="178">
        <f t="shared" si="4"/>
        <v>27331824</v>
      </c>
      <c r="L27" s="163">
        <f t="shared" si="5"/>
        <v>26699397.010000002</v>
      </c>
      <c r="M27" s="499">
        <f t="shared" si="3"/>
        <v>0.97686114947908353</v>
      </c>
    </row>
    <row r="28" spans="1:13" ht="16.2" x14ac:dyDescent="0.3">
      <c r="A28" s="802"/>
      <c r="B28" s="803"/>
      <c r="C28" s="803"/>
      <c r="D28" s="1030" t="s">
        <v>461</v>
      </c>
      <c r="E28" s="37"/>
      <c r="F28" s="37"/>
      <c r="G28" s="175"/>
      <c r="H28" s="177">
        <f>H29</f>
        <v>2173600</v>
      </c>
      <c r="I28" s="177">
        <f>I29</f>
        <v>2152033.9300000002</v>
      </c>
      <c r="J28" s="175">
        <f t="shared" si="2"/>
        <v>0.99007817905778439</v>
      </c>
      <c r="K28" s="178">
        <f t="shared" si="4"/>
        <v>2173600</v>
      </c>
      <c r="L28" s="163">
        <f t="shared" si="5"/>
        <v>2152033.9300000002</v>
      </c>
      <c r="M28" s="499">
        <f t="shared" si="3"/>
        <v>0.99007817905778439</v>
      </c>
    </row>
    <row r="29" spans="1:13" x14ac:dyDescent="0.3">
      <c r="A29" s="802"/>
      <c r="B29" s="803"/>
      <c r="C29" s="803"/>
      <c r="D29" s="1031" t="s">
        <v>462</v>
      </c>
      <c r="E29" s="37"/>
      <c r="F29" s="37"/>
      <c r="G29" s="175"/>
      <c r="H29" s="177">
        <v>2173600</v>
      </c>
      <c r="I29" s="8">
        <v>2152033.9300000002</v>
      </c>
      <c r="J29" s="175">
        <f t="shared" si="2"/>
        <v>0.99007817905778439</v>
      </c>
      <c r="K29" s="178">
        <f t="shared" si="4"/>
        <v>2173600</v>
      </c>
      <c r="L29" s="163">
        <f t="shared" si="5"/>
        <v>2152033.9300000002</v>
      </c>
      <c r="M29" s="499">
        <f t="shared" si="3"/>
        <v>0.99007817905778439</v>
      </c>
    </row>
    <row r="30" spans="1:13" ht="46.8" x14ac:dyDescent="0.3">
      <c r="A30" s="802" t="s">
        <v>22</v>
      </c>
      <c r="B30" s="803" t="s">
        <v>23</v>
      </c>
      <c r="C30" s="803" t="s">
        <v>24</v>
      </c>
      <c r="D30" s="26" t="s">
        <v>25</v>
      </c>
      <c r="E30" s="37">
        <f>E31</f>
        <v>619449</v>
      </c>
      <c r="F30" s="37">
        <f>F31</f>
        <v>537424.72</v>
      </c>
      <c r="G30" s="175">
        <f t="shared" si="1"/>
        <v>0.86758509578673948</v>
      </c>
      <c r="H30" s="177">
        <f>H32</f>
        <v>372400</v>
      </c>
      <c r="I30" s="177">
        <f>I32</f>
        <v>372377</v>
      </c>
      <c r="J30" s="175">
        <f t="shared" si="2"/>
        <v>0.99993823845327601</v>
      </c>
      <c r="K30" s="178">
        <f t="shared" si="4"/>
        <v>991849</v>
      </c>
      <c r="L30" s="163">
        <f t="shared" si="5"/>
        <v>909801.72</v>
      </c>
      <c r="M30" s="499">
        <f t="shared" si="3"/>
        <v>0.91727845670056629</v>
      </c>
    </row>
    <row r="31" spans="1:13" ht="16.2" x14ac:dyDescent="0.3">
      <c r="A31" s="802"/>
      <c r="B31" s="803"/>
      <c r="C31" s="803"/>
      <c r="D31" s="1030" t="s">
        <v>458</v>
      </c>
      <c r="E31" s="37">
        <v>619449</v>
      </c>
      <c r="F31" s="37">
        <v>537424.72</v>
      </c>
      <c r="G31" s="175">
        <f t="shared" si="1"/>
        <v>0.86758509578673948</v>
      </c>
      <c r="H31" s="177"/>
      <c r="I31" s="8"/>
      <c r="J31" s="175"/>
      <c r="K31" s="178">
        <f t="shared" si="4"/>
        <v>619449</v>
      </c>
      <c r="L31" s="163">
        <f t="shared" si="5"/>
        <v>537424.72</v>
      </c>
      <c r="M31" s="499">
        <f t="shared" si="3"/>
        <v>0.86758509578673948</v>
      </c>
    </row>
    <row r="32" spans="1:13" ht="16.2" x14ac:dyDescent="0.3">
      <c r="A32" s="802"/>
      <c r="B32" s="803"/>
      <c r="C32" s="803"/>
      <c r="D32" s="1030" t="s">
        <v>461</v>
      </c>
      <c r="E32" s="37"/>
      <c r="F32" s="37"/>
      <c r="G32" s="175"/>
      <c r="H32" s="177">
        <f>H33</f>
        <v>372400</v>
      </c>
      <c r="I32" s="177">
        <f>I33</f>
        <v>372377</v>
      </c>
      <c r="J32" s="175">
        <f t="shared" si="2"/>
        <v>0.99993823845327601</v>
      </c>
      <c r="K32" s="178">
        <f t="shared" si="4"/>
        <v>372400</v>
      </c>
      <c r="L32" s="163">
        <f t="shared" si="5"/>
        <v>372377</v>
      </c>
      <c r="M32" s="499">
        <f t="shared" si="3"/>
        <v>0.99993823845327601</v>
      </c>
    </row>
    <row r="33" spans="1:13" x14ac:dyDescent="0.3">
      <c r="A33" s="802"/>
      <c r="B33" s="803"/>
      <c r="C33" s="803"/>
      <c r="D33" s="1031" t="s">
        <v>462</v>
      </c>
      <c r="E33" s="37"/>
      <c r="F33" s="37"/>
      <c r="G33" s="175"/>
      <c r="H33" s="177">
        <v>372400</v>
      </c>
      <c r="I33" s="162">
        <v>372377</v>
      </c>
      <c r="J33" s="175">
        <f t="shared" si="2"/>
        <v>0.99993823845327601</v>
      </c>
      <c r="K33" s="178">
        <f t="shared" si="4"/>
        <v>372400</v>
      </c>
      <c r="L33" s="163">
        <f t="shared" si="5"/>
        <v>372377</v>
      </c>
      <c r="M33" s="499">
        <f t="shared" si="3"/>
        <v>0.99993823845327601</v>
      </c>
    </row>
    <row r="34" spans="1:13" ht="31.2" x14ac:dyDescent="0.3">
      <c r="A34" s="46" t="s">
        <v>228</v>
      </c>
      <c r="B34" s="803">
        <v>2152</v>
      </c>
      <c r="C34" s="45" t="s">
        <v>229</v>
      </c>
      <c r="D34" s="26" t="s">
        <v>246</v>
      </c>
      <c r="E34" s="37">
        <f>E35</f>
        <v>3407103</v>
      </c>
      <c r="F34" s="37">
        <f>F35</f>
        <v>2467936.4900000002</v>
      </c>
      <c r="G34" s="175">
        <f t="shared" si="1"/>
        <v>0.72435042028374264</v>
      </c>
      <c r="H34" s="177">
        <v>0</v>
      </c>
      <c r="I34" s="8"/>
      <c r="J34" s="175"/>
      <c r="K34" s="178">
        <f t="shared" si="4"/>
        <v>3407103</v>
      </c>
      <c r="L34" s="163">
        <f t="shared" si="5"/>
        <v>2467936.4900000002</v>
      </c>
      <c r="M34" s="499">
        <f t="shared" si="3"/>
        <v>0.72435042028374264</v>
      </c>
    </row>
    <row r="35" spans="1:13" ht="16.2" x14ac:dyDescent="0.3">
      <c r="A35" s="46"/>
      <c r="B35" s="803"/>
      <c r="C35" s="45"/>
      <c r="D35" s="1030" t="s">
        <v>458</v>
      </c>
      <c r="E35" s="37">
        <v>3407103</v>
      </c>
      <c r="F35" s="37">
        <v>2467936.4900000002</v>
      </c>
      <c r="G35" s="175">
        <f t="shared" si="1"/>
        <v>0.72435042028374264</v>
      </c>
      <c r="H35" s="177"/>
      <c r="I35" s="8"/>
      <c r="J35" s="175"/>
      <c r="K35" s="178">
        <f t="shared" si="4"/>
        <v>3407103</v>
      </c>
      <c r="L35" s="163">
        <f t="shared" si="5"/>
        <v>2467936.4900000002</v>
      </c>
      <c r="M35" s="499">
        <f t="shared" si="3"/>
        <v>0.72435042028374264</v>
      </c>
    </row>
    <row r="36" spans="1:13" ht="31.2" x14ac:dyDescent="0.3">
      <c r="A36" s="802" t="s">
        <v>29</v>
      </c>
      <c r="B36" s="803" t="s">
        <v>30</v>
      </c>
      <c r="C36" s="803" t="s">
        <v>31</v>
      </c>
      <c r="D36" s="26" t="s">
        <v>32</v>
      </c>
      <c r="E36" s="37">
        <f>E37</f>
        <v>356546</v>
      </c>
      <c r="F36" s="37">
        <f>F37</f>
        <v>293030.84000000003</v>
      </c>
      <c r="G36" s="175">
        <f t="shared" si="1"/>
        <v>0.82185984417157965</v>
      </c>
      <c r="H36" s="177">
        <f>H38</f>
        <v>53364</v>
      </c>
      <c r="I36" s="177">
        <f>I38</f>
        <v>53364</v>
      </c>
      <c r="J36" s="175">
        <f t="shared" si="2"/>
        <v>1</v>
      </c>
      <c r="K36" s="178">
        <f t="shared" si="4"/>
        <v>409910</v>
      </c>
      <c r="L36" s="163">
        <f t="shared" si="5"/>
        <v>346394.84</v>
      </c>
      <c r="M36" s="499">
        <f t="shared" si="3"/>
        <v>0.845050962406382</v>
      </c>
    </row>
    <row r="37" spans="1:13" ht="16.2" x14ac:dyDescent="0.3">
      <c r="A37" s="802"/>
      <c r="B37" s="803"/>
      <c r="C37" s="803"/>
      <c r="D37" s="1030" t="s">
        <v>458</v>
      </c>
      <c r="E37" s="37">
        <v>356546</v>
      </c>
      <c r="F37" s="37">
        <v>293030.84000000003</v>
      </c>
      <c r="G37" s="175">
        <f t="shared" si="1"/>
        <v>0.82185984417157965</v>
      </c>
      <c r="H37" s="177"/>
      <c r="I37" s="8"/>
      <c r="J37" s="175"/>
      <c r="K37" s="178">
        <f t="shared" si="4"/>
        <v>356546</v>
      </c>
      <c r="L37" s="163">
        <f t="shared" si="5"/>
        <v>293030.84000000003</v>
      </c>
      <c r="M37" s="499">
        <f t="shared" si="3"/>
        <v>0.82185984417157965</v>
      </c>
    </row>
    <row r="38" spans="1:13" ht="16.2" x14ac:dyDescent="0.3">
      <c r="A38" s="802"/>
      <c r="B38" s="803"/>
      <c r="C38" s="803"/>
      <c r="D38" s="1030" t="s">
        <v>461</v>
      </c>
      <c r="E38" s="37"/>
      <c r="F38" s="37"/>
      <c r="G38" s="175"/>
      <c r="H38" s="177">
        <f>H39</f>
        <v>53364</v>
      </c>
      <c r="I38" s="162">
        <f>I39</f>
        <v>53364</v>
      </c>
      <c r="J38" s="175">
        <f t="shared" si="2"/>
        <v>1</v>
      </c>
      <c r="K38" s="178">
        <f t="shared" si="4"/>
        <v>53364</v>
      </c>
      <c r="L38" s="163">
        <f t="shared" si="5"/>
        <v>53364</v>
      </c>
      <c r="M38" s="499">
        <f t="shared" si="3"/>
        <v>1</v>
      </c>
    </row>
    <row r="39" spans="1:13" x14ac:dyDescent="0.3">
      <c r="A39" s="802"/>
      <c r="B39" s="803"/>
      <c r="C39" s="803"/>
      <c r="D39" s="1031" t="s">
        <v>462</v>
      </c>
      <c r="E39" s="37"/>
      <c r="F39" s="37"/>
      <c r="G39" s="175"/>
      <c r="H39" s="177">
        <v>53364</v>
      </c>
      <c r="I39" s="162">
        <v>53364</v>
      </c>
      <c r="J39" s="175">
        <f t="shared" si="2"/>
        <v>1</v>
      </c>
      <c r="K39" s="178">
        <f t="shared" si="4"/>
        <v>53364</v>
      </c>
      <c r="L39" s="163">
        <f t="shared" si="5"/>
        <v>53364</v>
      </c>
      <c r="M39" s="499">
        <f t="shared" si="3"/>
        <v>1</v>
      </c>
    </row>
    <row r="40" spans="1:13" ht="32.25" customHeight="1" x14ac:dyDescent="0.3">
      <c r="A40" s="46" t="s">
        <v>247</v>
      </c>
      <c r="B40" s="45">
        <v>7650</v>
      </c>
      <c r="C40" s="45" t="s">
        <v>171</v>
      </c>
      <c r="D40" s="26" t="s">
        <v>248</v>
      </c>
      <c r="E40" s="37">
        <v>0</v>
      </c>
      <c r="F40" s="37">
        <v>0</v>
      </c>
      <c r="G40" s="175"/>
      <c r="H40" s="177">
        <f>H41</f>
        <v>57000</v>
      </c>
      <c r="I40" s="177">
        <f>I41</f>
        <v>19217</v>
      </c>
      <c r="J40" s="175">
        <f t="shared" si="2"/>
        <v>0.33714035087719296</v>
      </c>
      <c r="K40" s="178">
        <f t="shared" si="4"/>
        <v>57000</v>
      </c>
      <c r="L40" s="163">
        <f t="shared" si="5"/>
        <v>19217</v>
      </c>
      <c r="M40" s="499">
        <f t="shared" si="3"/>
        <v>0.33714035087719296</v>
      </c>
    </row>
    <row r="41" spans="1:13" ht="16.2" x14ac:dyDescent="0.3">
      <c r="A41" s="46"/>
      <c r="B41" s="45"/>
      <c r="C41" s="45"/>
      <c r="D41" s="1030" t="s">
        <v>461</v>
      </c>
      <c r="E41" s="37"/>
      <c r="F41" s="37"/>
      <c r="G41" s="175"/>
      <c r="H41" s="177">
        <f>H42</f>
        <v>57000</v>
      </c>
      <c r="I41" s="177">
        <f>I42</f>
        <v>19217</v>
      </c>
      <c r="J41" s="175">
        <f t="shared" si="2"/>
        <v>0.33714035087719296</v>
      </c>
      <c r="K41" s="178">
        <f t="shared" si="4"/>
        <v>57000</v>
      </c>
      <c r="L41" s="163">
        <f t="shared" si="5"/>
        <v>19217</v>
      </c>
      <c r="M41" s="499">
        <f t="shared" si="3"/>
        <v>0.33714035087719296</v>
      </c>
    </row>
    <row r="42" spans="1:13" x14ac:dyDescent="0.3">
      <c r="A42" s="46"/>
      <c r="B42" s="45"/>
      <c r="C42" s="45"/>
      <c r="D42" s="1031" t="s">
        <v>462</v>
      </c>
      <c r="E42" s="37"/>
      <c r="F42" s="37"/>
      <c r="G42" s="175"/>
      <c r="H42" s="177">
        <v>57000</v>
      </c>
      <c r="I42" s="8">
        <v>19217</v>
      </c>
      <c r="J42" s="175">
        <f t="shared" si="2"/>
        <v>0.33714035087719296</v>
      </c>
      <c r="K42" s="178">
        <f t="shared" si="4"/>
        <v>57000</v>
      </c>
      <c r="L42" s="163">
        <f t="shared" si="5"/>
        <v>19217</v>
      </c>
      <c r="M42" s="499">
        <f t="shared" si="3"/>
        <v>0.33714035087719296</v>
      </c>
    </row>
    <row r="43" spans="1:13" ht="80.25" customHeight="1" x14ac:dyDescent="0.3">
      <c r="A43" s="46" t="s">
        <v>249</v>
      </c>
      <c r="B43" s="45" t="s">
        <v>250</v>
      </c>
      <c r="C43" s="45" t="s">
        <v>171</v>
      </c>
      <c r="D43" s="26" t="s">
        <v>251</v>
      </c>
      <c r="E43" s="37">
        <v>0</v>
      </c>
      <c r="F43" s="37">
        <v>0</v>
      </c>
      <c r="G43" s="175"/>
      <c r="H43" s="177">
        <f>H44</f>
        <v>16900</v>
      </c>
      <c r="I43" s="177">
        <f>I44</f>
        <v>0</v>
      </c>
      <c r="J43" s="175">
        <f t="shared" si="2"/>
        <v>0</v>
      </c>
      <c r="K43" s="178">
        <f t="shared" si="4"/>
        <v>16900</v>
      </c>
      <c r="L43" s="163">
        <f t="shared" si="5"/>
        <v>0</v>
      </c>
      <c r="M43" s="499">
        <f t="shared" si="3"/>
        <v>0</v>
      </c>
    </row>
    <row r="44" spans="1:13" ht="16.2" x14ac:dyDescent="0.3">
      <c r="A44" s="46"/>
      <c r="B44" s="45"/>
      <c r="C44" s="45"/>
      <c r="D44" s="1030" t="s">
        <v>461</v>
      </c>
      <c r="E44" s="37"/>
      <c r="F44" s="37"/>
      <c r="G44" s="175"/>
      <c r="H44" s="177">
        <f>H45</f>
        <v>16900</v>
      </c>
      <c r="I44" s="177">
        <f>I45</f>
        <v>0</v>
      </c>
      <c r="J44" s="175">
        <f t="shared" si="2"/>
        <v>0</v>
      </c>
      <c r="K44" s="178">
        <f t="shared" si="4"/>
        <v>16900</v>
      </c>
      <c r="L44" s="163">
        <f t="shared" si="5"/>
        <v>0</v>
      </c>
      <c r="M44" s="499">
        <f t="shared" si="3"/>
        <v>0</v>
      </c>
    </row>
    <row r="45" spans="1:13" x14ac:dyDescent="0.3">
      <c r="A45" s="46"/>
      <c r="B45" s="45"/>
      <c r="C45" s="45"/>
      <c r="D45" s="1031" t="s">
        <v>462</v>
      </c>
      <c r="E45" s="37"/>
      <c r="F45" s="37"/>
      <c r="G45" s="175"/>
      <c r="H45" s="177">
        <v>16900</v>
      </c>
      <c r="I45" s="8">
        <v>0</v>
      </c>
      <c r="J45" s="175">
        <f t="shared" si="2"/>
        <v>0</v>
      </c>
      <c r="K45" s="178">
        <f t="shared" si="4"/>
        <v>16900</v>
      </c>
      <c r="L45" s="163">
        <f t="shared" si="5"/>
        <v>0</v>
      </c>
      <c r="M45" s="499">
        <f t="shared" si="3"/>
        <v>0</v>
      </c>
    </row>
    <row r="46" spans="1:13" ht="31.2" x14ac:dyDescent="0.3">
      <c r="A46" s="802" t="s">
        <v>169</v>
      </c>
      <c r="B46" s="803" t="s">
        <v>170</v>
      </c>
      <c r="C46" s="803" t="s">
        <v>171</v>
      </c>
      <c r="D46" s="26" t="s">
        <v>172</v>
      </c>
      <c r="E46" s="37">
        <f>E47</f>
        <v>39188</v>
      </c>
      <c r="F46" s="37">
        <f>F47</f>
        <v>39188</v>
      </c>
      <c r="G46" s="175">
        <f t="shared" si="1"/>
        <v>1</v>
      </c>
      <c r="H46" s="177">
        <v>0</v>
      </c>
      <c r="I46" s="8">
        <v>0</v>
      </c>
      <c r="J46" s="175"/>
      <c r="K46" s="178">
        <f t="shared" si="4"/>
        <v>39188</v>
      </c>
      <c r="L46" s="163">
        <f t="shared" si="5"/>
        <v>39188</v>
      </c>
      <c r="M46" s="499">
        <f t="shared" si="3"/>
        <v>1</v>
      </c>
    </row>
    <row r="47" spans="1:13" ht="16.2" x14ac:dyDescent="0.3">
      <c r="A47" s="802"/>
      <c r="B47" s="803"/>
      <c r="C47" s="803"/>
      <c r="D47" s="1030" t="s">
        <v>458</v>
      </c>
      <c r="E47" s="37">
        <v>39188</v>
      </c>
      <c r="F47" s="37">
        <v>39188</v>
      </c>
      <c r="G47" s="175">
        <f t="shared" si="1"/>
        <v>1</v>
      </c>
      <c r="H47" s="177"/>
      <c r="I47" s="8"/>
      <c r="J47" s="175"/>
      <c r="K47" s="178">
        <f>E47+H47</f>
        <v>39188</v>
      </c>
      <c r="L47" s="163">
        <f t="shared" si="5"/>
        <v>39188</v>
      </c>
      <c r="M47" s="499">
        <f t="shared" si="3"/>
        <v>1</v>
      </c>
    </row>
    <row r="48" spans="1:13" ht="46.8" x14ac:dyDescent="0.3">
      <c r="A48" s="46" t="s">
        <v>591</v>
      </c>
      <c r="B48" s="803">
        <v>8110</v>
      </c>
      <c r="C48" s="803" t="s">
        <v>35</v>
      </c>
      <c r="D48" s="26" t="s">
        <v>232</v>
      </c>
      <c r="E48" s="37">
        <f>E49</f>
        <v>1789685</v>
      </c>
      <c r="F48" s="37">
        <f>F49</f>
        <v>1450560</v>
      </c>
      <c r="G48" s="175">
        <f t="shared" si="1"/>
        <v>0.81051134696888005</v>
      </c>
      <c r="H48" s="177"/>
      <c r="I48" s="8"/>
      <c r="J48" s="175"/>
      <c r="K48" s="178">
        <f t="shared" ref="K48:K49" si="6">E48+H48</f>
        <v>1789685</v>
      </c>
      <c r="L48" s="163">
        <f t="shared" si="5"/>
        <v>1450560</v>
      </c>
      <c r="M48" s="499">
        <f t="shared" si="3"/>
        <v>0.81051134696888005</v>
      </c>
    </row>
    <row r="49" spans="1:13" ht="16.2" x14ac:dyDescent="0.3">
      <c r="A49" s="802"/>
      <c r="B49" s="803"/>
      <c r="C49" s="803"/>
      <c r="D49" s="1030" t="s">
        <v>458</v>
      </c>
      <c r="E49" s="37">
        <v>1789685</v>
      </c>
      <c r="F49" s="37">
        <v>1450560</v>
      </c>
      <c r="G49" s="175">
        <f t="shared" si="1"/>
        <v>0.81051134696888005</v>
      </c>
      <c r="H49" s="177"/>
      <c r="I49" s="8"/>
      <c r="J49" s="175"/>
      <c r="K49" s="178">
        <f t="shared" si="6"/>
        <v>1789685</v>
      </c>
      <c r="L49" s="163">
        <f t="shared" si="5"/>
        <v>1450560</v>
      </c>
      <c r="M49" s="499">
        <f t="shared" si="3"/>
        <v>0.81051134696888005</v>
      </c>
    </row>
    <row r="50" spans="1:13" ht="31.2" x14ac:dyDescent="0.3">
      <c r="A50" s="802" t="s">
        <v>33</v>
      </c>
      <c r="B50" s="803" t="s">
        <v>34</v>
      </c>
      <c r="C50" s="803" t="s">
        <v>35</v>
      </c>
      <c r="D50" s="26" t="s">
        <v>36</v>
      </c>
      <c r="E50" s="37">
        <f>E51</f>
        <v>6000</v>
      </c>
      <c r="F50" s="37">
        <f>F51</f>
        <v>5606.09</v>
      </c>
      <c r="G50" s="175">
        <f t="shared" si="1"/>
        <v>0.93434833333333334</v>
      </c>
      <c r="H50" s="177">
        <v>0</v>
      </c>
      <c r="I50" s="8">
        <v>0</v>
      </c>
      <c r="J50" s="175"/>
      <c r="K50" s="178">
        <f t="shared" si="4"/>
        <v>6000</v>
      </c>
      <c r="L50" s="163">
        <f t="shared" si="5"/>
        <v>5606.09</v>
      </c>
      <c r="M50" s="499">
        <f t="shared" si="3"/>
        <v>0.93434833333333334</v>
      </c>
    </row>
    <row r="51" spans="1:13" ht="16.2" x14ac:dyDescent="0.3">
      <c r="A51" s="802"/>
      <c r="B51" s="803"/>
      <c r="C51" s="803"/>
      <c r="D51" s="1030" t="s">
        <v>458</v>
      </c>
      <c r="E51" s="37">
        <v>6000</v>
      </c>
      <c r="F51" s="37">
        <v>5606.09</v>
      </c>
      <c r="G51" s="175">
        <f t="shared" si="1"/>
        <v>0.93434833333333334</v>
      </c>
      <c r="H51" s="177"/>
      <c r="I51" s="8"/>
      <c r="J51" s="175"/>
      <c r="K51" s="178">
        <f t="shared" si="4"/>
        <v>6000</v>
      </c>
      <c r="L51" s="163">
        <f t="shared" si="5"/>
        <v>5606.09</v>
      </c>
      <c r="M51" s="499">
        <f t="shared" si="3"/>
        <v>0.93434833333333334</v>
      </c>
    </row>
    <row r="52" spans="1:13" ht="31.2" x14ac:dyDescent="0.3">
      <c r="A52" s="802" t="s">
        <v>155</v>
      </c>
      <c r="B52" s="803" t="s">
        <v>173</v>
      </c>
      <c r="C52" s="803" t="s">
        <v>35</v>
      </c>
      <c r="D52" s="26" t="s">
        <v>156</v>
      </c>
      <c r="E52" s="37">
        <f>E53</f>
        <v>18132201</v>
      </c>
      <c r="F52" s="37">
        <f>F53</f>
        <v>17079170.640000001</v>
      </c>
      <c r="G52" s="175">
        <f t="shared" si="1"/>
        <v>0.94192484629968531</v>
      </c>
      <c r="H52" s="177">
        <f>H53+H54</f>
        <v>900000</v>
      </c>
      <c r="I52" s="177">
        <f>I53+I54</f>
        <v>900000</v>
      </c>
      <c r="J52" s="175">
        <f t="shared" si="2"/>
        <v>1</v>
      </c>
      <c r="K52" s="178">
        <f>E52+H52</f>
        <v>19032201</v>
      </c>
      <c r="L52" s="163">
        <f t="shared" si="5"/>
        <v>17979170.640000001</v>
      </c>
      <c r="M52" s="499">
        <f t="shared" si="3"/>
        <v>0.94467112027663014</v>
      </c>
    </row>
    <row r="53" spans="1:13" ht="16.2" x14ac:dyDescent="0.3">
      <c r="A53" s="802"/>
      <c r="B53" s="803"/>
      <c r="C53" s="803"/>
      <c r="D53" s="1030" t="s">
        <v>458</v>
      </c>
      <c r="E53" s="37">
        <v>18132201</v>
      </c>
      <c r="F53" s="37">
        <v>17079170.640000001</v>
      </c>
      <c r="G53" s="175">
        <f t="shared" si="1"/>
        <v>0.94192484629968531</v>
      </c>
      <c r="H53" s="177"/>
      <c r="I53" s="8"/>
      <c r="J53" s="175"/>
      <c r="K53" s="178">
        <f t="shared" si="4"/>
        <v>18132201</v>
      </c>
      <c r="L53" s="163">
        <f t="shared" si="5"/>
        <v>17079170.640000001</v>
      </c>
      <c r="M53" s="499">
        <f t="shared" si="3"/>
        <v>0.94192484629968531</v>
      </c>
    </row>
    <row r="54" spans="1:13" ht="16.2" x14ac:dyDescent="0.3">
      <c r="A54" s="802"/>
      <c r="B54" s="803"/>
      <c r="C54" s="803"/>
      <c r="D54" s="1030" t="s">
        <v>461</v>
      </c>
      <c r="E54" s="37"/>
      <c r="F54" s="37"/>
      <c r="G54" s="175"/>
      <c r="H54" s="177">
        <f>H55</f>
        <v>900000</v>
      </c>
      <c r="I54" s="177">
        <f>I55</f>
        <v>900000</v>
      </c>
      <c r="J54" s="175">
        <f t="shared" si="2"/>
        <v>1</v>
      </c>
      <c r="K54" s="178">
        <f t="shared" si="4"/>
        <v>900000</v>
      </c>
      <c r="L54" s="163">
        <f t="shared" si="5"/>
        <v>900000</v>
      </c>
      <c r="M54" s="499">
        <f t="shared" si="3"/>
        <v>1</v>
      </c>
    </row>
    <row r="55" spans="1:13" x14ac:dyDescent="0.3">
      <c r="A55" s="802"/>
      <c r="B55" s="803"/>
      <c r="C55" s="803"/>
      <c r="D55" s="1031" t="s">
        <v>462</v>
      </c>
      <c r="E55" s="37"/>
      <c r="F55" s="37"/>
      <c r="G55" s="175"/>
      <c r="H55" s="177">
        <v>900000</v>
      </c>
      <c r="I55" s="8">
        <v>900000</v>
      </c>
      <c r="J55" s="175">
        <f t="shared" si="2"/>
        <v>1</v>
      </c>
      <c r="K55" s="178">
        <f>E55+H55</f>
        <v>900000</v>
      </c>
      <c r="L55" s="163">
        <f t="shared" si="5"/>
        <v>900000</v>
      </c>
      <c r="M55" s="499">
        <f t="shared" si="3"/>
        <v>1</v>
      </c>
    </row>
    <row r="56" spans="1:13" x14ac:dyDescent="0.3">
      <c r="A56" s="802" t="s">
        <v>155</v>
      </c>
      <c r="B56" s="803">
        <v>8240</v>
      </c>
      <c r="C56" s="803" t="s">
        <v>35</v>
      </c>
      <c r="D56" s="1031" t="s">
        <v>641</v>
      </c>
      <c r="E56" s="37">
        <f>E57</f>
        <v>183976</v>
      </c>
      <c r="F56" s="37">
        <f>F57</f>
        <v>183792.22</v>
      </c>
      <c r="G56" s="175">
        <f t="shared" si="1"/>
        <v>0.9990010653563508</v>
      </c>
      <c r="H56" s="177"/>
      <c r="I56" s="8"/>
      <c r="J56" s="175"/>
      <c r="K56" s="178">
        <f t="shared" ref="K56:K57" si="7">E56+H56</f>
        <v>183976</v>
      </c>
      <c r="L56" s="163">
        <f t="shared" si="5"/>
        <v>183792.22</v>
      </c>
      <c r="M56" s="499">
        <f t="shared" si="3"/>
        <v>0.9990010653563508</v>
      </c>
    </row>
    <row r="57" spans="1:13" ht="16.2" x14ac:dyDescent="0.3">
      <c r="A57" s="802"/>
      <c r="B57" s="803"/>
      <c r="C57" s="803"/>
      <c r="D57" s="1030" t="s">
        <v>458</v>
      </c>
      <c r="E57" s="37">
        <v>183976</v>
      </c>
      <c r="F57" s="37">
        <v>183792.22</v>
      </c>
      <c r="G57" s="175">
        <f t="shared" si="1"/>
        <v>0.9990010653563508</v>
      </c>
      <c r="H57" s="177"/>
      <c r="I57" s="8"/>
      <c r="J57" s="175"/>
      <c r="K57" s="178">
        <f t="shared" si="7"/>
        <v>183976</v>
      </c>
      <c r="L57" s="163">
        <f t="shared" si="5"/>
        <v>183792.22</v>
      </c>
      <c r="M57" s="499">
        <f t="shared" si="3"/>
        <v>0.9990010653563508</v>
      </c>
    </row>
    <row r="58" spans="1:13" ht="31.2" x14ac:dyDescent="0.3">
      <c r="A58" s="802" t="s">
        <v>37</v>
      </c>
      <c r="B58" s="803" t="s">
        <v>38</v>
      </c>
      <c r="C58" s="803" t="s">
        <v>39</v>
      </c>
      <c r="D58" s="26" t="s">
        <v>40</v>
      </c>
      <c r="E58" s="37">
        <f>E59</f>
        <v>3379702</v>
      </c>
      <c r="F58" s="37">
        <f>F59</f>
        <v>3336552.22</v>
      </c>
      <c r="G58" s="175">
        <f t="shared" si="1"/>
        <v>0.98723266725882941</v>
      </c>
      <c r="H58" s="177">
        <v>0</v>
      </c>
      <c r="I58" s="8">
        <v>0</v>
      </c>
      <c r="J58" s="175"/>
      <c r="K58" s="178">
        <f t="shared" si="4"/>
        <v>3379702</v>
      </c>
      <c r="L58" s="163">
        <f t="shared" si="5"/>
        <v>3336552.22</v>
      </c>
      <c r="M58" s="499">
        <f t="shared" si="3"/>
        <v>0.98723266725882941</v>
      </c>
    </row>
    <row r="59" spans="1:13" ht="16.2" x14ac:dyDescent="0.3">
      <c r="A59" s="802"/>
      <c r="B59" s="803"/>
      <c r="C59" s="803"/>
      <c r="D59" s="1030" t="s">
        <v>458</v>
      </c>
      <c r="E59" s="37">
        <v>3379702</v>
      </c>
      <c r="F59" s="37">
        <v>3336552.22</v>
      </c>
      <c r="G59" s="175">
        <f t="shared" si="1"/>
        <v>0.98723266725882941</v>
      </c>
      <c r="H59" s="177"/>
      <c r="I59" s="8"/>
      <c r="J59" s="175"/>
      <c r="K59" s="178">
        <f t="shared" si="4"/>
        <v>3379702</v>
      </c>
      <c r="L59" s="163">
        <f t="shared" si="5"/>
        <v>3336552.22</v>
      </c>
      <c r="M59" s="499">
        <f t="shared" si="3"/>
        <v>0.98723266725882941</v>
      </c>
    </row>
    <row r="60" spans="1:13" ht="45.75" customHeight="1" x14ac:dyDescent="0.3">
      <c r="A60" s="46" t="s">
        <v>503</v>
      </c>
      <c r="B60" s="803">
        <v>9800</v>
      </c>
      <c r="C60" s="45" t="s">
        <v>219</v>
      </c>
      <c r="D60" s="26" t="s">
        <v>504</v>
      </c>
      <c r="E60" s="37">
        <f>E61</f>
        <v>40892364</v>
      </c>
      <c r="F60" s="37">
        <f>F61</f>
        <v>40818430.039999999</v>
      </c>
      <c r="G60" s="175">
        <f t="shared" si="1"/>
        <v>0.99819198616152394</v>
      </c>
      <c r="H60" s="177">
        <f>H62</f>
        <v>55278400</v>
      </c>
      <c r="I60" s="177">
        <f>I62</f>
        <v>47553142.350000001</v>
      </c>
      <c r="J60" s="175">
        <f t="shared" si="2"/>
        <v>0.86024816836232598</v>
      </c>
      <c r="K60" s="178">
        <f t="shared" si="4"/>
        <v>96170764</v>
      </c>
      <c r="L60" s="163">
        <f t="shared" si="5"/>
        <v>88371572.390000001</v>
      </c>
      <c r="M60" s="499">
        <f t="shared" si="3"/>
        <v>0.9189026759733343</v>
      </c>
    </row>
    <row r="61" spans="1:13" ht="16.2" x14ac:dyDescent="0.3">
      <c r="A61" s="802"/>
      <c r="B61" s="803"/>
      <c r="C61" s="803"/>
      <c r="D61" s="1030" t="s">
        <v>458</v>
      </c>
      <c r="E61" s="37">
        <v>40892364</v>
      </c>
      <c r="F61" s="37">
        <v>40818430.039999999</v>
      </c>
      <c r="G61" s="175">
        <f t="shared" si="1"/>
        <v>0.99819198616152394</v>
      </c>
      <c r="H61" s="177"/>
      <c r="I61" s="8"/>
      <c r="J61" s="175"/>
      <c r="K61" s="178">
        <f t="shared" si="4"/>
        <v>40892364</v>
      </c>
      <c r="L61" s="163">
        <f t="shared" si="5"/>
        <v>40818430.039999999</v>
      </c>
      <c r="M61" s="499">
        <f t="shared" si="3"/>
        <v>0.99819198616152394</v>
      </c>
    </row>
    <row r="62" spans="1:13" ht="16.2" x14ac:dyDescent="0.3">
      <c r="A62" s="802"/>
      <c r="B62" s="803"/>
      <c r="C62" s="803"/>
      <c r="D62" s="1030" t="s">
        <v>461</v>
      </c>
      <c r="E62" s="37"/>
      <c r="F62" s="37"/>
      <c r="G62" s="175"/>
      <c r="H62" s="177">
        <f>H63</f>
        <v>55278400</v>
      </c>
      <c r="I62" s="177">
        <f>I63</f>
        <v>47553142.350000001</v>
      </c>
      <c r="J62" s="175">
        <f t="shared" si="2"/>
        <v>0.86024816836232598</v>
      </c>
      <c r="K62" s="178">
        <f t="shared" si="4"/>
        <v>55278400</v>
      </c>
      <c r="L62" s="163">
        <f t="shared" si="5"/>
        <v>47553142.350000001</v>
      </c>
      <c r="M62" s="499">
        <f t="shared" si="3"/>
        <v>0.86024816836232598</v>
      </c>
    </row>
    <row r="63" spans="1:13" ht="16.2" thickBot="1" x14ac:dyDescent="0.35">
      <c r="A63" s="35"/>
      <c r="B63" s="36"/>
      <c r="C63" s="36"/>
      <c r="D63" s="1032" t="s">
        <v>462</v>
      </c>
      <c r="E63" s="38"/>
      <c r="F63" s="38"/>
      <c r="G63" s="176"/>
      <c r="H63" s="179">
        <v>55278400</v>
      </c>
      <c r="I63" s="14">
        <v>47553142.350000001</v>
      </c>
      <c r="J63" s="176">
        <f t="shared" si="2"/>
        <v>0.86024816836232598</v>
      </c>
      <c r="K63" s="180">
        <f t="shared" si="4"/>
        <v>55278400</v>
      </c>
      <c r="L63" s="171">
        <f t="shared" si="5"/>
        <v>47553142.350000001</v>
      </c>
      <c r="M63" s="500">
        <f t="shared" si="3"/>
        <v>0.86024816836232598</v>
      </c>
    </row>
    <row r="64" spans="1:13" ht="47.4" thickBot="1" x14ac:dyDescent="0.35">
      <c r="A64" s="32" t="s">
        <v>41</v>
      </c>
      <c r="B64" s="33" t="s">
        <v>14</v>
      </c>
      <c r="C64" s="33" t="s">
        <v>14</v>
      </c>
      <c r="D64" s="34" t="s">
        <v>42</v>
      </c>
      <c r="E64" s="47">
        <f>E65</f>
        <v>242903673</v>
      </c>
      <c r="F64" s="47">
        <f>F65</f>
        <v>237644941.73000002</v>
      </c>
      <c r="G64" s="485">
        <f t="shared" si="1"/>
        <v>0.9783505485732199</v>
      </c>
      <c r="H64" s="47">
        <f>H65</f>
        <v>15622324</v>
      </c>
      <c r="I64" s="47">
        <f>I65</f>
        <v>10661598.379999999</v>
      </c>
      <c r="J64" s="485">
        <f t="shared" si="2"/>
        <v>0.68245917700849112</v>
      </c>
      <c r="K64" s="12">
        <f>K65</f>
        <v>258525997</v>
      </c>
      <c r="L64" s="12">
        <f>L65</f>
        <v>248306540.11000001</v>
      </c>
      <c r="M64" s="480">
        <f t="shared" si="3"/>
        <v>0.96047029309009879</v>
      </c>
    </row>
    <row r="65" spans="1:13" s="29" customFormat="1" ht="30" customHeight="1" thickBot="1" x14ac:dyDescent="0.35">
      <c r="A65" s="837" t="s">
        <v>43</v>
      </c>
      <c r="B65" s="836" t="s">
        <v>14</v>
      </c>
      <c r="C65" s="836" t="s">
        <v>14</v>
      </c>
      <c r="D65" s="1036" t="s">
        <v>42</v>
      </c>
      <c r="E65" s="1040">
        <f>E66+E70+E76+E81+E84+E90+E94+E96+E100+E103+E115+E118+E125+E112+E107+E123</f>
        <v>242903673</v>
      </c>
      <c r="F65" s="1040">
        <f>F66+F70+F76+F81+F84+F90+F94+F96+F100+F103+F115+F118+F125+F112+F107+F123</f>
        <v>237644941.73000002</v>
      </c>
      <c r="G65" s="173">
        <f t="shared" si="1"/>
        <v>0.9783505485732199</v>
      </c>
      <c r="H65" s="1040">
        <f>H66+H70+H76+H81+H84+H90+H94+H96+H100+H103+H115+H118+H120+H109+H123</f>
        <v>15622324</v>
      </c>
      <c r="I65" s="1040">
        <f>I66+I70+I76+I81+I84+I90+I94+I96+I100+I103+I115+I118+I120+I109</f>
        <v>10661598.379999999</v>
      </c>
      <c r="J65" s="173">
        <f t="shared" si="2"/>
        <v>0.68245917700849112</v>
      </c>
      <c r="K65" s="1041">
        <f>K66+K70+K76+K81+K84+K90+K94+K96+K100+K103+K115+K118+K120+K125+K112+K107+K109+K123</f>
        <v>258525997</v>
      </c>
      <c r="L65" s="1041">
        <f>L66+L70+L76+L81+L84+L90+L94+L96+L100+L103+L115+L118+L120+L125+L112+L107+L109+L123</f>
        <v>248306540.11000001</v>
      </c>
      <c r="M65" s="182">
        <f t="shared" si="3"/>
        <v>0.96047029309009879</v>
      </c>
    </row>
    <row r="66" spans="1:13" ht="46.8" x14ac:dyDescent="0.3">
      <c r="A66" s="838" t="s">
        <v>174</v>
      </c>
      <c r="B66" s="839" t="s">
        <v>44</v>
      </c>
      <c r="C66" s="839" t="s">
        <v>17</v>
      </c>
      <c r="D66" s="1035" t="s">
        <v>175</v>
      </c>
      <c r="E66" s="39">
        <f>E67</f>
        <v>4306803</v>
      </c>
      <c r="F66" s="39">
        <f>F67</f>
        <v>4204656.09</v>
      </c>
      <c r="G66" s="174">
        <f t="shared" si="1"/>
        <v>0.97628242805626353</v>
      </c>
      <c r="H66" s="540">
        <v>0</v>
      </c>
      <c r="I66" s="540">
        <v>0</v>
      </c>
      <c r="J66" s="174"/>
      <c r="K66" s="540">
        <f>E66+H66</f>
        <v>4306803</v>
      </c>
      <c r="L66" s="540">
        <f>F66+I66</f>
        <v>4204656.09</v>
      </c>
      <c r="M66" s="498">
        <f t="shared" si="3"/>
        <v>0.97628242805626353</v>
      </c>
    </row>
    <row r="67" spans="1:13" ht="16.2" x14ac:dyDescent="0.3">
      <c r="A67" s="802"/>
      <c r="B67" s="803"/>
      <c r="C67" s="803"/>
      <c r="D67" s="1030" t="s">
        <v>458</v>
      </c>
      <c r="E67" s="37">
        <v>4306803</v>
      </c>
      <c r="F67" s="37">
        <v>4204656.09</v>
      </c>
      <c r="G67" s="175">
        <f t="shared" si="1"/>
        <v>0.97628242805626353</v>
      </c>
      <c r="H67" s="8"/>
      <c r="I67" s="8"/>
      <c r="J67" s="175"/>
      <c r="K67" s="8">
        <f t="shared" ref="K67:K128" si="8">E67+H67</f>
        <v>4306803</v>
      </c>
      <c r="L67" s="8">
        <f t="shared" ref="L67:L128" si="9">F67+I67</f>
        <v>4204656.09</v>
      </c>
      <c r="M67" s="499">
        <f t="shared" si="3"/>
        <v>0.97628242805626353</v>
      </c>
    </row>
    <row r="68" spans="1:13" x14ac:dyDescent="0.3">
      <c r="A68" s="802"/>
      <c r="B68" s="803"/>
      <c r="C68" s="803"/>
      <c r="D68" s="1031" t="s">
        <v>459</v>
      </c>
      <c r="E68" s="37">
        <v>3592103</v>
      </c>
      <c r="F68" s="37">
        <v>3560668.78</v>
      </c>
      <c r="G68" s="175">
        <f t="shared" si="1"/>
        <v>0.99124907609831892</v>
      </c>
      <c r="H68" s="8"/>
      <c r="I68" s="8"/>
      <c r="J68" s="175"/>
      <c r="K68" s="8">
        <f t="shared" si="8"/>
        <v>3592103</v>
      </c>
      <c r="L68" s="8">
        <f t="shared" si="9"/>
        <v>3560668.78</v>
      </c>
      <c r="M68" s="499">
        <f t="shared" si="3"/>
        <v>0.99124907609831892</v>
      </c>
    </row>
    <row r="69" spans="1:13" ht="31.2" x14ac:dyDescent="0.3">
      <c r="A69" s="802"/>
      <c r="B69" s="803"/>
      <c r="C69" s="803"/>
      <c r="D69" s="1031" t="s">
        <v>460</v>
      </c>
      <c r="E69" s="37">
        <v>157733</v>
      </c>
      <c r="F69" s="37">
        <v>150324.70000000001</v>
      </c>
      <c r="G69" s="175">
        <f t="shared" si="1"/>
        <v>0.95303265645109148</v>
      </c>
      <c r="H69" s="8"/>
      <c r="I69" s="8"/>
      <c r="J69" s="175"/>
      <c r="K69" s="8">
        <f t="shared" si="8"/>
        <v>157733</v>
      </c>
      <c r="L69" s="8">
        <f t="shared" si="9"/>
        <v>150324.70000000001</v>
      </c>
      <c r="M69" s="499">
        <f t="shared" si="3"/>
        <v>0.95303265645109148</v>
      </c>
    </row>
    <row r="70" spans="1:13" x14ac:dyDescent="0.3">
      <c r="A70" s="802" t="s">
        <v>45</v>
      </c>
      <c r="B70" s="803" t="s">
        <v>46</v>
      </c>
      <c r="C70" s="803" t="s">
        <v>47</v>
      </c>
      <c r="D70" s="26" t="s">
        <v>48</v>
      </c>
      <c r="E70" s="37">
        <f>E71</f>
        <v>76597717</v>
      </c>
      <c r="F70" s="37">
        <f>F71</f>
        <v>75322712.469999999</v>
      </c>
      <c r="G70" s="175">
        <f t="shared" si="1"/>
        <v>0.9833545361410706</v>
      </c>
      <c r="H70" s="8">
        <f>H71+H74</f>
        <v>2882033</v>
      </c>
      <c r="I70" s="8">
        <f>I71+I74</f>
        <v>2919119.49</v>
      </c>
      <c r="J70" s="175">
        <f t="shared" si="2"/>
        <v>1.0128681697954187</v>
      </c>
      <c r="K70" s="8">
        <f t="shared" si="8"/>
        <v>79479750</v>
      </c>
      <c r="L70" s="8">
        <f t="shared" si="9"/>
        <v>78241831.959999993</v>
      </c>
      <c r="M70" s="499">
        <f t="shared" si="3"/>
        <v>0.98442473661530128</v>
      </c>
    </row>
    <row r="71" spans="1:13" ht="16.2" x14ac:dyDescent="0.3">
      <c r="A71" s="802"/>
      <c r="B71" s="803"/>
      <c r="C71" s="803"/>
      <c r="D71" s="1030" t="s">
        <v>458</v>
      </c>
      <c r="E71" s="37">
        <v>76597717</v>
      </c>
      <c r="F71" s="37">
        <v>75322712.469999999</v>
      </c>
      <c r="G71" s="175">
        <f t="shared" si="1"/>
        <v>0.9833545361410706</v>
      </c>
      <c r="H71" s="8">
        <v>2382283</v>
      </c>
      <c r="I71" s="8">
        <f>2247199.62+211919.87</f>
        <v>2459119.4900000002</v>
      </c>
      <c r="J71" s="175">
        <f t="shared" si="2"/>
        <v>1.0322533007203596</v>
      </c>
      <c r="K71" s="8">
        <f t="shared" si="8"/>
        <v>78980000</v>
      </c>
      <c r="L71" s="8">
        <f t="shared" si="9"/>
        <v>77781831.959999993</v>
      </c>
      <c r="M71" s="499">
        <f t="shared" si="3"/>
        <v>0.98482947531020504</v>
      </c>
    </row>
    <row r="72" spans="1:13" x14ac:dyDescent="0.3">
      <c r="A72" s="802"/>
      <c r="B72" s="803"/>
      <c r="C72" s="803"/>
      <c r="D72" s="1031" t="s">
        <v>459</v>
      </c>
      <c r="E72" s="37">
        <v>56666499</v>
      </c>
      <c r="F72" s="37">
        <v>56307202.060000002</v>
      </c>
      <c r="G72" s="175">
        <f t="shared" si="1"/>
        <v>0.99365944700412856</v>
      </c>
      <c r="H72" s="8"/>
      <c r="I72" s="8"/>
      <c r="J72" s="175"/>
      <c r="K72" s="8">
        <f t="shared" si="8"/>
        <v>56666499</v>
      </c>
      <c r="L72" s="8">
        <f t="shared" si="9"/>
        <v>56307202.060000002</v>
      </c>
      <c r="M72" s="499">
        <f t="shared" si="3"/>
        <v>0.99365944700412856</v>
      </c>
    </row>
    <row r="73" spans="1:13" ht="31.2" x14ac:dyDescent="0.3">
      <c r="A73" s="802"/>
      <c r="B73" s="803"/>
      <c r="C73" s="803"/>
      <c r="D73" s="1031" t="s">
        <v>460</v>
      </c>
      <c r="E73" s="37">
        <v>8935564</v>
      </c>
      <c r="F73" s="37">
        <v>8294640.1900000004</v>
      </c>
      <c r="G73" s="175">
        <f t="shared" si="1"/>
        <v>0.92827270779997773</v>
      </c>
      <c r="H73" s="8"/>
      <c r="I73" s="8"/>
      <c r="J73" s="175"/>
      <c r="K73" s="8">
        <f t="shared" si="8"/>
        <v>8935564</v>
      </c>
      <c r="L73" s="8">
        <f t="shared" si="9"/>
        <v>8294640.1900000004</v>
      </c>
      <c r="M73" s="499">
        <f t="shared" si="3"/>
        <v>0.92827270779997773</v>
      </c>
    </row>
    <row r="74" spans="1:13" ht="16.2" x14ac:dyDescent="0.3">
      <c r="A74" s="802"/>
      <c r="B74" s="803"/>
      <c r="C74" s="803"/>
      <c r="D74" s="1030" t="s">
        <v>461</v>
      </c>
      <c r="E74" s="37"/>
      <c r="F74" s="37"/>
      <c r="G74" s="175"/>
      <c r="H74" s="8">
        <f>H75</f>
        <v>499750</v>
      </c>
      <c r="I74" s="8">
        <f>I75</f>
        <v>460000</v>
      </c>
      <c r="J74" s="175">
        <f t="shared" si="2"/>
        <v>0.92046023011505751</v>
      </c>
      <c r="K74" s="8">
        <f t="shared" si="8"/>
        <v>499750</v>
      </c>
      <c r="L74" s="8">
        <f t="shared" si="9"/>
        <v>460000</v>
      </c>
      <c r="M74" s="499">
        <f t="shared" si="3"/>
        <v>0.92046023011505751</v>
      </c>
    </row>
    <row r="75" spans="1:13" x14ac:dyDescent="0.3">
      <c r="A75" s="802"/>
      <c r="B75" s="803"/>
      <c r="C75" s="803"/>
      <c r="D75" s="1031" t="s">
        <v>462</v>
      </c>
      <c r="E75" s="37"/>
      <c r="F75" s="37"/>
      <c r="G75" s="175"/>
      <c r="H75" s="8">
        <v>499750</v>
      </c>
      <c r="I75" s="8">
        <v>460000</v>
      </c>
      <c r="J75" s="175">
        <f t="shared" si="2"/>
        <v>0.92046023011505751</v>
      </c>
      <c r="K75" s="8">
        <f t="shared" si="8"/>
        <v>499750</v>
      </c>
      <c r="L75" s="8">
        <f t="shared" si="9"/>
        <v>460000</v>
      </c>
      <c r="M75" s="499">
        <f t="shared" si="3"/>
        <v>0.92046023011505751</v>
      </c>
    </row>
    <row r="76" spans="1:13" ht="31.2" x14ac:dyDescent="0.3">
      <c r="A76" s="802" t="s">
        <v>49</v>
      </c>
      <c r="B76" s="803" t="s">
        <v>50</v>
      </c>
      <c r="C76" s="803" t="s">
        <v>51</v>
      </c>
      <c r="D76" s="26" t="s">
        <v>52</v>
      </c>
      <c r="E76" s="37">
        <f>E77</f>
        <v>67153871</v>
      </c>
      <c r="F76" s="37">
        <f>F77</f>
        <v>64313387.049999997</v>
      </c>
      <c r="G76" s="175">
        <f t="shared" si="1"/>
        <v>0.95770185831878551</v>
      </c>
      <c r="H76" s="8">
        <f>H77</f>
        <v>6581445</v>
      </c>
      <c r="I76" s="8">
        <f>I77+I80</f>
        <v>4830611.3899999997</v>
      </c>
      <c r="J76" s="175">
        <f t="shared" si="2"/>
        <v>0.73397428528233533</v>
      </c>
      <c r="K76" s="8">
        <f t="shared" si="8"/>
        <v>73735316</v>
      </c>
      <c r="L76" s="8">
        <f t="shared" si="9"/>
        <v>69143998.439999998</v>
      </c>
      <c r="M76" s="499">
        <f t="shared" si="3"/>
        <v>0.93773244885802076</v>
      </c>
    </row>
    <row r="77" spans="1:13" ht="16.2" x14ac:dyDescent="0.3">
      <c r="A77" s="802"/>
      <c r="B77" s="803"/>
      <c r="C77" s="803"/>
      <c r="D77" s="1030" t="s">
        <v>458</v>
      </c>
      <c r="E77" s="37">
        <v>67153871</v>
      </c>
      <c r="F77" s="37">
        <v>64313387.049999997</v>
      </c>
      <c r="G77" s="175">
        <f t="shared" si="1"/>
        <v>0.95770185831878551</v>
      </c>
      <c r="H77" s="8">
        <v>6581445</v>
      </c>
      <c r="I77" s="8">
        <v>4779080.7699999996</v>
      </c>
      <c r="J77" s="175">
        <f t="shared" si="2"/>
        <v>0.72614460350272614</v>
      </c>
      <c r="K77" s="8">
        <f t="shared" si="8"/>
        <v>73735316</v>
      </c>
      <c r="L77" s="8">
        <f t="shared" si="9"/>
        <v>69092467.819999993</v>
      </c>
      <c r="M77" s="499">
        <f t="shared" si="3"/>
        <v>0.93703358944037063</v>
      </c>
    </row>
    <row r="78" spans="1:13" x14ac:dyDescent="0.3">
      <c r="A78" s="802"/>
      <c r="B78" s="803"/>
      <c r="C78" s="803"/>
      <c r="D78" s="1031" t="s">
        <v>459</v>
      </c>
      <c r="E78" s="37">
        <v>30223425</v>
      </c>
      <c r="F78" s="37">
        <v>30126858.289999999</v>
      </c>
      <c r="G78" s="175">
        <f t="shared" si="1"/>
        <v>0.99680490513566877</v>
      </c>
      <c r="H78" s="8">
        <v>1183367</v>
      </c>
      <c r="I78" s="8">
        <v>990662.21</v>
      </c>
      <c r="J78" s="175">
        <f t="shared" si="2"/>
        <v>0.83715551473042593</v>
      </c>
      <c r="K78" s="8">
        <f t="shared" si="8"/>
        <v>31406792</v>
      </c>
      <c r="L78" s="8">
        <f t="shared" si="9"/>
        <v>31117520.5</v>
      </c>
      <c r="M78" s="499">
        <f t="shared" si="3"/>
        <v>0.99078952412586418</v>
      </c>
    </row>
    <row r="79" spans="1:13" ht="31.2" x14ac:dyDescent="0.3">
      <c r="A79" s="802"/>
      <c r="B79" s="803"/>
      <c r="C79" s="803"/>
      <c r="D79" s="1031" t="s">
        <v>460</v>
      </c>
      <c r="E79" s="37">
        <v>16485980</v>
      </c>
      <c r="F79" s="37">
        <v>14824208.34</v>
      </c>
      <c r="G79" s="175">
        <f t="shared" si="1"/>
        <v>0.89920091738556029</v>
      </c>
      <c r="H79" s="8">
        <v>55353</v>
      </c>
      <c r="I79" s="8">
        <v>49362.52</v>
      </c>
      <c r="J79" s="175">
        <f t="shared" si="2"/>
        <v>0.8917767781330731</v>
      </c>
      <c r="K79" s="8">
        <f t="shared" si="8"/>
        <v>16541333</v>
      </c>
      <c r="L79" s="8">
        <f t="shared" si="9"/>
        <v>14873570.859999999</v>
      </c>
      <c r="M79" s="499">
        <f t="shared" si="3"/>
        <v>0.89917607365742525</v>
      </c>
    </row>
    <row r="80" spans="1:13" ht="16.2" x14ac:dyDescent="0.3">
      <c r="A80" s="802"/>
      <c r="B80" s="803"/>
      <c r="C80" s="803"/>
      <c r="D80" s="1030" t="s">
        <v>461</v>
      </c>
      <c r="E80" s="37"/>
      <c r="F80" s="37"/>
      <c r="G80" s="175"/>
      <c r="H80" s="8">
        <v>0</v>
      </c>
      <c r="I80" s="8">
        <v>51530.62</v>
      </c>
      <c r="J80" s="175"/>
      <c r="K80" s="8">
        <f t="shared" si="8"/>
        <v>0</v>
      </c>
      <c r="L80" s="8">
        <f t="shared" si="9"/>
        <v>51530.62</v>
      </c>
      <c r="M80" s="499"/>
    </row>
    <row r="81" spans="1:13" ht="31.2" x14ac:dyDescent="0.3">
      <c r="A81" s="53" t="s">
        <v>176</v>
      </c>
      <c r="B81" s="54" t="s">
        <v>177</v>
      </c>
      <c r="C81" s="54" t="s">
        <v>51</v>
      </c>
      <c r="D81" s="26" t="s">
        <v>52</v>
      </c>
      <c r="E81" s="37">
        <f>E82</f>
        <v>75510600</v>
      </c>
      <c r="F81" s="37">
        <f>F82</f>
        <v>75510600</v>
      </c>
      <c r="G81" s="175">
        <f t="shared" si="1"/>
        <v>1</v>
      </c>
      <c r="H81" s="8">
        <v>0</v>
      </c>
      <c r="I81" s="8">
        <v>0</v>
      </c>
      <c r="J81" s="175"/>
      <c r="K81" s="8">
        <f t="shared" si="8"/>
        <v>75510600</v>
      </c>
      <c r="L81" s="8">
        <f t="shared" si="9"/>
        <v>75510600</v>
      </c>
      <c r="M81" s="499">
        <f t="shared" si="3"/>
        <v>1</v>
      </c>
    </row>
    <row r="82" spans="1:13" ht="16.2" x14ac:dyDescent="0.3">
      <c r="A82" s="53"/>
      <c r="B82" s="54"/>
      <c r="C82" s="54"/>
      <c r="D82" s="1030" t="s">
        <v>458</v>
      </c>
      <c r="E82" s="37">
        <f>E83</f>
        <v>75510600</v>
      </c>
      <c r="F82" s="8">
        <f>F83</f>
        <v>75510600</v>
      </c>
      <c r="G82" s="175">
        <f t="shared" si="1"/>
        <v>1</v>
      </c>
      <c r="H82" s="8">
        <v>0</v>
      </c>
      <c r="I82" s="8">
        <v>0</v>
      </c>
      <c r="J82" s="175"/>
      <c r="K82" s="8">
        <f t="shared" si="8"/>
        <v>75510600</v>
      </c>
      <c r="L82" s="8">
        <f t="shared" si="9"/>
        <v>75510600</v>
      </c>
      <c r="M82" s="499">
        <f t="shared" si="3"/>
        <v>1</v>
      </c>
    </row>
    <row r="83" spans="1:13" x14ac:dyDescent="0.3">
      <c r="A83" s="53"/>
      <c r="B83" s="54"/>
      <c r="C83" s="54"/>
      <c r="D83" s="1031" t="s">
        <v>459</v>
      </c>
      <c r="E83" s="37">
        <v>75510600</v>
      </c>
      <c r="F83" s="8">
        <v>75510600</v>
      </c>
      <c r="G83" s="175">
        <f t="shared" si="1"/>
        <v>1</v>
      </c>
      <c r="H83" s="8">
        <v>0</v>
      </c>
      <c r="I83" s="8">
        <v>0</v>
      </c>
      <c r="J83" s="175"/>
      <c r="K83" s="8">
        <f t="shared" si="8"/>
        <v>75510600</v>
      </c>
      <c r="L83" s="8">
        <f t="shared" si="9"/>
        <v>75510600</v>
      </c>
      <c r="M83" s="499">
        <f t="shared" si="3"/>
        <v>1</v>
      </c>
    </row>
    <row r="84" spans="1:13" ht="46.8" x14ac:dyDescent="0.3">
      <c r="A84" s="802" t="s">
        <v>53</v>
      </c>
      <c r="B84" s="803" t="s">
        <v>54</v>
      </c>
      <c r="C84" s="803" t="s">
        <v>55</v>
      </c>
      <c r="D84" s="26" t="s">
        <v>56</v>
      </c>
      <c r="E84" s="37">
        <f>E85</f>
        <v>5555685</v>
      </c>
      <c r="F84" s="37">
        <f>F85</f>
        <v>5015490.38</v>
      </c>
      <c r="G84" s="175">
        <f t="shared" si="1"/>
        <v>0.9027672339234496</v>
      </c>
      <c r="H84" s="8">
        <f>H88+H89</f>
        <v>0</v>
      </c>
      <c r="I84" s="8">
        <f>I88+I89</f>
        <v>222895</v>
      </c>
      <c r="J84" s="175"/>
      <c r="K84" s="8">
        <f t="shared" si="8"/>
        <v>5555685</v>
      </c>
      <c r="L84" s="8">
        <f t="shared" si="9"/>
        <v>5238385.38</v>
      </c>
      <c r="M84" s="499">
        <f t="shared" si="3"/>
        <v>0.94288739912360042</v>
      </c>
    </row>
    <row r="85" spans="1:13" ht="16.2" x14ac:dyDescent="0.3">
      <c r="A85" s="802"/>
      <c r="B85" s="803"/>
      <c r="C85" s="803"/>
      <c r="D85" s="1030" t="s">
        <v>458</v>
      </c>
      <c r="E85" s="37">
        <v>5555685</v>
      </c>
      <c r="F85" s="37">
        <v>5015490.38</v>
      </c>
      <c r="G85" s="175">
        <f t="shared" si="1"/>
        <v>0.9027672339234496</v>
      </c>
      <c r="H85" s="8">
        <v>0</v>
      </c>
      <c r="I85" s="8">
        <v>0</v>
      </c>
      <c r="J85" s="175"/>
      <c r="K85" s="8">
        <f t="shared" si="8"/>
        <v>5555685</v>
      </c>
      <c r="L85" s="8">
        <f t="shared" si="9"/>
        <v>5015490.38</v>
      </c>
      <c r="M85" s="499">
        <f t="shared" si="3"/>
        <v>0.9027672339234496</v>
      </c>
    </row>
    <row r="86" spans="1:13" x14ac:dyDescent="0.3">
      <c r="A86" s="802"/>
      <c r="B86" s="803"/>
      <c r="C86" s="803"/>
      <c r="D86" s="1031" t="s">
        <v>459</v>
      </c>
      <c r="E86" s="37">
        <v>4804311</v>
      </c>
      <c r="F86" s="37">
        <v>4393061.25</v>
      </c>
      <c r="G86" s="175">
        <f t="shared" si="1"/>
        <v>0.91439984838616817</v>
      </c>
      <c r="H86" s="8">
        <v>0</v>
      </c>
      <c r="I86" s="8">
        <v>0</v>
      </c>
      <c r="J86" s="175"/>
      <c r="K86" s="8">
        <f t="shared" si="8"/>
        <v>4804311</v>
      </c>
      <c r="L86" s="8">
        <f t="shared" si="9"/>
        <v>4393061.25</v>
      </c>
      <c r="M86" s="499">
        <f t="shared" si="3"/>
        <v>0.91439984838616817</v>
      </c>
    </row>
    <row r="87" spans="1:13" ht="31.2" x14ac:dyDescent="0.3">
      <c r="A87" s="802"/>
      <c r="B87" s="803"/>
      <c r="C87" s="803"/>
      <c r="D87" s="1031" t="s">
        <v>460</v>
      </c>
      <c r="E87" s="37">
        <v>330413</v>
      </c>
      <c r="F87" s="37">
        <v>226007.11</v>
      </c>
      <c r="G87" s="175">
        <f t="shared" si="1"/>
        <v>0.68401397644765793</v>
      </c>
      <c r="H87" s="8">
        <v>0</v>
      </c>
      <c r="I87" s="8">
        <v>0</v>
      </c>
      <c r="J87" s="175"/>
      <c r="K87" s="8">
        <f t="shared" si="8"/>
        <v>330413</v>
      </c>
      <c r="L87" s="8">
        <f t="shared" si="9"/>
        <v>226007.11</v>
      </c>
      <c r="M87" s="499">
        <f t="shared" si="3"/>
        <v>0.68401397644765793</v>
      </c>
    </row>
    <row r="88" spans="1:13" ht="16.2" x14ac:dyDescent="0.3">
      <c r="A88" s="802"/>
      <c r="B88" s="803"/>
      <c r="C88" s="803"/>
      <c r="D88" s="1030" t="s">
        <v>458</v>
      </c>
      <c r="E88" s="37"/>
      <c r="F88" s="37"/>
      <c r="G88" s="175"/>
      <c r="H88" s="8">
        <v>0</v>
      </c>
      <c r="I88" s="8">
        <v>155895</v>
      </c>
      <c r="J88" s="175"/>
      <c r="K88" s="8">
        <f t="shared" si="8"/>
        <v>0</v>
      </c>
      <c r="L88" s="8">
        <f t="shared" si="9"/>
        <v>155895</v>
      </c>
      <c r="M88" s="499"/>
    </row>
    <row r="89" spans="1:13" ht="16.2" x14ac:dyDescent="0.3">
      <c r="A89" s="802"/>
      <c r="B89" s="803"/>
      <c r="C89" s="803"/>
      <c r="D89" s="1030" t="s">
        <v>461</v>
      </c>
      <c r="E89" s="37"/>
      <c r="F89" s="37"/>
      <c r="G89" s="175"/>
      <c r="H89" s="8">
        <v>0</v>
      </c>
      <c r="I89" s="8">
        <v>67000</v>
      </c>
      <c r="J89" s="175"/>
      <c r="K89" s="8">
        <f t="shared" si="8"/>
        <v>0</v>
      </c>
      <c r="L89" s="8">
        <f t="shared" si="9"/>
        <v>67000</v>
      </c>
      <c r="M89" s="499"/>
    </row>
    <row r="90" spans="1:13" ht="31.2" x14ac:dyDescent="0.3">
      <c r="A90" s="802" t="s">
        <v>178</v>
      </c>
      <c r="B90" s="803" t="s">
        <v>179</v>
      </c>
      <c r="C90" s="803" t="s">
        <v>57</v>
      </c>
      <c r="D90" s="26" t="s">
        <v>180</v>
      </c>
      <c r="E90" s="37">
        <f>E91</f>
        <v>4258888</v>
      </c>
      <c r="F90" s="37">
        <f>F91</f>
        <v>4212726.8</v>
      </c>
      <c r="G90" s="175">
        <f t="shared" si="1"/>
        <v>0.98916120827784149</v>
      </c>
      <c r="H90" s="8">
        <v>0</v>
      </c>
      <c r="I90" s="8">
        <v>0</v>
      </c>
      <c r="J90" s="175"/>
      <c r="K90" s="8">
        <f t="shared" si="8"/>
        <v>4258888</v>
      </c>
      <c r="L90" s="8">
        <f t="shared" si="9"/>
        <v>4212726.8</v>
      </c>
      <c r="M90" s="499">
        <f t="shared" si="3"/>
        <v>0.98916120827784149</v>
      </c>
    </row>
    <row r="91" spans="1:13" ht="16.2" x14ac:dyDescent="0.3">
      <c r="A91" s="802"/>
      <c r="B91" s="803"/>
      <c r="C91" s="803"/>
      <c r="D91" s="1030" t="s">
        <v>458</v>
      </c>
      <c r="E91" s="37">
        <v>4258888</v>
      </c>
      <c r="F91" s="37">
        <v>4212726.8</v>
      </c>
      <c r="G91" s="175">
        <f t="shared" si="1"/>
        <v>0.98916120827784149</v>
      </c>
      <c r="H91" s="8"/>
      <c r="I91" s="8">
        <v>0</v>
      </c>
      <c r="J91" s="175"/>
      <c r="K91" s="8">
        <f t="shared" si="8"/>
        <v>4258888</v>
      </c>
      <c r="L91" s="8">
        <f t="shared" si="9"/>
        <v>4212726.8</v>
      </c>
      <c r="M91" s="499">
        <f t="shared" si="3"/>
        <v>0.98916120827784149</v>
      </c>
    </row>
    <row r="92" spans="1:13" x14ac:dyDescent="0.3">
      <c r="A92" s="802"/>
      <c r="B92" s="803"/>
      <c r="C92" s="803"/>
      <c r="D92" s="1031" t="s">
        <v>459</v>
      </c>
      <c r="E92" s="37">
        <v>3899966</v>
      </c>
      <c r="F92" s="37">
        <v>3890367.83</v>
      </c>
      <c r="G92" s="175">
        <f t="shared" si="1"/>
        <v>0.99753890931356837</v>
      </c>
      <c r="H92" s="8"/>
      <c r="I92" s="8">
        <v>0</v>
      </c>
      <c r="J92" s="175"/>
      <c r="K92" s="8">
        <f t="shared" si="8"/>
        <v>3899966</v>
      </c>
      <c r="L92" s="8">
        <f t="shared" si="9"/>
        <v>3890367.83</v>
      </c>
      <c r="M92" s="499">
        <f t="shared" si="3"/>
        <v>0.99753890931356837</v>
      </c>
    </row>
    <row r="93" spans="1:13" ht="31.2" x14ac:dyDescent="0.3">
      <c r="A93" s="802"/>
      <c r="B93" s="803"/>
      <c r="C93" s="803"/>
      <c r="D93" s="1031" t="s">
        <v>460</v>
      </c>
      <c r="E93" s="37">
        <v>170008</v>
      </c>
      <c r="F93" s="37">
        <v>154679.13</v>
      </c>
      <c r="G93" s="175">
        <f t="shared" si="1"/>
        <v>0.90983441955672673</v>
      </c>
      <c r="H93" s="8"/>
      <c r="I93" s="8">
        <v>0</v>
      </c>
      <c r="J93" s="175"/>
      <c r="K93" s="8">
        <f t="shared" si="8"/>
        <v>170008</v>
      </c>
      <c r="L93" s="8">
        <f t="shared" si="9"/>
        <v>154679.13</v>
      </c>
      <c r="M93" s="499">
        <f t="shared" si="3"/>
        <v>0.90983441955672673</v>
      </c>
    </row>
    <row r="94" spans="1:13" x14ac:dyDescent="0.3">
      <c r="A94" s="802" t="s">
        <v>58</v>
      </c>
      <c r="B94" s="803" t="s">
        <v>59</v>
      </c>
      <c r="C94" s="803" t="s">
        <v>57</v>
      </c>
      <c r="D94" s="26" t="s">
        <v>60</v>
      </c>
      <c r="E94" s="37">
        <f>E95</f>
        <v>69480</v>
      </c>
      <c r="F94" s="37">
        <f>F95</f>
        <v>69480</v>
      </c>
      <c r="G94" s="175">
        <f t="shared" si="1"/>
        <v>1</v>
      </c>
      <c r="H94" s="8">
        <f>H95</f>
        <v>0</v>
      </c>
      <c r="I94" s="8">
        <f>I95</f>
        <v>0</v>
      </c>
      <c r="J94" s="175"/>
      <c r="K94" s="8">
        <f t="shared" si="8"/>
        <v>69480</v>
      </c>
      <c r="L94" s="8">
        <f t="shared" si="9"/>
        <v>69480</v>
      </c>
      <c r="M94" s="499">
        <f t="shared" si="3"/>
        <v>1</v>
      </c>
    </row>
    <row r="95" spans="1:13" ht="16.2" x14ac:dyDescent="0.3">
      <c r="A95" s="802"/>
      <c r="B95" s="803"/>
      <c r="C95" s="803"/>
      <c r="D95" s="1030" t="s">
        <v>458</v>
      </c>
      <c r="E95" s="37">
        <v>69480</v>
      </c>
      <c r="F95" s="37">
        <v>69480</v>
      </c>
      <c r="G95" s="175">
        <f t="shared" si="1"/>
        <v>1</v>
      </c>
      <c r="H95" s="8"/>
      <c r="I95" s="8"/>
      <c r="J95" s="175"/>
      <c r="K95" s="8">
        <f t="shared" si="8"/>
        <v>69480</v>
      </c>
      <c r="L95" s="8">
        <f t="shared" si="9"/>
        <v>69480</v>
      </c>
      <c r="M95" s="499">
        <f t="shared" si="3"/>
        <v>1</v>
      </c>
    </row>
    <row r="96" spans="1:13" ht="46.8" x14ac:dyDescent="0.3">
      <c r="A96" s="802" t="s">
        <v>61</v>
      </c>
      <c r="B96" s="803" t="s">
        <v>62</v>
      </c>
      <c r="C96" s="803" t="s">
        <v>57</v>
      </c>
      <c r="D96" s="26" t="s">
        <v>63</v>
      </c>
      <c r="E96" s="37">
        <f>E97</f>
        <v>1102208</v>
      </c>
      <c r="F96" s="37">
        <f>F97</f>
        <v>958162.01</v>
      </c>
      <c r="G96" s="175">
        <f t="shared" si="1"/>
        <v>0.86931142760713043</v>
      </c>
      <c r="H96" s="8">
        <v>0</v>
      </c>
      <c r="I96" s="8">
        <f>I97</f>
        <v>100684.5</v>
      </c>
      <c r="J96" s="175"/>
      <c r="K96" s="8">
        <f t="shared" si="8"/>
        <v>1102208</v>
      </c>
      <c r="L96" s="8">
        <f t="shared" si="9"/>
        <v>1058846.51</v>
      </c>
      <c r="M96" s="499">
        <f t="shared" si="3"/>
        <v>0.96065943088781791</v>
      </c>
    </row>
    <row r="97" spans="1:13" ht="16.2" x14ac:dyDescent="0.3">
      <c r="A97" s="802"/>
      <c r="B97" s="803"/>
      <c r="C97" s="803"/>
      <c r="D97" s="1030" t="s">
        <v>458</v>
      </c>
      <c r="E97" s="37">
        <v>1102208</v>
      </c>
      <c r="F97" s="37">
        <v>958162.01</v>
      </c>
      <c r="G97" s="175">
        <f t="shared" si="1"/>
        <v>0.86931142760713043</v>
      </c>
      <c r="H97" s="8"/>
      <c r="I97" s="8">
        <v>100684.5</v>
      </c>
      <c r="J97" s="175"/>
      <c r="K97" s="8">
        <f t="shared" si="8"/>
        <v>1102208</v>
      </c>
      <c r="L97" s="8">
        <f t="shared" si="9"/>
        <v>1058846.51</v>
      </c>
      <c r="M97" s="499">
        <f t="shared" si="3"/>
        <v>0.96065943088781791</v>
      </c>
    </row>
    <row r="98" spans="1:13" x14ac:dyDescent="0.3">
      <c r="A98" s="802"/>
      <c r="B98" s="803"/>
      <c r="C98" s="803"/>
      <c r="D98" s="1031" t="s">
        <v>459</v>
      </c>
      <c r="E98" s="37">
        <v>690594</v>
      </c>
      <c r="F98" s="37">
        <v>666951.37</v>
      </c>
      <c r="G98" s="175">
        <f t="shared" si="1"/>
        <v>0.96576479089016121</v>
      </c>
      <c r="H98" s="8"/>
      <c r="I98" s="8"/>
      <c r="J98" s="175"/>
      <c r="K98" s="8">
        <f t="shared" si="8"/>
        <v>690594</v>
      </c>
      <c r="L98" s="8">
        <f t="shared" si="9"/>
        <v>666951.37</v>
      </c>
      <c r="M98" s="499">
        <f t="shared" si="3"/>
        <v>0.96576479089016121</v>
      </c>
    </row>
    <row r="99" spans="1:13" ht="31.2" x14ac:dyDescent="0.3">
      <c r="A99" s="802"/>
      <c r="B99" s="803"/>
      <c r="C99" s="803"/>
      <c r="D99" s="1031" t="s">
        <v>460</v>
      </c>
      <c r="E99" s="37">
        <v>357596</v>
      </c>
      <c r="F99" s="37">
        <v>242926.03</v>
      </c>
      <c r="G99" s="175">
        <f t="shared" si="1"/>
        <v>0.67933094889204582</v>
      </c>
      <c r="H99" s="8"/>
      <c r="I99" s="8"/>
      <c r="J99" s="175"/>
      <c r="K99" s="8">
        <f t="shared" si="8"/>
        <v>357596</v>
      </c>
      <c r="L99" s="8">
        <f t="shared" si="9"/>
        <v>242926.03</v>
      </c>
      <c r="M99" s="499">
        <f t="shared" si="3"/>
        <v>0.67933094889204582</v>
      </c>
    </row>
    <row r="100" spans="1:13" ht="46.8" x14ac:dyDescent="0.3">
      <c r="A100" s="801" t="s">
        <v>254</v>
      </c>
      <c r="B100" s="56" t="s">
        <v>255</v>
      </c>
      <c r="C100" s="56" t="s">
        <v>57</v>
      </c>
      <c r="D100" s="26" t="s">
        <v>256</v>
      </c>
      <c r="E100" s="37">
        <f>E101</f>
        <v>1766200</v>
      </c>
      <c r="F100" s="37">
        <f>F101</f>
        <v>1766200</v>
      </c>
      <c r="G100" s="175">
        <f t="shared" si="1"/>
        <v>1</v>
      </c>
      <c r="H100" s="8"/>
      <c r="I100" s="8"/>
      <c r="J100" s="175"/>
      <c r="K100" s="8">
        <f t="shared" si="8"/>
        <v>1766200</v>
      </c>
      <c r="L100" s="8">
        <f t="shared" si="9"/>
        <v>1766200</v>
      </c>
      <c r="M100" s="499">
        <f t="shared" ref="M100:M188" si="10">L100/K100</f>
        <v>1</v>
      </c>
    </row>
    <row r="101" spans="1:13" ht="16.2" x14ac:dyDescent="0.3">
      <c r="A101" s="801"/>
      <c r="B101" s="56"/>
      <c r="C101" s="56"/>
      <c r="D101" s="1030" t="s">
        <v>458</v>
      </c>
      <c r="E101" s="37">
        <v>1766200</v>
      </c>
      <c r="F101" s="37">
        <v>1766200</v>
      </c>
      <c r="G101" s="175">
        <f t="shared" si="1"/>
        <v>1</v>
      </c>
      <c r="H101" s="8"/>
      <c r="I101" s="8"/>
      <c r="J101" s="175"/>
      <c r="K101" s="8">
        <f t="shared" si="8"/>
        <v>1766200</v>
      </c>
      <c r="L101" s="8">
        <f t="shared" si="9"/>
        <v>1766200</v>
      </c>
      <c r="M101" s="499">
        <f t="shared" si="10"/>
        <v>1</v>
      </c>
    </row>
    <row r="102" spans="1:13" x14ac:dyDescent="0.3">
      <c r="A102" s="801"/>
      <c r="B102" s="56"/>
      <c r="C102" s="56"/>
      <c r="D102" s="1031" t="s">
        <v>459</v>
      </c>
      <c r="E102" s="37">
        <v>1766200</v>
      </c>
      <c r="F102" s="37">
        <v>1766200</v>
      </c>
      <c r="G102" s="175">
        <f t="shared" si="1"/>
        <v>1</v>
      </c>
      <c r="H102" s="8"/>
      <c r="I102" s="8"/>
      <c r="J102" s="175"/>
      <c r="K102" s="8">
        <f t="shared" si="8"/>
        <v>1766200</v>
      </c>
      <c r="L102" s="8">
        <f t="shared" si="9"/>
        <v>1766200</v>
      </c>
      <c r="M102" s="499">
        <f t="shared" si="10"/>
        <v>1</v>
      </c>
    </row>
    <row r="103" spans="1:13" ht="46.8" x14ac:dyDescent="0.3">
      <c r="A103" s="802" t="s">
        <v>64</v>
      </c>
      <c r="B103" s="803" t="s">
        <v>65</v>
      </c>
      <c r="C103" s="803" t="s">
        <v>57</v>
      </c>
      <c r="D103" s="26" t="s">
        <v>66</v>
      </c>
      <c r="E103" s="37">
        <f>E104</f>
        <v>1558497</v>
      </c>
      <c r="F103" s="37">
        <f>F104</f>
        <v>1488043.31</v>
      </c>
      <c r="G103" s="175">
        <f t="shared" si="1"/>
        <v>0.95479382379305189</v>
      </c>
      <c r="H103" s="8">
        <v>0</v>
      </c>
      <c r="I103" s="8"/>
      <c r="J103" s="175"/>
      <c r="K103" s="8">
        <f t="shared" si="8"/>
        <v>1558497</v>
      </c>
      <c r="L103" s="8">
        <f t="shared" si="9"/>
        <v>1488043.31</v>
      </c>
      <c r="M103" s="499">
        <f t="shared" si="10"/>
        <v>0.95479382379305189</v>
      </c>
    </row>
    <row r="104" spans="1:13" ht="16.2" x14ac:dyDescent="0.3">
      <c r="A104" s="802"/>
      <c r="B104" s="803"/>
      <c r="C104" s="803"/>
      <c r="D104" s="1030" t="s">
        <v>458</v>
      </c>
      <c r="E104" s="37">
        <v>1558497</v>
      </c>
      <c r="F104" s="37">
        <v>1488043.31</v>
      </c>
      <c r="G104" s="175">
        <f t="shared" si="1"/>
        <v>0.95479382379305189</v>
      </c>
      <c r="H104" s="8"/>
      <c r="I104" s="8"/>
      <c r="J104" s="175"/>
      <c r="K104" s="8">
        <f t="shared" si="8"/>
        <v>1558497</v>
      </c>
      <c r="L104" s="8">
        <f t="shared" si="9"/>
        <v>1488043.31</v>
      </c>
      <c r="M104" s="499">
        <f t="shared" si="10"/>
        <v>0.95479382379305189</v>
      </c>
    </row>
    <row r="105" spans="1:13" x14ac:dyDescent="0.3">
      <c r="A105" s="802"/>
      <c r="B105" s="803"/>
      <c r="C105" s="803"/>
      <c r="D105" s="1031" t="s">
        <v>459</v>
      </c>
      <c r="E105" s="37">
        <v>1452012</v>
      </c>
      <c r="F105" s="37">
        <v>1389762.67</v>
      </c>
      <c r="G105" s="175">
        <f t="shared" si="1"/>
        <v>0.95712891491254892</v>
      </c>
      <c r="H105" s="8"/>
      <c r="I105" s="8"/>
      <c r="J105" s="175"/>
      <c r="K105" s="8">
        <f t="shared" si="8"/>
        <v>1452012</v>
      </c>
      <c r="L105" s="8">
        <f t="shared" si="9"/>
        <v>1389762.67</v>
      </c>
      <c r="M105" s="499">
        <f t="shared" si="10"/>
        <v>0.95712891491254892</v>
      </c>
    </row>
    <row r="106" spans="1:13" ht="31.2" x14ac:dyDescent="0.3">
      <c r="A106" s="802"/>
      <c r="B106" s="803"/>
      <c r="C106" s="803"/>
      <c r="D106" s="1031" t="s">
        <v>460</v>
      </c>
      <c r="E106" s="37">
        <v>38669</v>
      </c>
      <c r="F106" s="37">
        <v>35633.32</v>
      </c>
      <c r="G106" s="175">
        <f t="shared" si="1"/>
        <v>0.9214957718068737</v>
      </c>
      <c r="H106" s="8"/>
      <c r="I106" s="8"/>
      <c r="J106" s="175"/>
      <c r="K106" s="8">
        <f t="shared" si="8"/>
        <v>38669</v>
      </c>
      <c r="L106" s="8">
        <f t="shared" si="9"/>
        <v>35633.32</v>
      </c>
      <c r="M106" s="499">
        <f t="shared" si="10"/>
        <v>0.9214957718068737</v>
      </c>
    </row>
    <row r="107" spans="1:13" ht="78" x14ac:dyDescent="0.3">
      <c r="A107" s="46" t="s">
        <v>642</v>
      </c>
      <c r="B107" s="803">
        <v>1181</v>
      </c>
      <c r="C107" s="803" t="s">
        <v>57</v>
      </c>
      <c r="D107" s="1031" t="s">
        <v>643</v>
      </c>
      <c r="E107" s="37">
        <f>E108</f>
        <v>449824</v>
      </c>
      <c r="F107" s="37">
        <f>F108</f>
        <v>449324</v>
      </c>
      <c r="G107" s="175">
        <f t="shared" si="1"/>
        <v>0.99888845415095684</v>
      </c>
      <c r="H107" s="8"/>
      <c r="I107" s="8"/>
      <c r="J107" s="175"/>
      <c r="K107" s="8">
        <f t="shared" si="8"/>
        <v>449824</v>
      </c>
      <c r="L107" s="8">
        <f t="shared" si="9"/>
        <v>449324</v>
      </c>
      <c r="M107" s="499">
        <f t="shared" si="10"/>
        <v>0.99888845415095684</v>
      </c>
    </row>
    <row r="108" spans="1:13" ht="16.2" x14ac:dyDescent="0.3">
      <c r="A108" s="802"/>
      <c r="B108" s="803"/>
      <c r="C108" s="803"/>
      <c r="D108" s="1030" t="s">
        <v>458</v>
      </c>
      <c r="E108" s="37">
        <v>449824</v>
      </c>
      <c r="F108" s="37">
        <v>449324</v>
      </c>
      <c r="G108" s="175">
        <f t="shared" si="1"/>
        <v>0.99888845415095684</v>
      </c>
      <c r="H108" s="8"/>
      <c r="I108" s="8"/>
      <c r="J108" s="175"/>
      <c r="K108" s="8">
        <f t="shared" si="8"/>
        <v>449824</v>
      </c>
      <c r="L108" s="8">
        <f t="shared" si="9"/>
        <v>449324</v>
      </c>
      <c r="M108" s="499">
        <f t="shared" si="10"/>
        <v>0.99888845415095684</v>
      </c>
    </row>
    <row r="109" spans="1:13" ht="78" x14ac:dyDescent="0.3">
      <c r="A109" s="46" t="s">
        <v>646</v>
      </c>
      <c r="B109" s="803">
        <v>1182</v>
      </c>
      <c r="C109" s="803" t="s">
        <v>57</v>
      </c>
      <c r="D109" s="1031" t="s">
        <v>647</v>
      </c>
      <c r="E109" s="37"/>
      <c r="F109" s="37"/>
      <c r="G109" s="175"/>
      <c r="H109" s="8">
        <f>H110</f>
        <v>1037466</v>
      </c>
      <c r="I109" s="8">
        <f>I110</f>
        <v>1006458</v>
      </c>
      <c r="J109" s="175">
        <f>I109/H109</f>
        <v>0.97011179161533967</v>
      </c>
      <c r="K109" s="8">
        <f t="shared" si="8"/>
        <v>1037466</v>
      </c>
      <c r="L109" s="8">
        <f t="shared" si="9"/>
        <v>1006458</v>
      </c>
      <c r="M109" s="499">
        <f>L109/K109</f>
        <v>0.97011179161533967</v>
      </c>
    </row>
    <row r="110" spans="1:13" ht="16.2" x14ac:dyDescent="0.3">
      <c r="A110" s="802"/>
      <c r="B110" s="803"/>
      <c r="C110" s="803"/>
      <c r="D110" s="1030" t="s">
        <v>461</v>
      </c>
      <c r="E110" s="37"/>
      <c r="F110" s="37"/>
      <c r="G110" s="175"/>
      <c r="H110" s="8">
        <f>H111</f>
        <v>1037466</v>
      </c>
      <c r="I110" s="8">
        <f>I111</f>
        <v>1006458</v>
      </c>
      <c r="J110" s="175">
        <f t="shared" ref="J110:J111" si="11">I110/H110</f>
        <v>0.97011179161533967</v>
      </c>
      <c r="K110" s="8">
        <f t="shared" si="8"/>
        <v>1037466</v>
      </c>
      <c r="L110" s="8">
        <f t="shared" si="9"/>
        <v>1006458</v>
      </c>
      <c r="M110" s="499">
        <f t="shared" si="10"/>
        <v>0.97011179161533967</v>
      </c>
    </row>
    <row r="111" spans="1:13" x14ac:dyDescent="0.3">
      <c r="A111" s="802"/>
      <c r="B111" s="803"/>
      <c r="C111" s="803"/>
      <c r="D111" s="1031" t="s">
        <v>462</v>
      </c>
      <c r="E111" s="37"/>
      <c r="F111" s="37"/>
      <c r="G111" s="175"/>
      <c r="H111" s="8">
        <v>1037466</v>
      </c>
      <c r="I111" s="8">
        <v>1006458</v>
      </c>
      <c r="J111" s="175">
        <f t="shared" si="11"/>
        <v>0.97011179161533967</v>
      </c>
      <c r="K111" s="8">
        <f t="shared" si="8"/>
        <v>1037466</v>
      </c>
      <c r="L111" s="8">
        <f t="shared" si="9"/>
        <v>1006458</v>
      </c>
      <c r="M111" s="499">
        <f t="shared" si="10"/>
        <v>0.97011179161533967</v>
      </c>
    </row>
    <row r="112" spans="1:13" ht="62.4" x14ac:dyDescent="0.3">
      <c r="A112" s="46" t="s">
        <v>592</v>
      </c>
      <c r="B112" s="803">
        <v>1200</v>
      </c>
      <c r="C112" s="803" t="s">
        <v>57</v>
      </c>
      <c r="D112" s="26" t="s">
        <v>593</v>
      </c>
      <c r="E112" s="37">
        <f>E113</f>
        <v>401350</v>
      </c>
      <c r="F112" s="37">
        <f>F113</f>
        <v>401350</v>
      </c>
      <c r="G112" s="175">
        <f t="shared" si="1"/>
        <v>1</v>
      </c>
      <c r="H112" s="8"/>
      <c r="I112" s="8"/>
      <c r="J112" s="175"/>
      <c r="K112" s="8">
        <f t="shared" si="8"/>
        <v>401350</v>
      </c>
      <c r="L112" s="8">
        <f t="shared" si="9"/>
        <v>401350</v>
      </c>
      <c r="M112" s="499">
        <f t="shared" si="10"/>
        <v>1</v>
      </c>
    </row>
    <row r="113" spans="1:13" ht="16.2" x14ac:dyDescent="0.3">
      <c r="A113" s="802"/>
      <c r="B113" s="803"/>
      <c r="C113" s="803"/>
      <c r="D113" s="1030" t="s">
        <v>458</v>
      </c>
      <c r="E113" s="37">
        <v>401350</v>
      </c>
      <c r="F113" s="37">
        <v>401350</v>
      </c>
      <c r="G113" s="175">
        <f t="shared" si="1"/>
        <v>1</v>
      </c>
      <c r="H113" s="8"/>
      <c r="I113" s="8"/>
      <c r="J113" s="175"/>
      <c r="K113" s="8">
        <f t="shared" si="8"/>
        <v>401350</v>
      </c>
      <c r="L113" s="8">
        <f t="shared" si="9"/>
        <v>401350</v>
      </c>
      <c r="M113" s="499">
        <f t="shared" si="10"/>
        <v>1</v>
      </c>
    </row>
    <row r="114" spans="1:13" x14ac:dyDescent="0.3">
      <c r="A114" s="802"/>
      <c r="B114" s="803"/>
      <c r="C114" s="803"/>
      <c r="D114" s="1031" t="s">
        <v>459</v>
      </c>
      <c r="E114" s="37">
        <v>401350</v>
      </c>
      <c r="F114" s="37">
        <v>401350</v>
      </c>
      <c r="G114" s="175">
        <f t="shared" si="1"/>
        <v>1</v>
      </c>
      <c r="H114" s="8"/>
      <c r="I114" s="8"/>
      <c r="J114" s="175"/>
      <c r="K114" s="8">
        <f t="shared" si="8"/>
        <v>401350</v>
      </c>
      <c r="L114" s="8">
        <f t="shared" si="9"/>
        <v>401350</v>
      </c>
      <c r="M114" s="499">
        <f t="shared" si="10"/>
        <v>1</v>
      </c>
    </row>
    <row r="115" spans="1:13" ht="78" x14ac:dyDescent="0.3">
      <c r="A115" s="46" t="s">
        <v>505</v>
      </c>
      <c r="B115" s="803">
        <v>1210</v>
      </c>
      <c r="C115" s="803" t="s">
        <v>57</v>
      </c>
      <c r="D115" s="26" t="s">
        <v>506</v>
      </c>
      <c r="E115" s="37">
        <f>E116</f>
        <v>323630</v>
      </c>
      <c r="F115" s="37">
        <f>F116</f>
        <v>323630</v>
      </c>
      <c r="G115" s="175">
        <f t="shared" si="1"/>
        <v>1</v>
      </c>
      <c r="H115" s="8"/>
      <c r="I115" s="8"/>
      <c r="J115" s="175"/>
      <c r="K115" s="8">
        <f t="shared" si="8"/>
        <v>323630</v>
      </c>
      <c r="L115" s="8">
        <f t="shared" si="9"/>
        <v>323630</v>
      </c>
      <c r="M115" s="499">
        <f t="shared" si="10"/>
        <v>1</v>
      </c>
    </row>
    <row r="116" spans="1:13" ht="16.2" x14ac:dyDescent="0.3">
      <c r="A116" s="46"/>
      <c r="B116" s="803"/>
      <c r="C116" s="803"/>
      <c r="D116" s="1030" t="s">
        <v>458</v>
      </c>
      <c r="E116" s="37">
        <f>E117</f>
        <v>323630</v>
      </c>
      <c r="F116" s="37">
        <f>F117</f>
        <v>323630</v>
      </c>
      <c r="G116" s="175">
        <f t="shared" si="1"/>
        <v>1</v>
      </c>
      <c r="H116" s="8"/>
      <c r="I116" s="8"/>
      <c r="J116" s="175"/>
      <c r="K116" s="8">
        <f t="shared" si="8"/>
        <v>323630</v>
      </c>
      <c r="L116" s="8">
        <f t="shared" si="9"/>
        <v>323630</v>
      </c>
      <c r="M116" s="499">
        <f t="shared" si="10"/>
        <v>1</v>
      </c>
    </row>
    <row r="117" spans="1:13" x14ac:dyDescent="0.3">
      <c r="A117" s="802"/>
      <c r="B117" s="803"/>
      <c r="C117" s="803"/>
      <c r="D117" s="1031" t="s">
        <v>459</v>
      </c>
      <c r="E117" s="37">
        <v>323630</v>
      </c>
      <c r="F117" s="37">
        <v>323630</v>
      </c>
      <c r="G117" s="175">
        <f t="shared" si="1"/>
        <v>1</v>
      </c>
      <c r="H117" s="8"/>
      <c r="I117" s="8"/>
      <c r="J117" s="175"/>
      <c r="K117" s="8">
        <f t="shared" si="8"/>
        <v>323630</v>
      </c>
      <c r="L117" s="8">
        <f t="shared" si="9"/>
        <v>323630</v>
      </c>
      <c r="M117" s="499">
        <f t="shared" si="10"/>
        <v>1</v>
      </c>
    </row>
    <row r="118" spans="1:13" ht="124.8" x14ac:dyDescent="0.3">
      <c r="A118" s="46" t="s">
        <v>507</v>
      </c>
      <c r="B118" s="803">
        <v>1291</v>
      </c>
      <c r="C118" s="803" t="s">
        <v>57</v>
      </c>
      <c r="D118" s="26" t="s">
        <v>508</v>
      </c>
      <c r="E118" s="37">
        <f>E119</f>
        <v>694620</v>
      </c>
      <c r="F118" s="37">
        <f>F119</f>
        <v>694620</v>
      </c>
      <c r="G118" s="175">
        <f t="shared" si="1"/>
        <v>1</v>
      </c>
      <c r="H118" s="8"/>
      <c r="I118" s="8"/>
      <c r="J118" s="175"/>
      <c r="K118" s="8">
        <f t="shared" si="8"/>
        <v>694620</v>
      </c>
      <c r="L118" s="8">
        <f t="shared" si="9"/>
        <v>694620</v>
      </c>
      <c r="M118" s="499">
        <f t="shared" si="10"/>
        <v>1</v>
      </c>
    </row>
    <row r="119" spans="1:13" ht="16.2" x14ac:dyDescent="0.3">
      <c r="A119" s="802"/>
      <c r="B119" s="803"/>
      <c r="C119" s="803"/>
      <c r="D119" s="1030" t="s">
        <v>458</v>
      </c>
      <c r="E119" s="37">
        <v>694620</v>
      </c>
      <c r="F119" s="37">
        <v>694620</v>
      </c>
      <c r="G119" s="175">
        <f t="shared" si="1"/>
        <v>1</v>
      </c>
      <c r="H119" s="8"/>
      <c r="I119" s="8"/>
      <c r="J119" s="175"/>
      <c r="K119" s="8">
        <f t="shared" si="8"/>
        <v>694620</v>
      </c>
      <c r="L119" s="8">
        <f t="shared" si="9"/>
        <v>694620</v>
      </c>
      <c r="M119" s="499">
        <f t="shared" si="10"/>
        <v>1</v>
      </c>
    </row>
    <row r="120" spans="1:13" ht="108" customHeight="1" x14ac:dyDescent="0.3">
      <c r="A120" s="46" t="s">
        <v>514</v>
      </c>
      <c r="B120" s="803">
        <v>1292</v>
      </c>
      <c r="C120" s="45" t="s">
        <v>57</v>
      </c>
      <c r="D120" s="26" t="s">
        <v>515</v>
      </c>
      <c r="E120" s="37"/>
      <c r="F120" s="37"/>
      <c r="G120" s="175"/>
      <c r="H120" s="8">
        <f>H121+H122</f>
        <v>1620780</v>
      </c>
      <c r="I120" s="8">
        <f>I121+I122</f>
        <v>1581830</v>
      </c>
      <c r="J120" s="175">
        <f>I120/H120</f>
        <v>0.97596836091264705</v>
      </c>
      <c r="K120" s="8">
        <f t="shared" si="8"/>
        <v>1620780</v>
      </c>
      <c r="L120" s="8">
        <f t="shared" si="9"/>
        <v>1581830</v>
      </c>
      <c r="M120" s="499">
        <f t="shared" si="10"/>
        <v>0.97596836091264705</v>
      </c>
    </row>
    <row r="121" spans="1:13" ht="16.2" x14ac:dyDescent="0.3">
      <c r="A121" s="802"/>
      <c r="B121" s="803"/>
      <c r="C121" s="803"/>
      <c r="D121" s="1030" t="s">
        <v>458</v>
      </c>
      <c r="E121" s="37"/>
      <c r="F121" s="37"/>
      <c r="G121" s="175"/>
      <c r="H121" s="8">
        <v>484450</v>
      </c>
      <c r="I121" s="8">
        <v>450591</v>
      </c>
      <c r="J121" s="175">
        <f t="shared" ref="J121:J124" si="12">I121/H121</f>
        <v>0.93010837031685412</v>
      </c>
      <c r="K121" s="8">
        <f t="shared" si="8"/>
        <v>484450</v>
      </c>
      <c r="L121" s="8">
        <f t="shared" si="9"/>
        <v>450591</v>
      </c>
      <c r="M121" s="499">
        <f t="shared" si="10"/>
        <v>0.93010837031685412</v>
      </c>
    </row>
    <row r="122" spans="1:13" ht="16.2" x14ac:dyDescent="0.3">
      <c r="A122" s="802"/>
      <c r="B122" s="803"/>
      <c r="C122" s="803"/>
      <c r="D122" s="1030" t="s">
        <v>461</v>
      </c>
      <c r="E122" s="37"/>
      <c r="F122" s="37"/>
      <c r="G122" s="175"/>
      <c r="H122" s="8">
        <v>1136330</v>
      </c>
      <c r="I122" s="8">
        <v>1131239</v>
      </c>
      <c r="J122" s="175">
        <f t="shared" si="12"/>
        <v>0.99551978738570657</v>
      </c>
      <c r="K122" s="8">
        <f t="shared" si="8"/>
        <v>1136330</v>
      </c>
      <c r="L122" s="8">
        <f t="shared" si="9"/>
        <v>1131239</v>
      </c>
      <c r="M122" s="499">
        <f t="shared" si="10"/>
        <v>0.99551978738570657</v>
      </c>
    </row>
    <row r="123" spans="1:13" ht="62.4" x14ac:dyDescent="0.3">
      <c r="A123" s="46" t="s">
        <v>644</v>
      </c>
      <c r="B123" s="803">
        <v>1403</v>
      </c>
      <c r="C123" s="45" t="s">
        <v>57</v>
      </c>
      <c r="D123" s="26" t="s">
        <v>645</v>
      </c>
      <c r="E123" s="37">
        <f>E124</f>
        <v>2289800</v>
      </c>
      <c r="F123" s="37">
        <f>F124</f>
        <v>2050060.65</v>
      </c>
      <c r="G123" s="175">
        <f t="shared" si="1"/>
        <v>0.89530118350947674</v>
      </c>
      <c r="H123" s="8">
        <f>H124</f>
        <v>3500600</v>
      </c>
      <c r="I123" s="8">
        <f>I124</f>
        <v>0</v>
      </c>
      <c r="J123" s="175">
        <f t="shared" si="12"/>
        <v>0</v>
      </c>
      <c r="K123" s="8">
        <f t="shared" si="8"/>
        <v>5790400</v>
      </c>
      <c r="L123" s="8">
        <f t="shared" si="9"/>
        <v>2050060.65</v>
      </c>
      <c r="M123" s="499">
        <f t="shared" si="10"/>
        <v>0.35404473784194529</v>
      </c>
    </row>
    <row r="124" spans="1:13" ht="16.2" x14ac:dyDescent="0.3">
      <c r="A124" s="1042"/>
      <c r="B124" s="737"/>
      <c r="C124" s="737"/>
      <c r="D124" s="1030" t="s">
        <v>458</v>
      </c>
      <c r="E124" s="37">
        <v>2289800</v>
      </c>
      <c r="F124" s="37">
        <v>2050060.65</v>
      </c>
      <c r="G124" s="175">
        <f t="shared" si="1"/>
        <v>0.89530118350947674</v>
      </c>
      <c r="H124" s="8">
        <v>3500600</v>
      </c>
      <c r="I124" s="8">
        <v>0</v>
      </c>
      <c r="J124" s="175">
        <f t="shared" si="12"/>
        <v>0</v>
      </c>
      <c r="K124" s="8">
        <f t="shared" si="8"/>
        <v>5790400</v>
      </c>
      <c r="L124" s="8">
        <f t="shared" si="9"/>
        <v>2050060.65</v>
      </c>
      <c r="M124" s="499">
        <f t="shared" si="10"/>
        <v>0.35404473784194529</v>
      </c>
    </row>
    <row r="125" spans="1:13" ht="78" customHeight="1" x14ac:dyDescent="0.3">
      <c r="A125" s="46" t="s">
        <v>509</v>
      </c>
      <c r="B125" s="803">
        <v>3140</v>
      </c>
      <c r="C125" s="803">
        <v>1040</v>
      </c>
      <c r="D125" s="26" t="s">
        <v>510</v>
      </c>
      <c r="E125" s="37">
        <f>E126</f>
        <v>864500</v>
      </c>
      <c r="F125" s="37">
        <f>F126</f>
        <v>864498.97</v>
      </c>
      <c r="G125" s="175">
        <f t="shared" si="1"/>
        <v>0.99999880855986112</v>
      </c>
      <c r="H125" s="8"/>
      <c r="I125" s="8"/>
      <c r="J125" s="175"/>
      <c r="K125" s="8">
        <f t="shared" si="8"/>
        <v>864500</v>
      </c>
      <c r="L125" s="8">
        <f t="shared" si="9"/>
        <v>864498.97</v>
      </c>
      <c r="M125" s="499">
        <f t="shared" si="10"/>
        <v>0.99999880855986112</v>
      </c>
    </row>
    <row r="126" spans="1:13" ht="16.2" x14ac:dyDescent="0.3">
      <c r="A126" s="802"/>
      <c r="B126" s="803"/>
      <c r="C126" s="803"/>
      <c r="D126" s="1030" t="s">
        <v>458</v>
      </c>
      <c r="E126" s="37">
        <v>864500</v>
      </c>
      <c r="F126" s="37">
        <v>864498.97</v>
      </c>
      <c r="G126" s="175">
        <f t="shared" si="1"/>
        <v>0.99999880855986112</v>
      </c>
      <c r="H126" s="8"/>
      <c r="I126" s="8"/>
      <c r="J126" s="175"/>
      <c r="K126" s="8">
        <f t="shared" si="8"/>
        <v>864500</v>
      </c>
      <c r="L126" s="8">
        <f t="shared" si="9"/>
        <v>864498.97</v>
      </c>
      <c r="M126" s="499">
        <f t="shared" si="10"/>
        <v>0.99999880855986112</v>
      </c>
    </row>
    <row r="127" spans="1:13" x14ac:dyDescent="0.3">
      <c r="A127" s="802"/>
      <c r="B127" s="803"/>
      <c r="C127" s="803"/>
      <c r="D127" s="1031" t="s">
        <v>459</v>
      </c>
      <c r="E127" s="37">
        <v>309144</v>
      </c>
      <c r="F127" s="37">
        <v>309143.53000000003</v>
      </c>
      <c r="G127" s="175">
        <f t="shared" si="1"/>
        <v>0.99999847967290334</v>
      </c>
      <c r="H127" s="8"/>
      <c r="I127" s="8"/>
      <c r="J127" s="175"/>
      <c r="K127" s="8">
        <f t="shared" si="8"/>
        <v>309144</v>
      </c>
      <c r="L127" s="8">
        <f t="shared" si="9"/>
        <v>309143.53000000003</v>
      </c>
      <c r="M127" s="499">
        <f t="shared" si="10"/>
        <v>0.99999847967290334</v>
      </c>
    </row>
    <row r="128" spans="1:13" ht="31.8" thickBot="1" x14ac:dyDescent="0.35">
      <c r="A128" s="35"/>
      <c r="B128" s="36"/>
      <c r="C128" s="36"/>
      <c r="D128" s="1032" t="s">
        <v>460</v>
      </c>
      <c r="E128" s="38">
        <v>9157.0400000000009</v>
      </c>
      <c r="F128" s="38">
        <v>9157.0400000000009</v>
      </c>
      <c r="G128" s="176">
        <f t="shared" si="1"/>
        <v>1</v>
      </c>
      <c r="H128" s="14"/>
      <c r="I128" s="14"/>
      <c r="J128" s="176"/>
      <c r="K128" s="14">
        <f t="shared" si="8"/>
        <v>9157.0400000000009</v>
      </c>
      <c r="L128" s="14">
        <f t="shared" si="9"/>
        <v>9157.0400000000009</v>
      </c>
      <c r="M128" s="500">
        <f t="shared" si="10"/>
        <v>1</v>
      </c>
    </row>
    <row r="129" spans="1:13" ht="47.4" thickBot="1" x14ac:dyDescent="0.35">
      <c r="A129" s="32" t="s">
        <v>68</v>
      </c>
      <c r="B129" s="33" t="s">
        <v>14</v>
      </c>
      <c r="C129" s="33" t="s">
        <v>14</v>
      </c>
      <c r="D129" s="34" t="s">
        <v>69</v>
      </c>
      <c r="E129" s="47">
        <f>E130</f>
        <v>41897125</v>
      </c>
      <c r="F129" s="47">
        <f>F130</f>
        <v>37119798.219999999</v>
      </c>
      <c r="G129" s="173">
        <f t="shared" si="1"/>
        <v>0.88597483049254566</v>
      </c>
      <c r="H129" s="47">
        <f>H130</f>
        <v>3847633</v>
      </c>
      <c r="I129" s="47">
        <f>I130</f>
        <v>3913266.69</v>
      </c>
      <c r="J129" s="173">
        <f t="shared" si="2"/>
        <v>1.0170581991577679</v>
      </c>
      <c r="K129" s="12">
        <f>K130</f>
        <v>45744758</v>
      </c>
      <c r="L129" s="12">
        <f>L130</f>
        <v>41033064.910000004</v>
      </c>
      <c r="M129" s="182">
        <f t="shared" si="10"/>
        <v>0.89700037127751342</v>
      </c>
    </row>
    <row r="130" spans="1:13" ht="47.4" thickBot="1" x14ac:dyDescent="0.35">
      <c r="A130" s="837" t="s">
        <v>70</v>
      </c>
      <c r="B130" s="836" t="s">
        <v>14</v>
      </c>
      <c r="C130" s="836" t="s">
        <v>14</v>
      </c>
      <c r="D130" s="1036" t="s">
        <v>69</v>
      </c>
      <c r="E130" s="1039">
        <f>E131+E137+E139+E141+E147+E149+E151+E153+E158+E162</f>
        <v>41897125</v>
      </c>
      <c r="F130" s="1039">
        <f>F131+F137+F139+F141+F147+F149+F151+F153+F158+F162</f>
        <v>37119798.219999999</v>
      </c>
      <c r="G130" s="173">
        <f t="shared" si="1"/>
        <v>0.88597483049254566</v>
      </c>
      <c r="H130" s="1039">
        <f>H131+H137+H139+H141+H147+H149+H151+H153+H158+H162+H155</f>
        <v>3847633</v>
      </c>
      <c r="I130" s="1039">
        <f>I131+I137+I139+I141+I147+I149+I151+I153+I158+I162+I155</f>
        <v>3913266.69</v>
      </c>
      <c r="J130" s="173">
        <f t="shared" si="2"/>
        <v>1.0170581991577679</v>
      </c>
      <c r="K130" s="1041">
        <f>K131+K137+K139+K141+K147+K149+K151+K153+K158+K162+K155</f>
        <v>45744758</v>
      </c>
      <c r="L130" s="1041">
        <f>L131+L137+L139+L141+L147+L149+L151+L153+L158+L162+L155</f>
        <v>41033064.910000004</v>
      </c>
      <c r="M130" s="182">
        <f t="shared" si="10"/>
        <v>0.89700037127751342</v>
      </c>
    </row>
    <row r="131" spans="1:13" ht="46.8" x14ac:dyDescent="0.3">
      <c r="A131" s="838" t="s">
        <v>181</v>
      </c>
      <c r="B131" s="839" t="s">
        <v>44</v>
      </c>
      <c r="C131" s="839" t="s">
        <v>17</v>
      </c>
      <c r="D131" s="1035" t="s">
        <v>175</v>
      </c>
      <c r="E131" s="39">
        <f>E132</f>
        <v>8297992</v>
      </c>
      <c r="F131" s="39">
        <f>F132</f>
        <v>8055775.7800000003</v>
      </c>
      <c r="G131" s="174">
        <f t="shared" si="1"/>
        <v>0.97081026108485047</v>
      </c>
      <c r="H131" s="540">
        <f>H135</f>
        <v>46000</v>
      </c>
      <c r="I131" s="540">
        <f>I135</f>
        <v>46000</v>
      </c>
      <c r="J131" s="174">
        <f t="shared" si="2"/>
        <v>1</v>
      </c>
      <c r="K131" s="540">
        <f>E131+H131</f>
        <v>8343992</v>
      </c>
      <c r="L131" s="540">
        <f>F131+I131</f>
        <v>8101775.7800000003</v>
      </c>
      <c r="M131" s="498">
        <f t="shared" si="10"/>
        <v>0.97097118261858351</v>
      </c>
    </row>
    <row r="132" spans="1:13" ht="16.2" x14ac:dyDescent="0.3">
      <c r="A132" s="802"/>
      <c r="B132" s="803"/>
      <c r="C132" s="803"/>
      <c r="D132" s="1030" t="s">
        <v>458</v>
      </c>
      <c r="E132" s="37">
        <v>8297992</v>
      </c>
      <c r="F132" s="37">
        <v>8055775.7800000003</v>
      </c>
      <c r="G132" s="175">
        <f t="shared" si="1"/>
        <v>0.97081026108485047</v>
      </c>
      <c r="H132" s="8"/>
      <c r="I132" s="8"/>
      <c r="J132" s="175"/>
      <c r="K132" s="8">
        <f t="shared" ref="K132:K163" si="13">E132+H132</f>
        <v>8297992</v>
      </c>
      <c r="L132" s="8">
        <f t="shared" ref="L132:L163" si="14">F132+I132</f>
        <v>8055775.7800000003</v>
      </c>
      <c r="M132" s="499">
        <f t="shared" si="10"/>
        <v>0.97081026108485047</v>
      </c>
    </row>
    <row r="133" spans="1:13" x14ac:dyDescent="0.3">
      <c r="A133" s="802"/>
      <c r="B133" s="803"/>
      <c r="C133" s="803"/>
      <c r="D133" s="1031" t="s">
        <v>459</v>
      </c>
      <c r="E133" s="37">
        <v>7888588</v>
      </c>
      <c r="F133" s="37">
        <v>7681186.0700000003</v>
      </c>
      <c r="G133" s="175">
        <f t="shared" si="1"/>
        <v>0.97370861173127565</v>
      </c>
      <c r="H133" s="8"/>
      <c r="I133" s="8"/>
      <c r="J133" s="175"/>
      <c r="K133" s="8">
        <f t="shared" si="13"/>
        <v>7888588</v>
      </c>
      <c r="L133" s="8">
        <f t="shared" si="14"/>
        <v>7681186.0700000003</v>
      </c>
      <c r="M133" s="499">
        <f t="shared" si="10"/>
        <v>0.97370861173127565</v>
      </c>
    </row>
    <row r="134" spans="1:13" ht="31.2" x14ac:dyDescent="0.3">
      <c r="A134" s="802"/>
      <c r="B134" s="803"/>
      <c r="C134" s="803"/>
      <c r="D134" s="1031" t="s">
        <v>460</v>
      </c>
      <c r="E134" s="37">
        <v>175849</v>
      </c>
      <c r="F134" s="37">
        <v>144090.91</v>
      </c>
      <c r="G134" s="175">
        <f t="shared" si="1"/>
        <v>0.81940136139528807</v>
      </c>
      <c r="H134" s="8"/>
      <c r="I134" s="8"/>
      <c r="J134" s="175"/>
      <c r="K134" s="8">
        <f t="shared" si="13"/>
        <v>175849</v>
      </c>
      <c r="L134" s="8">
        <f t="shared" si="14"/>
        <v>144090.91</v>
      </c>
      <c r="M134" s="499">
        <f t="shared" si="10"/>
        <v>0.81940136139528807</v>
      </c>
    </row>
    <row r="135" spans="1:13" ht="16.2" x14ac:dyDescent="0.3">
      <c r="A135" s="802"/>
      <c r="B135" s="803"/>
      <c r="C135" s="803"/>
      <c r="D135" s="1030" t="s">
        <v>461</v>
      </c>
      <c r="E135" s="37"/>
      <c r="F135" s="37"/>
      <c r="G135" s="175"/>
      <c r="H135" s="8">
        <f>H136</f>
        <v>46000</v>
      </c>
      <c r="I135" s="8">
        <f>I136</f>
        <v>46000</v>
      </c>
      <c r="J135" s="175">
        <f t="shared" si="2"/>
        <v>1</v>
      </c>
      <c r="K135" s="8">
        <f t="shared" si="13"/>
        <v>46000</v>
      </c>
      <c r="L135" s="8">
        <f t="shared" si="14"/>
        <v>46000</v>
      </c>
      <c r="M135" s="499">
        <f t="shared" si="10"/>
        <v>1</v>
      </c>
    </row>
    <row r="136" spans="1:13" x14ac:dyDescent="0.3">
      <c r="A136" s="802"/>
      <c r="B136" s="803"/>
      <c r="C136" s="803"/>
      <c r="D136" s="1031" t="s">
        <v>462</v>
      </c>
      <c r="E136" s="37"/>
      <c r="F136" s="37"/>
      <c r="G136" s="175"/>
      <c r="H136" s="8">
        <v>46000</v>
      </c>
      <c r="I136" s="8">
        <v>46000</v>
      </c>
      <c r="J136" s="175">
        <f t="shared" si="2"/>
        <v>1</v>
      </c>
      <c r="K136" s="8">
        <f t="shared" si="13"/>
        <v>46000</v>
      </c>
      <c r="L136" s="8">
        <f t="shared" si="14"/>
        <v>46000</v>
      </c>
      <c r="M136" s="499">
        <f t="shared" si="10"/>
        <v>1</v>
      </c>
    </row>
    <row r="137" spans="1:13" ht="31.2" x14ac:dyDescent="0.3">
      <c r="A137" s="802" t="s">
        <v>71</v>
      </c>
      <c r="B137" s="803" t="s">
        <v>72</v>
      </c>
      <c r="C137" s="803" t="s">
        <v>73</v>
      </c>
      <c r="D137" s="26" t="s">
        <v>74</v>
      </c>
      <c r="E137" s="37">
        <f>E138</f>
        <v>12750</v>
      </c>
      <c r="F137" s="37">
        <f>F138</f>
        <v>5230.8500000000004</v>
      </c>
      <c r="G137" s="175">
        <f t="shared" si="1"/>
        <v>0.41026274509803923</v>
      </c>
      <c r="H137" s="8">
        <v>0</v>
      </c>
      <c r="I137" s="8">
        <v>0</v>
      </c>
      <c r="J137" s="175"/>
      <c r="K137" s="8">
        <f t="shared" si="13"/>
        <v>12750</v>
      </c>
      <c r="L137" s="8">
        <f t="shared" si="14"/>
        <v>5230.8500000000004</v>
      </c>
      <c r="M137" s="499">
        <f t="shared" si="10"/>
        <v>0.41026274509803923</v>
      </c>
    </row>
    <row r="138" spans="1:13" ht="16.2" x14ac:dyDescent="0.3">
      <c r="A138" s="802"/>
      <c r="B138" s="803"/>
      <c r="C138" s="803"/>
      <c r="D138" s="1030" t="s">
        <v>458</v>
      </c>
      <c r="E138" s="37">
        <v>12750</v>
      </c>
      <c r="F138" s="37">
        <v>5230.8500000000004</v>
      </c>
      <c r="G138" s="175">
        <f t="shared" si="1"/>
        <v>0.41026274509803923</v>
      </c>
      <c r="H138" s="8"/>
      <c r="I138" s="8"/>
      <c r="J138" s="175"/>
      <c r="K138" s="8">
        <f t="shared" si="13"/>
        <v>12750</v>
      </c>
      <c r="L138" s="8">
        <f t="shared" si="14"/>
        <v>5230.8500000000004</v>
      </c>
      <c r="M138" s="499">
        <f t="shared" si="10"/>
        <v>0.41026274509803923</v>
      </c>
    </row>
    <row r="139" spans="1:13" ht="31.2" x14ac:dyDescent="0.3">
      <c r="A139" s="802" t="s">
        <v>75</v>
      </c>
      <c r="B139" s="803" t="s">
        <v>76</v>
      </c>
      <c r="C139" s="803" t="s">
        <v>54</v>
      </c>
      <c r="D139" s="26" t="s">
        <v>77</v>
      </c>
      <c r="E139" s="37">
        <f>E140</f>
        <v>8400</v>
      </c>
      <c r="F139" s="37">
        <f>F140</f>
        <v>8134.64</v>
      </c>
      <c r="G139" s="175">
        <f t="shared" si="1"/>
        <v>0.96840952380952383</v>
      </c>
      <c r="H139" s="8">
        <v>0</v>
      </c>
      <c r="I139" s="8">
        <v>0</v>
      </c>
      <c r="J139" s="175"/>
      <c r="K139" s="8">
        <f t="shared" si="13"/>
        <v>8400</v>
      </c>
      <c r="L139" s="8">
        <f t="shared" si="14"/>
        <v>8134.64</v>
      </c>
      <c r="M139" s="499">
        <f t="shared" si="10"/>
        <v>0.96840952380952383</v>
      </c>
    </row>
    <row r="140" spans="1:13" ht="16.2" x14ac:dyDescent="0.3">
      <c r="A140" s="802"/>
      <c r="B140" s="803"/>
      <c r="C140" s="803"/>
      <c r="D140" s="1030" t="s">
        <v>458</v>
      </c>
      <c r="E140" s="37">
        <v>8400</v>
      </c>
      <c r="F140" s="37">
        <v>8134.64</v>
      </c>
      <c r="G140" s="175">
        <f t="shared" si="1"/>
        <v>0.96840952380952383</v>
      </c>
      <c r="H140" s="8"/>
      <c r="I140" s="8"/>
      <c r="J140" s="175"/>
      <c r="K140" s="8">
        <f t="shared" si="13"/>
        <v>8400</v>
      </c>
      <c r="L140" s="8">
        <f t="shared" si="14"/>
        <v>8134.64</v>
      </c>
      <c r="M140" s="499">
        <f t="shared" si="10"/>
        <v>0.96840952380952383</v>
      </c>
    </row>
    <row r="141" spans="1:13" ht="31.2" x14ac:dyDescent="0.3">
      <c r="A141" s="802" t="s">
        <v>182</v>
      </c>
      <c r="B141" s="803" t="s">
        <v>183</v>
      </c>
      <c r="C141" s="803" t="s">
        <v>46</v>
      </c>
      <c r="D141" s="26" t="s">
        <v>184</v>
      </c>
      <c r="E141" s="37">
        <f>E142</f>
        <v>4376131</v>
      </c>
      <c r="F141" s="37">
        <f>F142</f>
        <v>4022423.07</v>
      </c>
      <c r="G141" s="175">
        <f t="shared" si="1"/>
        <v>0.91917336798189997</v>
      </c>
      <c r="H141" s="8">
        <f>H145</f>
        <v>80500</v>
      </c>
      <c r="I141" s="8">
        <f>I145</f>
        <v>72869</v>
      </c>
      <c r="J141" s="175">
        <f t="shared" si="2"/>
        <v>0.90520496894409941</v>
      </c>
      <c r="K141" s="8">
        <f t="shared" si="13"/>
        <v>4456631</v>
      </c>
      <c r="L141" s="8">
        <f t="shared" si="14"/>
        <v>4095292.07</v>
      </c>
      <c r="M141" s="499">
        <f t="shared" si="10"/>
        <v>0.91892105718422723</v>
      </c>
    </row>
    <row r="142" spans="1:13" ht="16.2" x14ac:dyDescent="0.3">
      <c r="A142" s="802"/>
      <c r="B142" s="803"/>
      <c r="C142" s="803"/>
      <c r="D142" s="1030" t="s">
        <v>458</v>
      </c>
      <c r="E142" s="37">
        <v>4376131</v>
      </c>
      <c r="F142" s="37">
        <v>4022423.07</v>
      </c>
      <c r="G142" s="175">
        <f t="shared" si="1"/>
        <v>0.91917336798189997</v>
      </c>
      <c r="H142" s="8"/>
      <c r="I142" s="8"/>
      <c r="J142" s="175"/>
      <c r="K142" s="8">
        <f t="shared" si="13"/>
        <v>4376131</v>
      </c>
      <c r="L142" s="8">
        <f t="shared" si="14"/>
        <v>4022423.07</v>
      </c>
      <c r="M142" s="499">
        <f t="shared" si="10"/>
        <v>0.91917336798189997</v>
      </c>
    </row>
    <row r="143" spans="1:13" x14ac:dyDescent="0.3">
      <c r="A143" s="802"/>
      <c r="B143" s="803"/>
      <c r="C143" s="803"/>
      <c r="D143" s="1031" t="s">
        <v>459</v>
      </c>
      <c r="E143" s="37">
        <v>4118841</v>
      </c>
      <c r="F143" s="37">
        <v>3805150.76</v>
      </c>
      <c r="G143" s="175">
        <f t="shared" si="1"/>
        <v>0.9238401676588146</v>
      </c>
      <c r="H143" s="8"/>
      <c r="I143" s="8"/>
      <c r="J143" s="175"/>
      <c r="K143" s="8">
        <f t="shared" si="13"/>
        <v>4118841</v>
      </c>
      <c r="L143" s="8">
        <f t="shared" si="14"/>
        <v>3805150.76</v>
      </c>
      <c r="M143" s="499">
        <f t="shared" si="10"/>
        <v>0.9238401676588146</v>
      </c>
    </row>
    <row r="144" spans="1:13" ht="31.2" x14ac:dyDescent="0.3">
      <c r="A144" s="802"/>
      <c r="B144" s="803"/>
      <c r="C144" s="803"/>
      <c r="D144" s="1031" t="s">
        <v>460</v>
      </c>
      <c r="E144" s="37">
        <v>88416</v>
      </c>
      <c r="F144" s="37">
        <v>48399.35</v>
      </c>
      <c r="G144" s="175">
        <f t="shared" si="1"/>
        <v>0.54740488146941724</v>
      </c>
      <c r="H144" s="8"/>
      <c r="I144" s="8"/>
      <c r="J144" s="175"/>
      <c r="K144" s="8">
        <f t="shared" si="13"/>
        <v>88416</v>
      </c>
      <c r="L144" s="8">
        <f t="shared" si="14"/>
        <v>48399.35</v>
      </c>
      <c r="M144" s="499">
        <f t="shared" si="10"/>
        <v>0.54740488146941724</v>
      </c>
    </row>
    <row r="145" spans="1:13" ht="16.2" x14ac:dyDescent="0.3">
      <c r="A145" s="802"/>
      <c r="B145" s="803"/>
      <c r="C145" s="803"/>
      <c r="D145" s="1030" t="s">
        <v>461</v>
      </c>
      <c r="E145" s="37"/>
      <c r="F145" s="37"/>
      <c r="G145" s="175"/>
      <c r="H145" s="8">
        <f>H146</f>
        <v>80500</v>
      </c>
      <c r="I145" s="8">
        <f>I146</f>
        <v>72869</v>
      </c>
      <c r="J145" s="175">
        <f t="shared" si="2"/>
        <v>0.90520496894409941</v>
      </c>
      <c r="K145" s="8">
        <f t="shared" si="13"/>
        <v>80500</v>
      </c>
      <c r="L145" s="8">
        <f t="shared" si="14"/>
        <v>72869</v>
      </c>
      <c r="M145" s="499">
        <f t="shared" si="10"/>
        <v>0.90520496894409941</v>
      </c>
    </row>
    <row r="146" spans="1:13" x14ac:dyDescent="0.3">
      <c r="A146" s="802"/>
      <c r="B146" s="803"/>
      <c r="C146" s="803"/>
      <c r="D146" s="1031" t="s">
        <v>462</v>
      </c>
      <c r="E146" s="37"/>
      <c r="F146" s="37"/>
      <c r="G146" s="175"/>
      <c r="H146" s="8">
        <v>80500</v>
      </c>
      <c r="I146" s="8">
        <v>72869</v>
      </c>
      <c r="J146" s="175">
        <f>I146/H146</f>
        <v>0.90520496894409941</v>
      </c>
      <c r="K146" s="8">
        <f t="shared" si="13"/>
        <v>80500</v>
      </c>
      <c r="L146" s="8">
        <f t="shared" si="14"/>
        <v>72869</v>
      </c>
      <c r="M146" s="499">
        <f t="shared" si="10"/>
        <v>0.90520496894409941</v>
      </c>
    </row>
    <row r="147" spans="1:13" ht="46.8" x14ac:dyDescent="0.3">
      <c r="A147" s="57" t="s">
        <v>257</v>
      </c>
      <c r="B147" s="31" t="s">
        <v>258</v>
      </c>
      <c r="C147" s="56" t="s">
        <v>54</v>
      </c>
      <c r="D147" s="26" t="s">
        <v>259</v>
      </c>
      <c r="E147" s="37">
        <f>E148</f>
        <v>57773</v>
      </c>
      <c r="F147" s="37">
        <f>F148</f>
        <v>49854.69</v>
      </c>
      <c r="G147" s="175">
        <f t="shared" si="1"/>
        <v>0.86294099319751449</v>
      </c>
      <c r="H147" s="8">
        <v>0</v>
      </c>
      <c r="I147" s="8">
        <v>0</v>
      </c>
      <c r="J147" s="175"/>
      <c r="K147" s="8">
        <f t="shared" si="13"/>
        <v>57773</v>
      </c>
      <c r="L147" s="8">
        <f t="shared" si="14"/>
        <v>49854.69</v>
      </c>
      <c r="M147" s="499">
        <f t="shared" si="10"/>
        <v>0.86294099319751449</v>
      </c>
    </row>
    <row r="148" spans="1:13" ht="16.2" x14ac:dyDescent="0.3">
      <c r="A148" s="57"/>
      <c r="B148" s="31"/>
      <c r="C148" s="56"/>
      <c r="D148" s="1030" t="s">
        <v>458</v>
      </c>
      <c r="E148" s="37">
        <v>57773</v>
      </c>
      <c r="F148" s="37">
        <v>49854.69</v>
      </c>
      <c r="G148" s="175">
        <f t="shared" si="1"/>
        <v>0.86294099319751449</v>
      </c>
      <c r="H148" s="8"/>
      <c r="I148" s="8"/>
      <c r="J148" s="175"/>
      <c r="K148" s="8">
        <f t="shared" si="13"/>
        <v>57773</v>
      </c>
      <c r="L148" s="8">
        <f t="shared" si="14"/>
        <v>49854.69</v>
      </c>
      <c r="M148" s="499">
        <f t="shared" si="10"/>
        <v>0.86294099319751449</v>
      </c>
    </row>
    <row r="149" spans="1:13" ht="31.2" x14ac:dyDescent="0.3">
      <c r="A149" s="57" t="s">
        <v>260</v>
      </c>
      <c r="B149" s="31" t="s">
        <v>261</v>
      </c>
      <c r="C149" s="31" t="s">
        <v>73</v>
      </c>
      <c r="D149" s="496" t="s">
        <v>262</v>
      </c>
      <c r="E149" s="37">
        <f>E150</f>
        <v>164690</v>
      </c>
      <c r="F149" s="37">
        <f>F150</f>
        <v>48100</v>
      </c>
      <c r="G149" s="175">
        <f t="shared" si="1"/>
        <v>0.29206387758819602</v>
      </c>
      <c r="H149" s="8">
        <v>0</v>
      </c>
      <c r="I149" s="8">
        <v>0</v>
      </c>
      <c r="J149" s="175"/>
      <c r="K149" s="8">
        <f t="shared" si="13"/>
        <v>164690</v>
      </c>
      <c r="L149" s="8">
        <f t="shared" si="14"/>
        <v>48100</v>
      </c>
      <c r="M149" s="499">
        <f t="shared" si="10"/>
        <v>0.29206387758819602</v>
      </c>
    </row>
    <row r="150" spans="1:13" ht="16.2" x14ac:dyDescent="0.3">
      <c r="A150" s="57"/>
      <c r="B150" s="31"/>
      <c r="C150" s="31"/>
      <c r="D150" s="1030" t="s">
        <v>458</v>
      </c>
      <c r="E150" s="37">
        <v>164690</v>
      </c>
      <c r="F150" s="37">
        <v>48100</v>
      </c>
      <c r="G150" s="175">
        <f t="shared" si="1"/>
        <v>0.29206387758819602</v>
      </c>
      <c r="H150" s="8"/>
      <c r="I150" s="8"/>
      <c r="J150" s="175"/>
      <c r="K150" s="8">
        <f t="shared" si="13"/>
        <v>164690</v>
      </c>
      <c r="L150" s="8">
        <f t="shared" si="14"/>
        <v>48100</v>
      </c>
      <c r="M150" s="499">
        <f t="shared" si="10"/>
        <v>0.29206387758819602</v>
      </c>
    </row>
    <row r="151" spans="1:13" ht="93.6" x14ac:dyDescent="0.3">
      <c r="A151" s="802" t="s">
        <v>185</v>
      </c>
      <c r="B151" s="803" t="s">
        <v>186</v>
      </c>
      <c r="C151" s="803" t="s">
        <v>46</v>
      </c>
      <c r="D151" s="26" t="s">
        <v>187</v>
      </c>
      <c r="E151" s="37">
        <f>E152</f>
        <v>230280</v>
      </c>
      <c r="F151" s="37">
        <f>F152</f>
        <v>160529.60999999999</v>
      </c>
      <c r="G151" s="175">
        <f t="shared" si="1"/>
        <v>0.69710617509119321</v>
      </c>
      <c r="H151" s="8">
        <v>0</v>
      </c>
      <c r="I151" s="8">
        <v>0</v>
      </c>
      <c r="J151" s="175"/>
      <c r="K151" s="8">
        <f t="shared" si="13"/>
        <v>230280</v>
      </c>
      <c r="L151" s="8">
        <f t="shared" si="14"/>
        <v>160529.60999999999</v>
      </c>
      <c r="M151" s="499">
        <f t="shared" si="10"/>
        <v>0.69710617509119321</v>
      </c>
    </row>
    <row r="152" spans="1:13" ht="16.2" x14ac:dyDescent="0.3">
      <c r="A152" s="802"/>
      <c r="B152" s="803"/>
      <c r="C152" s="803"/>
      <c r="D152" s="1030" t="s">
        <v>458</v>
      </c>
      <c r="E152" s="37">
        <v>230280</v>
      </c>
      <c r="F152" s="37">
        <v>160529.60999999999</v>
      </c>
      <c r="G152" s="175">
        <f t="shared" si="1"/>
        <v>0.69710617509119321</v>
      </c>
      <c r="H152" s="8"/>
      <c r="I152" s="8"/>
      <c r="J152" s="175"/>
      <c r="K152" s="8">
        <f t="shared" si="13"/>
        <v>230280</v>
      </c>
      <c r="L152" s="8">
        <f t="shared" si="14"/>
        <v>160529.60999999999</v>
      </c>
      <c r="M152" s="499">
        <f t="shared" si="10"/>
        <v>0.69710617509119321</v>
      </c>
    </row>
    <row r="153" spans="1:13" ht="60.75" customHeight="1" x14ac:dyDescent="0.3">
      <c r="A153" s="57" t="s">
        <v>263</v>
      </c>
      <c r="B153" s="31" t="s">
        <v>264</v>
      </c>
      <c r="C153" s="31" t="s">
        <v>46</v>
      </c>
      <c r="D153" s="497" t="s">
        <v>265</v>
      </c>
      <c r="E153" s="37">
        <f>E154</f>
        <v>17623</v>
      </c>
      <c r="F153" s="37">
        <f>F154</f>
        <v>14531.83</v>
      </c>
      <c r="G153" s="175">
        <f t="shared" si="1"/>
        <v>0.82459456392214714</v>
      </c>
      <c r="H153" s="8"/>
      <c r="I153" s="8">
        <v>0</v>
      </c>
      <c r="J153" s="175"/>
      <c r="K153" s="8">
        <f t="shared" si="13"/>
        <v>17623</v>
      </c>
      <c r="L153" s="8">
        <f t="shared" si="14"/>
        <v>14531.83</v>
      </c>
      <c r="M153" s="499">
        <f t="shared" si="10"/>
        <v>0.82459456392214714</v>
      </c>
    </row>
    <row r="154" spans="1:13" ht="17.399999999999999" customHeight="1" x14ac:dyDescent="0.3">
      <c r="A154" s="57"/>
      <c r="B154" s="31"/>
      <c r="C154" s="31"/>
      <c r="D154" s="1030" t="s">
        <v>458</v>
      </c>
      <c r="E154" s="37">
        <v>17623</v>
      </c>
      <c r="F154" s="37">
        <v>14531.83</v>
      </c>
      <c r="G154" s="175">
        <f t="shared" si="1"/>
        <v>0.82459456392214714</v>
      </c>
      <c r="H154" s="8"/>
      <c r="I154" s="8"/>
      <c r="J154" s="175"/>
      <c r="K154" s="8">
        <f t="shared" si="13"/>
        <v>17623</v>
      </c>
      <c r="L154" s="8">
        <f t="shared" si="14"/>
        <v>14531.83</v>
      </c>
      <c r="M154" s="499">
        <f t="shared" si="10"/>
        <v>0.82459456392214714</v>
      </c>
    </row>
    <row r="155" spans="1:13" ht="261.75" customHeight="1" x14ac:dyDescent="0.3">
      <c r="A155" s="57" t="s">
        <v>608</v>
      </c>
      <c r="B155" s="31" t="s">
        <v>607</v>
      </c>
      <c r="C155" s="31" t="s">
        <v>609</v>
      </c>
      <c r="D155" s="1046" t="s">
        <v>735</v>
      </c>
      <c r="E155" s="37"/>
      <c r="F155" s="37"/>
      <c r="G155" s="175"/>
      <c r="H155" s="8">
        <f>H156</f>
        <v>3708133</v>
      </c>
      <c r="I155" s="8">
        <f>I156</f>
        <v>3682401.28</v>
      </c>
      <c r="J155" s="175">
        <f t="shared" si="2"/>
        <v>0.99306073433719877</v>
      </c>
      <c r="K155" s="8">
        <f t="shared" si="13"/>
        <v>3708133</v>
      </c>
      <c r="L155" s="8">
        <f t="shared" si="14"/>
        <v>3682401.28</v>
      </c>
      <c r="M155" s="499">
        <f t="shared" si="10"/>
        <v>0.99306073433719877</v>
      </c>
    </row>
    <row r="156" spans="1:13" ht="17.399999999999999" customHeight="1" x14ac:dyDescent="0.3">
      <c r="A156" s="57"/>
      <c r="B156" s="31"/>
      <c r="C156" s="31"/>
      <c r="D156" s="1030" t="s">
        <v>461</v>
      </c>
      <c r="E156" s="37"/>
      <c r="F156" s="37"/>
      <c r="G156" s="175"/>
      <c r="H156" s="8">
        <f>H157</f>
        <v>3708133</v>
      </c>
      <c r="I156" s="8">
        <f>I157</f>
        <v>3682401.28</v>
      </c>
      <c r="J156" s="175">
        <f t="shared" si="2"/>
        <v>0.99306073433719877</v>
      </c>
      <c r="K156" s="8">
        <f t="shared" si="13"/>
        <v>3708133</v>
      </c>
      <c r="L156" s="8">
        <f t="shared" si="14"/>
        <v>3682401.28</v>
      </c>
      <c r="M156" s="499">
        <f t="shared" si="10"/>
        <v>0.99306073433719877</v>
      </c>
    </row>
    <row r="157" spans="1:13" ht="17.399999999999999" customHeight="1" x14ac:dyDescent="0.3">
      <c r="A157" s="57"/>
      <c r="B157" s="31"/>
      <c r="C157" s="31"/>
      <c r="D157" s="1031" t="s">
        <v>462</v>
      </c>
      <c r="E157" s="37"/>
      <c r="F157" s="37"/>
      <c r="G157" s="175"/>
      <c r="H157" s="162">
        <v>3708133</v>
      </c>
      <c r="I157" s="162">
        <v>3682401.28</v>
      </c>
      <c r="J157" s="175">
        <f t="shared" si="2"/>
        <v>0.99306073433719877</v>
      </c>
      <c r="K157" s="8">
        <f t="shared" si="13"/>
        <v>3708133</v>
      </c>
      <c r="L157" s="8">
        <f t="shared" si="14"/>
        <v>3682401.28</v>
      </c>
      <c r="M157" s="499">
        <f t="shared" si="10"/>
        <v>0.99306073433719877</v>
      </c>
    </row>
    <row r="158" spans="1:13" ht="45" customHeight="1" x14ac:dyDescent="0.3">
      <c r="A158" s="802" t="s">
        <v>188</v>
      </c>
      <c r="B158" s="803" t="s">
        <v>189</v>
      </c>
      <c r="C158" s="803" t="s">
        <v>78</v>
      </c>
      <c r="D158" s="26" t="s">
        <v>190</v>
      </c>
      <c r="E158" s="37">
        <f>E159</f>
        <v>6023586</v>
      </c>
      <c r="F158" s="37">
        <f>F159</f>
        <v>5466817.75</v>
      </c>
      <c r="G158" s="175">
        <f t="shared" si="1"/>
        <v>0.90756863934539989</v>
      </c>
      <c r="H158" s="8">
        <f>H159</f>
        <v>13000</v>
      </c>
      <c r="I158" s="8">
        <f>I159</f>
        <v>18848.490000000002</v>
      </c>
      <c r="J158" s="175">
        <f t="shared" si="2"/>
        <v>1.4498838461538464</v>
      </c>
      <c r="K158" s="8">
        <f>E158+H158</f>
        <v>6036586</v>
      </c>
      <c r="L158" s="8">
        <f t="shared" si="14"/>
        <v>5485666.2400000002</v>
      </c>
      <c r="M158" s="499">
        <f t="shared" si="10"/>
        <v>0.90873653419333378</v>
      </c>
    </row>
    <row r="159" spans="1:13" ht="16.2" x14ac:dyDescent="0.3">
      <c r="A159" s="802"/>
      <c r="B159" s="803"/>
      <c r="C159" s="803"/>
      <c r="D159" s="1030" t="s">
        <v>458</v>
      </c>
      <c r="E159" s="37">
        <v>6023586</v>
      </c>
      <c r="F159" s="37">
        <v>5466817.75</v>
      </c>
      <c r="G159" s="175">
        <f t="shared" si="1"/>
        <v>0.90756863934539989</v>
      </c>
      <c r="H159" s="8">
        <v>13000</v>
      </c>
      <c r="I159" s="8">
        <v>18848.490000000002</v>
      </c>
      <c r="J159" s="175">
        <f t="shared" si="2"/>
        <v>1.4498838461538464</v>
      </c>
      <c r="K159" s="8">
        <f t="shared" si="13"/>
        <v>6036586</v>
      </c>
      <c r="L159" s="8">
        <f t="shared" si="14"/>
        <v>5485666.2400000002</v>
      </c>
      <c r="M159" s="499">
        <f t="shared" si="10"/>
        <v>0.90873653419333378</v>
      </c>
    </row>
    <row r="160" spans="1:13" ht="15.6" customHeight="1" x14ac:dyDescent="0.3">
      <c r="A160" s="802"/>
      <c r="B160" s="803"/>
      <c r="C160" s="803"/>
      <c r="D160" s="1031" t="s">
        <v>459</v>
      </c>
      <c r="E160" s="37">
        <v>5725115</v>
      </c>
      <c r="F160" s="37">
        <v>5195491.24</v>
      </c>
      <c r="G160" s="175">
        <f t="shared" si="1"/>
        <v>0.90749115781953726</v>
      </c>
      <c r="H160" s="8"/>
      <c r="I160" s="8"/>
      <c r="J160" s="175"/>
      <c r="K160" s="8">
        <f t="shared" si="13"/>
        <v>5725115</v>
      </c>
      <c r="L160" s="8">
        <f t="shared" si="14"/>
        <v>5195491.24</v>
      </c>
      <c r="M160" s="499">
        <f t="shared" si="10"/>
        <v>0.90749115781953726</v>
      </c>
    </row>
    <row r="161" spans="1:13" ht="31.2" x14ac:dyDescent="0.3">
      <c r="A161" s="802"/>
      <c r="B161" s="803"/>
      <c r="C161" s="803"/>
      <c r="D161" s="1031" t="s">
        <v>460</v>
      </c>
      <c r="E161" s="37">
        <v>100756</v>
      </c>
      <c r="F161" s="37">
        <v>76425.61</v>
      </c>
      <c r="G161" s="175">
        <f t="shared" si="1"/>
        <v>0.75852167612846877</v>
      </c>
      <c r="H161" s="8"/>
      <c r="I161" s="8"/>
      <c r="J161" s="175"/>
      <c r="K161" s="8">
        <f t="shared" si="13"/>
        <v>100756</v>
      </c>
      <c r="L161" s="8">
        <f t="shared" si="14"/>
        <v>76425.61</v>
      </c>
      <c r="M161" s="499">
        <f t="shared" si="10"/>
        <v>0.75852167612846877</v>
      </c>
    </row>
    <row r="162" spans="1:13" ht="31.5" customHeight="1" x14ac:dyDescent="0.3">
      <c r="A162" s="802" t="s">
        <v>79</v>
      </c>
      <c r="B162" s="803" t="s">
        <v>80</v>
      </c>
      <c r="C162" s="803" t="s">
        <v>78</v>
      </c>
      <c r="D162" s="26" t="s">
        <v>81</v>
      </c>
      <c r="E162" s="37">
        <f>E163</f>
        <v>22707900</v>
      </c>
      <c r="F162" s="37">
        <f>F163</f>
        <v>19288400</v>
      </c>
      <c r="G162" s="175">
        <f t="shared" si="1"/>
        <v>0.84941364018689536</v>
      </c>
      <c r="H162" s="8">
        <v>0</v>
      </c>
      <c r="I162" s="8">
        <f>I163</f>
        <v>93147.92</v>
      </c>
      <c r="J162" s="175"/>
      <c r="K162" s="8">
        <f t="shared" si="13"/>
        <v>22707900</v>
      </c>
      <c r="L162" s="8">
        <f t="shared" si="14"/>
        <v>19381547.920000002</v>
      </c>
      <c r="M162" s="499">
        <f t="shared" si="10"/>
        <v>0.85351564521598222</v>
      </c>
    </row>
    <row r="163" spans="1:13" ht="16.8" thickBot="1" x14ac:dyDescent="0.35">
      <c r="A163" s="35"/>
      <c r="B163" s="36"/>
      <c r="C163" s="36"/>
      <c r="D163" s="1033" t="s">
        <v>458</v>
      </c>
      <c r="E163" s="38">
        <v>22707900</v>
      </c>
      <c r="F163" s="38">
        <v>19288400</v>
      </c>
      <c r="G163" s="176">
        <f t="shared" si="1"/>
        <v>0.84941364018689536</v>
      </c>
      <c r="H163" s="14"/>
      <c r="I163" s="14">
        <v>93147.92</v>
      </c>
      <c r="J163" s="176"/>
      <c r="K163" s="14">
        <f t="shared" si="13"/>
        <v>22707900</v>
      </c>
      <c r="L163" s="14">
        <f t="shared" si="14"/>
        <v>19381547.920000002</v>
      </c>
      <c r="M163" s="500">
        <f t="shared" si="10"/>
        <v>0.85351564521598222</v>
      </c>
    </row>
    <row r="164" spans="1:13" ht="45.75" customHeight="1" thickBot="1" x14ac:dyDescent="0.35">
      <c r="A164" s="32" t="s">
        <v>82</v>
      </c>
      <c r="B164" s="33" t="s">
        <v>14</v>
      </c>
      <c r="C164" s="33" t="s">
        <v>14</v>
      </c>
      <c r="D164" s="34" t="s">
        <v>83</v>
      </c>
      <c r="E164" s="47">
        <f>E165</f>
        <v>1997047</v>
      </c>
      <c r="F164" s="47">
        <f>F165</f>
        <v>1930835.37</v>
      </c>
      <c r="G164" s="485">
        <f t="shared" si="1"/>
        <v>0.96684523198502592</v>
      </c>
      <c r="H164" s="47">
        <v>0</v>
      </c>
      <c r="I164" s="47">
        <v>0</v>
      </c>
      <c r="J164" s="485"/>
      <c r="K164" s="12">
        <f>K165</f>
        <v>1997047</v>
      </c>
      <c r="L164" s="12">
        <f>L165</f>
        <v>1930835.37</v>
      </c>
      <c r="M164" s="480">
        <f t="shared" si="10"/>
        <v>0.96684523198502592</v>
      </c>
    </row>
    <row r="165" spans="1:13" ht="47.4" thickBot="1" x14ac:dyDescent="0.35">
      <c r="A165" s="837" t="s">
        <v>84</v>
      </c>
      <c r="B165" s="836" t="s">
        <v>14</v>
      </c>
      <c r="C165" s="836" t="s">
        <v>14</v>
      </c>
      <c r="D165" s="1036" t="s">
        <v>83</v>
      </c>
      <c r="E165" s="1040">
        <f>E166+E169</f>
        <v>1997047</v>
      </c>
      <c r="F165" s="1040">
        <f>F166+F169</f>
        <v>1930835.37</v>
      </c>
      <c r="G165" s="173">
        <f t="shared" si="1"/>
        <v>0.96684523198502592</v>
      </c>
      <c r="H165" s="1040">
        <v>0</v>
      </c>
      <c r="I165" s="1040">
        <v>0</v>
      </c>
      <c r="J165" s="173"/>
      <c r="K165" s="1041">
        <f>K166+K169</f>
        <v>1997047</v>
      </c>
      <c r="L165" s="1041">
        <f>L166+L169</f>
        <v>1930835.37</v>
      </c>
      <c r="M165" s="182">
        <f t="shared" si="10"/>
        <v>0.96684523198502592</v>
      </c>
    </row>
    <row r="166" spans="1:13" ht="46.8" x14ac:dyDescent="0.3">
      <c r="A166" s="838" t="s">
        <v>191</v>
      </c>
      <c r="B166" s="839" t="s">
        <v>44</v>
      </c>
      <c r="C166" s="839" t="s">
        <v>17</v>
      </c>
      <c r="D166" s="1035" t="s">
        <v>175</v>
      </c>
      <c r="E166" s="39">
        <f>E167</f>
        <v>1965047</v>
      </c>
      <c r="F166" s="39">
        <f>F167</f>
        <v>1898835.37</v>
      </c>
      <c r="G166" s="174">
        <f t="shared" si="1"/>
        <v>0.96630531992364566</v>
      </c>
      <c r="H166" s="540">
        <v>0</v>
      </c>
      <c r="I166" s="540">
        <v>0</v>
      </c>
      <c r="J166" s="174"/>
      <c r="K166" s="540">
        <f>E166+H166</f>
        <v>1965047</v>
      </c>
      <c r="L166" s="540">
        <f>F166+I166</f>
        <v>1898835.37</v>
      </c>
      <c r="M166" s="498">
        <f t="shared" si="10"/>
        <v>0.96630531992364566</v>
      </c>
    </row>
    <row r="167" spans="1:13" ht="16.2" x14ac:dyDescent="0.3">
      <c r="A167" s="802"/>
      <c r="B167" s="803"/>
      <c r="C167" s="803"/>
      <c r="D167" s="1030" t="s">
        <v>458</v>
      </c>
      <c r="E167" s="37">
        <v>1965047</v>
      </c>
      <c r="F167" s="37">
        <v>1898835.37</v>
      </c>
      <c r="G167" s="175">
        <f t="shared" si="1"/>
        <v>0.96630531992364566</v>
      </c>
      <c r="H167" s="8"/>
      <c r="I167" s="8"/>
      <c r="J167" s="175"/>
      <c r="K167" s="8">
        <f t="shared" ref="K167:K170" si="15">E167+H167</f>
        <v>1965047</v>
      </c>
      <c r="L167" s="8">
        <f t="shared" ref="L167:L170" si="16">F167+I167</f>
        <v>1898835.37</v>
      </c>
      <c r="M167" s="499">
        <f t="shared" si="10"/>
        <v>0.96630531992364566</v>
      </c>
    </row>
    <row r="168" spans="1:13" x14ac:dyDescent="0.3">
      <c r="A168" s="802"/>
      <c r="B168" s="803"/>
      <c r="C168" s="803"/>
      <c r="D168" s="1031" t="s">
        <v>459</v>
      </c>
      <c r="E168" s="37">
        <v>1919735</v>
      </c>
      <c r="F168" s="37">
        <v>1855419.37</v>
      </c>
      <c r="G168" s="175">
        <f t="shared" si="1"/>
        <v>0.96649765201967985</v>
      </c>
      <c r="H168" s="8"/>
      <c r="I168" s="8"/>
      <c r="J168" s="175"/>
      <c r="K168" s="8">
        <f t="shared" si="15"/>
        <v>1919735</v>
      </c>
      <c r="L168" s="8">
        <f t="shared" si="16"/>
        <v>1855419.37</v>
      </c>
      <c r="M168" s="499">
        <f t="shared" si="10"/>
        <v>0.96649765201967985</v>
      </c>
    </row>
    <row r="169" spans="1:13" ht="31.2" x14ac:dyDescent="0.3">
      <c r="A169" s="802" t="s">
        <v>85</v>
      </c>
      <c r="B169" s="803" t="s">
        <v>86</v>
      </c>
      <c r="C169" s="803" t="s">
        <v>67</v>
      </c>
      <c r="D169" s="26" t="s">
        <v>87</v>
      </c>
      <c r="E169" s="37">
        <f>E170</f>
        <v>32000</v>
      </c>
      <c r="F169" s="37">
        <f>F170</f>
        <v>32000</v>
      </c>
      <c r="G169" s="175">
        <f t="shared" si="1"/>
        <v>1</v>
      </c>
      <c r="H169" s="8">
        <v>0</v>
      </c>
      <c r="I169" s="8">
        <v>0</v>
      </c>
      <c r="J169" s="175"/>
      <c r="K169" s="8">
        <f t="shared" si="15"/>
        <v>32000</v>
      </c>
      <c r="L169" s="8">
        <f t="shared" si="16"/>
        <v>32000</v>
      </c>
      <c r="M169" s="499">
        <f t="shared" si="10"/>
        <v>1</v>
      </c>
    </row>
    <row r="170" spans="1:13" ht="16.8" thickBot="1" x14ac:dyDescent="0.35">
      <c r="A170" s="35"/>
      <c r="B170" s="36"/>
      <c r="C170" s="36"/>
      <c r="D170" s="1033" t="s">
        <v>458</v>
      </c>
      <c r="E170" s="38">
        <v>32000</v>
      </c>
      <c r="F170" s="38">
        <v>32000</v>
      </c>
      <c r="G170" s="176">
        <f t="shared" si="1"/>
        <v>1</v>
      </c>
      <c r="H170" s="14"/>
      <c r="I170" s="14"/>
      <c r="J170" s="176"/>
      <c r="K170" s="14">
        <f t="shared" si="15"/>
        <v>32000</v>
      </c>
      <c r="L170" s="14">
        <f t="shared" si="16"/>
        <v>32000</v>
      </c>
      <c r="M170" s="500">
        <f t="shared" si="10"/>
        <v>1</v>
      </c>
    </row>
    <row r="171" spans="1:13" s="30" customFormat="1" ht="64.5" customHeight="1" thickBot="1" x14ac:dyDescent="0.35">
      <c r="A171" s="32" t="s">
        <v>88</v>
      </c>
      <c r="B171" s="33" t="s">
        <v>14</v>
      </c>
      <c r="C171" s="33" t="s">
        <v>14</v>
      </c>
      <c r="D171" s="34" t="s">
        <v>89</v>
      </c>
      <c r="E171" s="47">
        <f>E172</f>
        <v>91456718</v>
      </c>
      <c r="F171" s="47">
        <f>F172</f>
        <v>82077371.939999998</v>
      </c>
      <c r="G171" s="485">
        <f t="shared" si="1"/>
        <v>0.8974449743538796</v>
      </c>
      <c r="H171" s="47">
        <f>H172</f>
        <v>2869769</v>
      </c>
      <c r="I171" s="47">
        <f>I172</f>
        <v>2928760.17</v>
      </c>
      <c r="J171" s="485">
        <f t="shared" si="2"/>
        <v>1.0205560691470288</v>
      </c>
      <c r="K171" s="12">
        <f>K172</f>
        <v>94326487</v>
      </c>
      <c r="L171" s="12">
        <f>L172</f>
        <v>85006132.109999999</v>
      </c>
      <c r="M171" s="480">
        <f t="shared" si="10"/>
        <v>0.90119048014583647</v>
      </c>
    </row>
    <row r="172" spans="1:13" s="29" customFormat="1" ht="47.4" thickBot="1" x14ac:dyDescent="0.35">
      <c r="A172" s="837" t="s">
        <v>90</v>
      </c>
      <c r="B172" s="836" t="s">
        <v>14</v>
      </c>
      <c r="C172" s="836" t="s">
        <v>14</v>
      </c>
      <c r="D172" s="1036" t="s">
        <v>89</v>
      </c>
      <c r="E172" s="1040">
        <f>E173+E176+E182+E184+E190+E196+E200+E205+E207+E209+E213+E220+E226+E228+E217</f>
        <v>91456718</v>
      </c>
      <c r="F172" s="1040">
        <f>F173+F176+F182+F184+F190+F196+F200+F205+F207+F209+F213+F220+F226+F228+F217</f>
        <v>82077371.939999998</v>
      </c>
      <c r="G172" s="173">
        <f t="shared" si="1"/>
        <v>0.8974449743538796</v>
      </c>
      <c r="H172" s="1040">
        <f>H173+H176+H182+H184+H190+H196+H200+H205+H207+H209+H213+H220+H226+H228</f>
        <v>2869769</v>
      </c>
      <c r="I172" s="1040">
        <f>I173+I176+I182+I184+I190+I196+I200+I205+I207+I209+I213+I220+I226+I228</f>
        <v>2928760.17</v>
      </c>
      <c r="J172" s="173">
        <f t="shared" si="2"/>
        <v>1.0205560691470288</v>
      </c>
      <c r="K172" s="1041">
        <f>K173+K176+K182+K184+K190+K196+K200+K205+K207+K209+K213+K220+K226+K228+K217</f>
        <v>94326487</v>
      </c>
      <c r="L172" s="1041">
        <f>L173+L176+L182+L184+L190+L196+L200+L205+L207+L209+L213+L220+L226+L228+L217</f>
        <v>85006132.109999999</v>
      </c>
      <c r="M172" s="182">
        <f t="shared" si="10"/>
        <v>0.90119048014583647</v>
      </c>
    </row>
    <row r="173" spans="1:13" ht="47.25" customHeight="1" x14ac:dyDescent="0.3">
      <c r="A173" s="838" t="s">
        <v>192</v>
      </c>
      <c r="B173" s="839" t="s">
        <v>44</v>
      </c>
      <c r="C173" s="839" t="s">
        <v>17</v>
      </c>
      <c r="D173" s="1035" t="s">
        <v>175</v>
      </c>
      <c r="E173" s="39">
        <f>E174</f>
        <v>2735743</v>
      </c>
      <c r="F173" s="39">
        <f>F174</f>
        <v>2611505.87</v>
      </c>
      <c r="G173" s="174">
        <f t="shared" si="1"/>
        <v>0.95458742652361717</v>
      </c>
      <c r="H173" s="540">
        <v>0</v>
      </c>
      <c r="I173" s="540">
        <v>0</v>
      </c>
      <c r="J173" s="174"/>
      <c r="K173" s="540">
        <f>E173+H173</f>
        <v>2735743</v>
      </c>
      <c r="L173" s="540">
        <f>F173+I173</f>
        <v>2611505.87</v>
      </c>
      <c r="M173" s="498">
        <f t="shared" si="10"/>
        <v>0.95458742652361717</v>
      </c>
    </row>
    <row r="174" spans="1:13" ht="16.2" x14ac:dyDescent="0.3">
      <c r="A174" s="802"/>
      <c r="B174" s="803"/>
      <c r="C174" s="803"/>
      <c r="D174" s="1030" t="s">
        <v>458</v>
      </c>
      <c r="E174" s="37">
        <v>2735743</v>
      </c>
      <c r="F174" s="37">
        <v>2611505.87</v>
      </c>
      <c r="G174" s="175">
        <f t="shared" si="1"/>
        <v>0.95458742652361717</v>
      </c>
      <c r="H174" s="8"/>
      <c r="I174" s="8"/>
      <c r="J174" s="175"/>
      <c r="K174" s="8">
        <f t="shared" ref="K174:K230" si="17">E174+H174</f>
        <v>2735743</v>
      </c>
      <c r="L174" s="8">
        <f t="shared" ref="L174:L230" si="18">F174+I174</f>
        <v>2611505.87</v>
      </c>
      <c r="M174" s="499">
        <f t="shared" si="10"/>
        <v>0.95458742652361717</v>
      </c>
    </row>
    <row r="175" spans="1:13" x14ac:dyDescent="0.3">
      <c r="A175" s="802"/>
      <c r="B175" s="803"/>
      <c r="C175" s="803"/>
      <c r="D175" s="1031" t="s">
        <v>459</v>
      </c>
      <c r="E175" s="37">
        <v>2684431</v>
      </c>
      <c r="F175" s="37">
        <v>2560593.87</v>
      </c>
      <c r="G175" s="175">
        <f t="shared" si="1"/>
        <v>0.95386838775144533</v>
      </c>
      <c r="H175" s="8"/>
      <c r="I175" s="8"/>
      <c r="J175" s="175"/>
      <c r="K175" s="8">
        <f t="shared" si="17"/>
        <v>2684431</v>
      </c>
      <c r="L175" s="8">
        <f t="shared" si="18"/>
        <v>2560593.87</v>
      </c>
      <c r="M175" s="499">
        <f t="shared" si="10"/>
        <v>0.95386838775144533</v>
      </c>
    </row>
    <row r="176" spans="1:13" ht="31.2" x14ac:dyDescent="0.3">
      <c r="A176" s="802" t="s">
        <v>91</v>
      </c>
      <c r="B176" s="803" t="s">
        <v>92</v>
      </c>
      <c r="C176" s="803" t="s">
        <v>55</v>
      </c>
      <c r="D176" s="26" t="s">
        <v>93</v>
      </c>
      <c r="E176" s="37">
        <f>E177</f>
        <v>14526837</v>
      </c>
      <c r="F176" s="37">
        <f>F177</f>
        <v>13162831.810000001</v>
      </c>
      <c r="G176" s="175">
        <f t="shared" si="1"/>
        <v>0.90610446100551689</v>
      </c>
      <c r="H176" s="8">
        <f>H177+H180</f>
        <v>904685</v>
      </c>
      <c r="I176" s="8">
        <f>I177+I180</f>
        <v>904685</v>
      </c>
      <c r="J176" s="175">
        <f t="shared" si="2"/>
        <v>1</v>
      </c>
      <c r="K176" s="8">
        <f t="shared" si="17"/>
        <v>15431522</v>
      </c>
      <c r="L176" s="8">
        <f t="shared" si="18"/>
        <v>14067516.810000001</v>
      </c>
      <c r="M176" s="499">
        <f t="shared" si="10"/>
        <v>0.91160916013339455</v>
      </c>
    </row>
    <row r="177" spans="1:13" ht="16.2" x14ac:dyDescent="0.3">
      <c r="A177" s="802"/>
      <c r="B177" s="803"/>
      <c r="C177" s="803"/>
      <c r="D177" s="1030" t="s">
        <v>458</v>
      </c>
      <c r="E177" s="37">
        <v>14526837</v>
      </c>
      <c r="F177" s="37">
        <v>13162831.810000001</v>
      </c>
      <c r="G177" s="175">
        <f t="shared" si="1"/>
        <v>0.90610446100551689</v>
      </c>
      <c r="H177" s="8">
        <f>H178</f>
        <v>850986</v>
      </c>
      <c r="I177" s="8">
        <f>I178</f>
        <v>850986</v>
      </c>
      <c r="J177" s="175">
        <f t="shared" si="2"/>
        <v>1</v>
      </c>
      <c r="K177" s="8">
        <f t="shared" si="17"/>
        <v>15377823</v>
      </c>
      <c r="L177" s="8">
        <f t="shared" si="18"/>
        <v>14013817.810000001</v>
      </c>
      <c r="M177" s="499">
        <f t="shared" si="10"/>
        <v>0.91130050137786089</v>
      </c>
    </row>
    <row r="178" spans="1:13" x14ac:dyDescent="0.3">
      <c r="A178" s="802"/>
      <c r="B178" s="803"/>
      <c r="C178" s="803"/>
      <c r="D178" s="1031" t="s">
        <v>459</v>
      </c>
      <c r="E178" s="37">
        <v>13990409</v>
      </c>
      <c r="F178" s="37">
        <v>12723984.710000001</v>
      </c>
      <c r="G178" s="175">
        <f t="shared" si="1"/>
        <v>0.90947910886665295</v>
      </c>
      <c r="H178" s="8">
        <v>850986</v>
      </c>
      <c r="I178" s="8">
        <v>850986</v>
      </c>
      <c r="J178" s="175">
        <f t="shared" si="2"/>
        <v>1</v>
      </c>
      <c r="K178" s="8">
        <f t="shared" si="17"/>
        <v>14841395</v>
      </c>
      <c r="L178" s="8">
        <f t="shared" si="18"/>
        <v>13574970.710000001</v>
      </c>
      <c r="M178" s="499">
        <f t="shared" si="10"/>
        <v>0.91466945728484428</v>
      </c>
    </row>
    <row r="179" spans="1:13" ht="31.2" x14ac:dyDescent="0.3">
      <c r="A179" s="802"/>
      <c r="B179" s="803"/>
      <c r="C179" s="803"/>
      <c r="D179" s="1031" t="s">
        <v>460</v>
      </c>
      <c r="E179" s="37">
        <v>410204</v>
      </c>
      <c r="F179" s="37">
        <v>328533.12</v>
      </c>
      <c r="G179" s="175">
        <f t="shared" si="1"/>
        <v>0.80090179520433735</v>
      </c>
      <c r="H179" s="8"/>
      <c r="I179" s="8"/>
      <c r="J179" s="175"/>
      <c r="K179" s="8">
        <f t="shared" si="17"/>
        <v>410204</v>
      </c>
      <c r="L179" s="8">
        <f t="shared" si="18"/>
        <v>328533.12</v>
      </c>
      <c r="M179" s="499">
        <f t="shared" si="10"/>
        <v>0.80090179520433735</v>
      </c>
    </row>
    <row r="180" spans="1:13" ht="16.2" x14ac:dyDescent="0.3">
      <c r="A180" s="802"/>
      <c r="B180" s="803"/>
      <c r="C180" s="803"/>
      <c r="D180" s="1030" t="s">
        <v>461</v>
      </c>
      <c r="E180" s="37"/>
      <c r="F180" s="37"/>
      <c r="G180" s="175"/>
      <c r="H180" s="8">
        <f>H181</f>
        <v>53699</v>
      </c>
      <c r="I180" s="8">
        <f>I181</f>
        <v>53699</v>
      </c>
      <c r="J180" s="175">
        <f t="shared" si="2"/>
        <v>1</v>
      </c>
      <c r="K180" s="8">
        <f t="shared" si="17"/>
        <v>53699</v>
      </c>
      <c r="L180" s="8">
        <f t="shared" si="18"/>
        <v>53699</v>
      </c>
      <c r="M180" s="499">
        <f t="shared" si="10"/>
        <v>1</v>
      </c>
    </row>
    <row r="181" spans="1:13" x14ac:dyDescent="0.3">
      <c r="A181" s="802"/>
      <c r="B181" s="803"/>
      <c r="C181" s="803"/>
      <c r="D181" s="1031" t="s">
        <v>462</v>
      </c>
      <c r="E181" s="37"/>
      <c r="F181" s="37"/>
      <c r="G181" s="175"/>
      <c r="H181" s="8">
        <v>53699</v>
      </c>
      <c r="I181" s="8">
        <v>53699</v>
      </c>
      <c r="J181" s="175">
        <f t="shared" si="2"/>
        <v>1</v>
      </c>
      <c r="K181" s="8">
        <f t="shared" si="17"/>
        <v>53699</v>
      </c>
      <c r="L181" s="8">
        <f t="shared" si="18"/>
        <v>53699</v>
      </c>
      <c r="M181" s="499">
        <f t="shared" si="10"/>
        <v>1</v>
      </c>
    </row>
    <row r="182" spans="1:13" ht="31.2" x14ac:dyDescent="0.3">
      <c r="A182" s="802" t="s">
        <v>94</v>
      </c>
      <c r="B182" s="803" t="s">
        <v>95</v>
      </c>
      <c r="C182" s="803" t="s">
        <v>67</v>
      </c>
      <c r="D182" s="26" t="s">
        <v>96</v>
      </c>
      <c r="E182" s="37">
        <f>E183</f>
        <v>240526</v>
      </c>
      <c r="F182" s="37">
        <f>F183</f>
        <v>228526</v>
      </c>
      <c r="G182" s="175">
        <f t="shared" si="1"/>
        <v>0.95010934368841626</v>
      </c>
      <c r="H182" s="8">
        <v>0</v>
      </c>
      <c r="I182" s="8">
        <v>0</v>
      </c>
      <c r="J182" s="175"/>
      <c r="K182" s="8">
        <f t="shared" si="17"/>
        <v>240526</v>
      </c>
      <c r="L182" s="8">
        <f t="shared" si="18"/>
        <v>228526</v>
      </c>
      <c r="M182" s="499">
        <f t="shared" si="10"/>
        <v>0.95010934368841626</v>
      </c>
    </row>
    <row r="183" spans="1:13" ht="16.2" x14ac:dyDescent="0.3">
      <c r="A183" s="802"/>
      <c r="B183" s="803"/>
      <c r="C183" s="803"/>
      <c r="D183" s="1030" t="s">
        <v>458</v>
      </c>
      <c r="E183" s="37">
        <v>240526</v>
      </c>
      <c r="F183" s="37">
        <v>228526</v>
      </c>
      <c r="G183" s="175"/>
      <c r="H183" s="8"/>
      <c r="I183" s="8"/>
      <c r="J183" s="175"/>
      <c r="K183" s="8">
        <f t="shared" si="17"/>
        <v>240526</v>
      </c>
      <c r="L183" s="8">
        <f t="shared" si="18"/>
        <v>228526</v>
      </c>
      <c r="M183" s="499">
        <f t="shared" si="10"/>
        <v>0.95010934368841626</v>
      </c>
    </row>
    <row r="184" spans="1:13" ht="21.75" customHeight="1" x14ac:dyDescent="0.3">
      <c r="A184" s="802" t="s">
        <v>97</v>
      </c>
      <c r="B184" s="803" t="s">
        <v>98</v>
      </c>
      <c r="C184" s="803" t="s">
        <v>99</v>
      </c>
      <c r="D184" s="26" t="s">
        <v>100</v>
      </c>
      <c r="E184" s="37">
        <f>E185</f>
        <v>4819279</v>
      </c>
      <c r="F184" s="37">
        <f>F185</f>
        <v>4299200.8099999996</v>
      </c>
      <c r="G184" s="175">
        <f t="shared" si="1"/>
        <v>0.89208381793210134</v>
      </c>
      <c r="H184" s="8">
        <f>H188</f>
        <v>117999</v>
      </c>
      <c r="I184" s="8">
        <f>I188+I189</f>
        <v>181319.46</v>
      </c>
      <c r="J184" s="175">
        <f t="shared" si="2"/>
        <v>1.536618615411995</v>
      </c>
      <c r="K184" s="8">
        <f t="shared" si="17"/>
        <v>4937278</v>
      </c>
      <c r="L184" s="8">
        <f t="shared" si="18"/>
        <v>4480520.2699999996</v>
      </c>
      <c r="M184" s="499">
        <f t="shared" si="10"/>
        <v>0.90748794578713199</v>
      </c>
    </row>
    <row r="185" spans="1:13" ht="16.2" x14ac:dyDescent="0.3">
      <c r="A185" s="802"/>
      <c r="B185" s="803"/>
      <c r="C185" s="803"/>
      <c r="D185" s="1030" t="s">
        <v>458</v>
      </c>
      <c r="E185" s="37">
        <v>4819279</v>
      </c>
      <c r="F185" s="37">
        <v>4299200.8099999996</v>
      </c>
      <c r="G185" s="175">
        <f t="shared" si="1"/>
        <v>0.89208381793210134</v>
      </c>
      <c r="H185" s="8"/>
      <c r="I185" s="8"/>
      <c r="J185" s="175"/>
      <c r="K185" s="8">
        <f t="shared" si="17"/>
        <v>4819279</v>
      </c>
      <c r="L185" s="8">
        <f t="shared" si="18"/>
        <v>4299200.8099999996</v>
      </c>
      <c r="M185" s="499">
        <f t="shared" si="10"/>
        <v>0.89208381793210134</v>
      </c>
    </row>
    <row r="186" spans="1:13" x14ac:dyDescent="0.3">
      <c r="A186" s="802"/>
      <c r="B186" s="803"/>
      <c r="C186" s="803"/>
      <c r="D186" s="1031" t="s">
        <v>459</v>
      </c>
      <c r="E186" s="37">
        <v>4315718</v>
      </c>
      <c r="F186" s="37">
        <v>3869123.32</v>
      </c>
      <c r="G186" s="175">
        <f t="shared" si="1"/>
        <v>0.89651903113224729</v>
      </c>
      <c r="H186" s="8"/>
      <c r="I186" s="8"/>
      <c r="J186" s="175"/>
      <c r="K186" s="8">
        <f t="shared" si="17"/>
        <v>4315718</v>
      </c>
      <c r="L186" s="8">
        <f t="shared" si="18"/>
        <v>3869123.32</v>
      </c>
      <c r="M186" s="499">
        <f t="shared" si="10"/>
        <v>0.89651903113224729</v>
      </c>
    </row>
    <row r="187" spans="1:13" ht="33" customHeight="1" x14ac:dyDescent="0.3">
      <c r="A187" s="802"/>
      <c r="B187" s="803"/>
      <c r="C187" s="803"/>
      <c r="D187" s="1031" t="s">
        <v>460</v>
      </c>
      <c r="E187" s="37">
        <v>305059</v>
      </c>
      <c r="F187" s="37">
        <v>261089.85</v>
      </c>
      <c r="G187" s="175">
        <f t="shared" si="1"/>
        <v>0.85586673397605051</v>
      </c>
      <c r="H187" s="8"/>
      <c r="I187" s="8"/>
      <c r="J187" s="175"/>
      <c r="K187" s="8">
        <f t="shared" si="17"/>
        <v>305059</v>
      </c>
      <c r="L187" s="8">
        <f t="shared" si="18"/>
        <v>261089.85</v>
      </c>
      <c r="M187" s="499">
        <f t="shared" si="10"/>
        <v>0.85586673397605051</v>
      </c>
    </row>
    <row r="188" spans="1:13" ht="16.2" x14ac:dyDescent="0.3">
      <c r="A188" s="802"/>
      <c r="B188" s="803"/>
      <c r="C188" s="803"/>
      <c r="D188" s="1030" t="s">
        <v>461</v>
      </c>
      <c r="E188" s="37"/>
      <c r="F188" s="37"/>
      <c r="G188" s="175"/>
      <c r="H188" s="8">
        <f>H189</f>
        <v>117999</v>
      </c>
      <c r="I188" s="8">
        <v>63320.46</v>
      </c>
      <c r="J188" s="175">
        <f t="shared" si="2"/>
        <v>0.53661861541199496</v>
      </c>
      <c r="K188" s="8">
        <f t="shared" si="17"/>
        <v>117999</v>
      </c>
      <c r="L188" s="8">
        <f t="shared" si="18"/>
        <v>63320.46</v>
      </c>
      <c r="M188" s="499">
        <f t="shared" si="10"/>
        <v>0.53661861541199496</v>
      </c>
    </row>
    <row r="189" spans="1:13" x14ac:dyDescent="0.3">
      <c r="A189" s="802"/>
      <c r="B189" s="803"/>
      <c r="C189" s="803"/>
      <c r="D189" s="1031" t="s">
        <v>462</v>
      </c>
      <c r="E189" s="37"/>
      <c r="F189" s="37"/>
      <c r="G189" s="175"/>
      <c r="H189" s="8">
        <v>117999</v>
      </c>
      <c r="I189" s="8">
        <v>117999</v>
      </c>
      <c r="J189" s="175">
        <f t="shared" si="2"/>
        <v>1</v>
      </c>
      <c r="K189" s="8">
        <f t="shared" si="17"/>
        <v>117999</v>
      </c>
      <c r="L189" s="8">
        <f t="shared" si="18"/>
        <v>117999</v>
      </c>
      <c r="M189" s="499">
        <f t="shared" ref="M189:M276" si="19">L189/K189</f>
        <v>1</v>
      </c>
    </row>
    <row r="190" spans="1:13" ht="21" customHeight="1" x14ac:dyDescent="0.3">
      <c r="A190" s="802" t="s">
        <v>101</v>
      </c>
      <c r="B190" s="803" t="s">
        <v>102</v>
      </c>
      <c r="C190" s="803" t="s">
        <v>99</v>
      </c>
      <c r="D190" s="26" t="s">
        <v>103</v>
      </c>
      <c r="E190" s="37">
        <f>E191</f>
        <v>1300972</v>
      </c>
      <c r="F190" s="37">
        <f>F191</f>
        <v>1187746.3799999999</v>
      </c>
      <c r="G190" s="175">
        <f t="shared" si="1"/>
        <v>0.91296844205716943</v>
      </c>
      <c r="H190" s="8">
        <f>H191+H194</f>
        <v>50299</v>
      </c>
      <c r="I190" s="8">
        <f>I191+I194</f>
        <v>108809.07</v>
      </c>
      <c r="J190" s="175">
        <f t="shared" si="2"/>
        <v>2.1632451937414263</v>
      </c>
      <c r="K190" s="8">
        <f>E190+H190</f>
        <v>1351271</v>
      </c>
      <c r="L190" s="8">
        <f t="shared" si="18"/>
        <v>1296555.45</v>
      </c>
      <c r="M190" s="499">
        <f t="shared" si="19"/>
        <v>0.95950808535075494</v>
      </c>
    </row>
    <row r="191" spans="1:13" ht="16.2" x14ac:dyDescent="0.3">
      <c r="A191" s="802"/>
      <c r="B191" s="803"/>
      <c r="C191" s="803"/>
      <c r="D191" s="1030" t="s">
        <v>458</v>
      </c>
      <c r="E191" s="37">
        <v>1300972</v>
      </c>
      <c r="F191" s="37">
        <v>1187746.3799999999</v>
      </c>
      <c r="G191" s="175">
        <f t="shared" si="1"/>
        <v>0.91296844205716943</v>
      </c>
      <c r="H191" s="8"/>
      <c r="I191" s="8">
        <v>1350</v>
      </c>
      <c r="J191" s="175"/>
      <c r="K191" s="8">
        <f t="shared" si="17"/>
        <v>1300972</v>
      </c>
      <c r="L191" s="8">
        <f t="shared" si="18"/>
        <v>1189096.3799999999</v>
      </c>
      <c r="M191" s="499">
        <f t="shared" si="19"/>
        <v>0.91400612772603862</v>
      </c>
    </row>
    <row r="192" spans="1:13" x14ac:dyDescent="0.3">
      <c r="A192" s="802"/>
      <c r="B192" s="803"/>
      <c r="C192" s="803"/>
      <c r="D192" s="1031" t="s">
        <v>459</v>
      </c>
      <c r="E192" s="37">
        <v>1112147</v>
      </c>
      <c r="F192" s="37">
        <v>1025962.43</v>
      </c>
      <c r="G192" s="175">
        <f t="shared" si="1"/>
        <v>0.92250613453077701</v>
      </c>
      <c r="H192" s="8"/>
      <c r="I192" s="8"/>
      <c r="J192" s="175"/>
      <c r="K192" s="8">
        <f t="shared" si="17"/>
        <v>1112147</v>
      </c>
      <c r="L192" s="8">
        <f t="shared" si="18"/>
        <v>1025962.43</v>
      </c>
      <c r="M192" s="499">
        <f t="shared" si="19"/>
        <v>0.92250613453077701</v>
      </c>
    </row>
    <row r="193" spans="1:13" ht="34.950000000000003" customHeight="1" x14ac:dyDescent="0.3">
      <c r="A193" s="802"/>
      <c r="B193" s="803"/>
      <c r="C193" s="803"/>
      <c r="D193" s="1031" t="s">
        <v>460</v>
      </c>
      <c r="E193" s="37">
        <v>107327</v>
      </c>
      <c r="F193" s="37">
        <v>88224.44</v>
      </c>
      <c r="G193" s="175">
        <f t="shared" si="1"/>
        <v>0.82201533630866419</v>
      </c>
      <c r="H193" s="8"/>
      <c r="I193" s="8"/>
      <c r="J193" s="175"/>
      <c r="K193" s="8">
        <f t="shared" si="17"/>
        <v>107327</v>
      </c>
      <c r="L193" s="8">
        <f t="shared" si="18"/>
        <v>88224.44</v>
      </c>
      <c r="M193" s="499">
        <f t="shared" si="19"/>
        <v>0.82201533630866419</v>
      </c>
    </row>
    <row r="194" spans="1:13" ht="16.2" x14ac:dyDescent="0.3">
      <c r="A194" s="802"/>
      <c r="B194" s="803"/>
      <c r="C194" s="803"/>
      <c r="D194" s="1030" t="s">
        <v>461</v>
      </c>
      <c r="E194" s="37"/>
      <c r="F194" s="37"/>
      <c r="G194" s="175"/>
      <c r="H194" s="8">
        <f>H195</f>
        <v>50299</v>
      </c>
      <c r="I194" s="8">
        <v>107459.07</v>
      </c>
      <c r="J194" s="175">
        <f t="shared" si="2"/>
        <v>2.1364056939501781</v>
      </c>
      <c r="K194" s="8">
        <f t="shared" si="17"/>
        <v>50299</v>
      </c>
      <c r="L194" s="8">
        <f t="shared" si="18"/>
        <v>107459.07</v>
      </c>
      <c r="M194" s="499">
        <f t="shared" si="19"/>
        <v>2.1364056939501781</v>
      </c>
    </row>
    <row r="195" spans="1:13" x14ac:dyDescent="0.3">
      <c r="A195" s="802"/>
      <c r="B195" s="803"/>
      <c r="C195" s="803"/>
      <c r="D195" s="1031" t="s">
        <v>462</v>
      </c>
      <c r="E195" s="37"/>
      <c r="F195" s="37"/>
      <c r="G195" s="175"/>
      <c r="H195" s="8">
        <v>50299</v>
      </c>
      <c r="I195" s="8">
        <v>50298</v>
      </c>
      <c r="J195" s="175">
        <f t="shared" si="2"/>
        <v>0.99998011888904348</v>
      </c>
      <c r="K195" s="8">
        <f t="shared" si="17"/>
        <v>50299</v>
      </c>
      <c r="L195" s="8">
        <f t="shared" si="18"/>
        <v>50298</v>
      </c>
      <c r="M195" s="499">
        <f t="shared" si="19"/>
        <v>0.99998011888904348</v>
      </c>
    </row>
    <row r="196" spans="1:13" ht="45.75" customHeight="1" x14ac:dyDescent="0.3">
      <c r="A196" s="802" t="s">
        <v>104</v>
      </c>
      <c r="B196" s="803" t="s">
        <v>105</v>
      </c>
      <c r="C196" s="803" t="s">
        <v>106</v>
      </c>
      <c r="D196" s="26" t="s">
        <v>107</v>
      </c>
      <c r="E196" s="37">
        <f>E197</f>
        <v>23095620</v>
      </c>
      <c r="F196" s="37">
        <f>F197</f>
        <v>21773801.100000001</v>
      </c>
      <c r="G196" s="175">
        <f t="shared" si="1"/>
        <v>0.94276755073039831</v>
      </c>
      <c r="H196" s="8">
        <f>H197</f>
        <v>133786</v>
      </c>
      <c r="I196" s="8">
        <f>I197</f>
        <v>122440.64</v>
      </c>
      <c r="J196" s="175">
        <f t="shared" si="2"/>
        <v>0.91519770379561394</v>
      </c>
      <c r="K196" s="8">
        <f t="shared" si="17"/>
        <v>23229406</v>
      </c>
      <c r="L196" s="8">
        <f t="shared" si="18"/>
        <v>21896241.740000002</v>
      </c>
      <c r="M196" s="499">
        <f t="shared" si="19"/>
        <v>0.94260876666411542</v>
      </c>
    </row>
    <row r="197" spans="1:13" ht="16.2" x14ac:dyDescent="0.3">
      <c r="A197" s="802"/>
      <c r="B197" s="803"/>
      <c r="C197" s="803"/>
      <c r="D197" s="1030" t="s">
        <v>458</v>
      </c>
      <c r="E197" s="37">
        <v>23095620</v>
      </c>
      <c r="F197" s="37">
        <v>21773801.100000001</v>
      </c>
      <c r="G197" s="175">
        <f t="shared" si="1"/>
        <v>0.94276755073039831</v>
      </c>
      <c r="H197" s="8">
        <v>133786</v>
      </c>
      <c r="I197" s="8">
        <v>122440.64</v>
      </c>
      <c r="J197" s="175">
        <f t="shared" si="2"/>
        <v>0.91519770379561394</v>
      </c>
      <c r="K197" s="8">
        <f t="shared" si="17"/>
        <v>23229406</v>
      </c>
      <c r="L197" s="8">
        <f t="shared" si="18"/>
        <v>21896241.740000002</v>
      </c>
      <c r="M197" s="499">
        <f t="shared" si="19"/>
        <v>0.94260876666411542</v>
      </c>
    </row>
    <row r="198" spans="1:13" x14ac:dyDescent="0.3">
      <c r="A198" s="802"/>
      <c r="B198" s="803"/>
      <c r="C198" s="803"/>
      <c r="D198" s="1031" t="s">
        <v>459</v>
      </c>
      <c r="E198" s="37">
        <v>17237511</v>
      </c>
      <c r="F198" s="37">
        <v>17030597.949999999</v>
      </c>
      <c r="G198" s="175">
        <f t="shared" si="1"/>
        <v>0.98799634993706453</v>
      </c>
      <c r="H198" s="8"/>
      <c r="I198" s="8"/>
      <c r="J198" s="175"/>
      <c r="K198" s="8">
        <f t="shared" si="17"/>
        <v>17237511</v>
      </c>
      <c r="L198" s="8">
        <f t="shared" si="18"/>
        <v>17030597.949999999</v>
      </c>
      <c r="M198" s="499">
        <f t="shared" si="19"/>
        <v>0.98799634993706453</v>
      </c>
    </row>
    <row r="199" spans="1:13" ht="31.2" x14ac:dyDescent="0.3">
      <c r="A199" s="802"/>
      <c r="B199" s="803"/>
      <c r="C199" s="803"/>
      <c r="D199" s="1031" t="s">
        <v>460</v>
      </c>
      <c r="E199" s="37">
        <v>4665897</v>
      </c>
      <c r="F199" s="37">
        <v>3623906.48</v>
      </c>
      <c r="G199" s="175">
        <f t="shared" si="1"/>
        <v>0.77667948520938201</v>
      </c>
      <c r="H199" s="8"/>
      <c r="I199" s="8"/>
      <c r="J199" s="175"/>
      <c r="K199" s="8">
        <f t="shared" si="17"/>
        <v>4665897</v>
      </c>
      <c r="L199" s="8">
        <f t="shared" si="18"/>
        <v>3623906.48</v>
      </c>
      <c r="M199" s="499">
        <f t="shared" si="19"/>
        <v>0.77667948520938201</v>
      </c>
    </row>
    <row r="200" spans="1:13" ht="31.2" x14ac:dyDescent="0.3">
      <c r="A200" s="802" t="s">
        <v>193</v>
      </c>
      <c r="B200" s="803" t="s">
        <v>194</v>
      </c>
      <c r="C200" s="803" t="s">
        <v>108</v>
      </c>
      <c r="D200" s="26" t="s">
        <v>195</v>
      </c>
      <c r="E200" s="37">
        <f>E201</f>
        <v>1826056</v>
      </c>
      <c r="F200" s="37">
        <f>F201</f>
        <v>1779797.54</v>
      </c>
      <c r="G200" s="175">
        <f t="shared" si="1"/>
        <v>0.97466755674524774</v>
      </c>
      <c r="H200" s="8">
        <f>H203</f>
        <v>23000</v>
      </c>
      <c r="I200" s="8">
        <f>I203</f>
        <v>23000</v>
      </c>
      <c r="J200" s="175">
        <f t="shared" ref="J200:J291" si="20">I200/H200</f>
        <v>1</v>
      </c>
      <c r="K200" s="8">
        <f t="shared" si="17"/>
        <v>1849056</v>
      </c>
      <c r="L200" s="8">
        <f t="shared" si="18"/>
        <v>1802797.54</v>
      </c>
      <c r="M200" s="499">
        <f t="shared" si="19"/>
        <v>0.9749826614229099</v>
      </c>
    </row>
    <row r="201" spans="1:13" ht="16.2" x14ac:dyDescent="0.3">
      <c r="A201" s="802"/>
      <c r="B201" s="803"/>
      <c r="C201" s="803"/>
      <c r="D201" s="1030" t="s">
        <v>458</v>
      </c>
      <c r="E201" s="37">
        <v>1826056</v>
      </c>
      <c r="F201" s="37">
        <v>1779797.54</v>
      </c>
      <c r="G201" s="175">
        <f t="shared" si="1"/>
        <v>0.97466755674524774</v>
      </c>
      <c r="H201" s="8"/>
      <c r="I201" s="8"/>
      <c r="J201" s="175"/>
      <c r="K201" s="8">
        <f t="shared" si="17"/>
        <v>1826056</v>
      </c>
      <c r="L201" s="8">
        <f t="shared" si="18"/>
        <v>1779797.54</v>
      </c>
      <c r="M201" s="499">
        <f t="shared" si="19"/>
        <v>0.97466755674524774</v>
      </c>
    </row>
    <row r="202" spans="1:13" x14ac:dyDescent="0.3">
      <c r="A202" s="802"/>
      <c r="B202" s="803"/>
      <c r="C202" s="803"/>
      <c r="D202" s="1031" t="s">
        <v>459</v>
      </c>
      <c r="E202" s="37">
        <v>1735698</v>
      </c>
      <c r="F202" s="37">
        <v>1690514.19</v>
      </c>
      <c r="G202" s="175">
        <f t="shared" si="1"/>
        <v>0.97396793105713086</v>
      </c>
      <c r="H202" s="8"/>
      <c r="I202" s="8"/>
      <c r="J202" s="175"/>
      <c r="K202" s="8">
        <f t="shared" si="17"/>
        <v>1735698</v>
      </c>
      <c r="L202" s="8">
        <f t="shared" si="18"/>
        <v>1690514.19</v>
      </c>
      <c r="M202" s="499">
        <f t="shared" si="19"/>
        <v>0.97396793105713086</v>
      </c>
    </row>
    <row r="203" spans="1:13" ht="16.2" x14ac:dyDescent="0.3">
      <c r="A203" s="802"/>
      <c r="B203" s="803"/>
      <c r="C203" s="803"/>
      <c r="D203" s="1030" t="s">
        <v>461</v>
      </c>
      <c r="E203" s="37"/>
      <c r="F203" s="37"/>
      <c r="G203" s="175"/>
      <c r="H203" s="8">
        <f>H204</f>
        <v>23000</v>
      </c>
      <c r="I203" s="8">
        <f>I204</f>
        <v>23000</v>
      </c>
      <c r="J203" s="175">
        <f t="shared" si="20"/>
        <v>1</v>
      </c>
      <c r="K203" s="8">
        <f t="shared" si="17"/>
        <v>23000</v>
      </c>
      <c r="L203" s="8">
        <f t="shared" si="18"/>
        <v>23000</v>
      </c>
      <c r="M203" s="499">
        <f t="shared" si="19"/>
        <v>1</v>
      </c>
    </row>
    <row r="204" spans="1:13" x14ac:dyDescent="0.3">
      <c r="A204" s="802"/>
      <c r="B204" s="803"/>
      <c r="C204" s="803"/>
      <c r="D204" s="1031" t="s">
        <v>462</v>
      </c>
      <c r="E204" s="37"/>
      <c r="F204" s="37"/>
      <c r="G204" s="175"/>
      <c r="H204" s="8">
        <v>23000</v>
      </c>
      <c r="I204" s="8">
        <v>23000</v>
      </c>
      <c r="J204" s="175">
        <f t="shared" si="20"/>
        <v>1</v>
      </c>
      <c r="K204" s="8">
        <f t="shared" si="17"/>
        <v>23000</v>
      </c>
      <c r="L204" s="8">
        <f t="shared" si="18"/>
        <v>23000</v>
      </c>
      <c r="M204" s="499">
        <f t="shared" si="19"/>
        <v>1</v>
      </c>
    </row>
    <row r="205" spans="1:13" x14ac:dyDescent="0.3">
      <c r="A205" s="802" t="s">
        <v>109</v>
      </c>
      <c r="B205" s="803" t="s">
        <v>110</v>
      </c>
      <c r="C205" s="803" t="s">
        <v>108</v>
      </c>
      <c r="D205" s="26" t="s">
        <v>111</v>
      </c>
      <c r="E205" s="37">
        <f>E206</f>
        <v>194000</v>
      </c>
      <c r="F205" s="37">
        <f>F206</f>
        <v>194000</v>
      </c>
      <c r="G205" s="175">
        <f t="shared" si="1"/>
        <v>1</v>
      </c>
      <c r="H205" s="8">
        <v>0</v>
      </c>
      <c r="I205" s="8">
        <v>0</v>
      </c>
      <c r="J205" s="175"/>
      <c r="K205" s="8">
        <f t="shared" si="17"/>
        <v>194000</v>
      </c>
      <c r="L205" s="8">
        <f t="shared" si="18"/>
        <v>194000</v>
      </c>
      <c r="M205" s="499">
        <f t="shared" si="19"/>
        <v>1</v>
      </c>
    </row>
    <row r="206" spans="1:13" ht="16.2" x14ac:dyDescent="0.3">
      <c r="A206" s="802"/>
      <c r="B206" s="803"/>
      <c r="C206" s="803"/>
      <c r="D206" s="1030" t="s">
        <v>458</v>
      </c>
      <c r="E206" s="37">
        <v>194000</v>
      </c>
      <c r="F206" s="37">
        <v>194000</v>
      </c>
      <c r="G206" s="175">
        <f t="shared" si="1"/>
        <v>1</v>
      </c>
      <c r="H206" s="8"/>
      <c r="I206" s="8"/>
      <c r="J206" s="175"/>
      <c r="K206" s="8">
        <f t="shared" si="17"/>
        <v>194000</v>
      </c>
      <c r="L206" s="8">
        <f t="shared" si="18"/>
        <v>194000</v>
      </c>
      <c r="M206" s="499">
        <f t="shared" si="19"/>
        <v>1</v>
      </c>
    </row>
    <row r="207" spans="1:13" ht="30" customHeight="1" x14ac:dyDescent="0.3">
      <c r="A207" s="802" t="s">
        <v>112</v>
      </c>
      <c r="B207" s="803" t="s">
        <v>113</v>
      </c>
      <c r="C207" s="803" t="s">
        <v>114</v>
      </c>
      <c r="D207" s="26" t="s">
        <v>115</v>
      </c>
      <c r="E207" s="37">
        <f>E208</f>
        <v>32750</v>
      </c>
      <c r="F207" s="37">
        <f>F208</f>
        <v>32750</v>
      </c>
      <c r="G207" s="175">
        <f t="shared" si="1"/>
        <v>1</v>
      </c>
      <c r="H207" s="8">
        <v>0</v>
      </c>
      <c r="I207" s="8">
        <v>0</v>
      </c>
      <c r="J207" s="175"/>
      <c r="K207" s="8">
        <f t="shared" si="17"/>
        <v>32750</v>
      </c>
      <c r="L207" s="8">
        <f t="shared" si="18"/>
        <v>32750</v>
      </c>
      <c r="M207" s="499">
        <f t="shared" si="19"/>
        <v>1</v>
      </c>
    </row>
    <row r="208" spans="1:13" ht="16.2" x14ac:dyDescent="0.3">
      <c r="A208" s="802"/>
      <c r="B208" s="803"/>
      <c r="C208" s="803"/>
      <c r="D208" s="1030" t="s">
        <v>458</v>
      </c>
      <c r="E208" s="37">
        <v>32750</v>
      </c>
      <c r="F208" s="37">
        <v>32750</v>
      </c>
      <c r="G208" s="175">
        <f t="shared" si="1"/>
        <v>1</v>
      </c>
      <c r="H208" s="8"/>
      <c r="I208" s="8"/>
      <c r="J208" s="175"/>
      <c r="K208" s="8">
        <f t="shared" si="17"/>
        <v>32750</v>
      </c>
      <c r="L208" s="8">
        <f t="shared" si="18"/>
        <v>32750</v>
      </c>
      <c r="M208" s="499">
        <f t="shared" si="19"/>
        <v>1</v>
      </c>
    </row>
    <row r="209" spans="1:13" ht="46.8" x14ac:dyDescent="0.3">
      <c r="A209" s="802" t="s">
        <v>116</v>
      </c>
      <c r="B209" s="803" t="s">
        <v>117</v>
      </c>
      <c r="C209" s="803" t="s">
        <v>114</v>
      </c>
      <c r="D209" s="26" t="s">
        <v>118</v>
      </c>
      <c r="E209" s="37">
        <f>E210</f>
        <v>8128835</v>
      </c>
      <c r="F209" s="37">
        <f>F210</f>
        <v>6834481.6200000001</v>
      </c>
      <c r="G209" s="175">
        <f t="shared" si="1"/>
        <v>0.84077012511632976</v>
      </c>
      <c r="H209" s="8">
        <v>0</v>
      </c>
      <c r="I209" s="8">
        <v>0</v>
      </c>
      <c r="J209" s="175"/>
      <c r="K209" s="8">
        <f t="shared" si="17"/>
        <v>8128835</v>
      </c>
      <c r="L209" s="8">
        <f t="shared" si="18"/>
        <v>6834481.6200000001</v>
      </c>
      <c r="M209" s="499">
        <f t="shared" si="19"/>
        <v>0.84077012511632976</v>
      </c>
    </row>
    <row r="210" spans="1:13" ht="16.2" x14ac:dyDescent="0.3">
      <c r="A210" s="802"/>
      <c r="B210" s="803"/>
      <c r="C210" s="803"/>
      <c r="D210" s="1030" t="s">
        <v>458</v>
      </c>
      <c r="E210" s="37">
        <v>8128835</v>
      </c>
      <c r="F210" s="37">
        <v>6834481.6200000001</v>
      </c>
      <c r="G210" s="175">
        <f t="shared" si="1"/>
        <v>0.84077012511632976</v>
      </c>
      <c r="H210" s="8"/>
      <c r="I210" s="8"/>
      <c r="J210" s="175"/>
      <c r="K210" s="8">
        <f t="shared" si="17"/>
        <v>8128835</v>
      </c>
      <c r="L210" s="8">
        <f t="shared" si="18"/>
        <v>6834481.6200000001</v>
      </c>
      <c r="M210" s="499">
        <f t="shared" si="19"/>
        <v>0.84077012511632976</v>
      </c>
    </row>
    <row r="211" spans="1:13" x14ac:dyDescent="0.3">
      <c r="A211" s="802"/>
      <c r="B211" s="803"/>
      <c r="C211" s="803"/>
      <c r="D211" s="1031" t="s">
        <v>459</v>
      </c>
      <c r="E211" s="37">
        <v>5695673</v>
      </c>
      <c r="F211" s="37">
        <v>5122593.1900000004</v>
      </c>
      <c r="G211" s="175">
        <f t="shared" si="1"/>
        <v>0.89938330202594152</v>
      </c>
      <c r="H211" s="8"/>
      <c r="I211" s="8"/>
      <c r="J211" s="175"/>
      <c r="K211" s="8">
        <f t="shared" si="17"/>
        <v>5695673</v>
      </c>
      <c r="L211" s="8">
        <f t="shared" si="18"/>
        <v>5122593.1900000004</v>
      </c>
      <c r="M211" s="499">
        <f t="shared" si="19"/>
        <v>0.89938330202594152</v>
      </c>
    </row>
    <row r="212" spans="1:13" ht="31.2" x14ac:dyDescent="0.3">
      <c r="A212" s="802"/>
      <c r="B212" s="803"/>
      <c r="C212" s="803"/>
      <c r="D212" s="1031" t="s">
        <v>460</v>
      </c>
      <c r="E212" s="37">
        <v>526343</v>
      </c>
      <c r="F212" s="37">
        <v>446490.17</v>
      </c>
      <c r="G212" s="175">
        <f t="shared" si="1"/>
        <v>0.84828746653797993</v>
      </c>
      <c r="H212" s="8"/>
      <c r="I212" s="8"/>
      <c r="J212" s="175"/>
      <c r="K212" s="8">
        <f t="shared" si="17"/>
        <v>526343</v>
      </c>
      <c r="L212" s="8">
        <f t="shared" si="18"/>
        <v>446490.17</v>
      </c>
      <c r="M212" s="499">
        <f t="shared" si="19"/>
        <v>0.84828746653797993</v>
      </c>
    </row>
    <row r="213" spans="1:13" ht="31.2" x14ac:dyDescent="0.3">
      <c r="A213" s="802" t="s">
        <v>196</v>
      </c>
      <c r="B213" s="803" t="s">
        <v>197</v>
      </c>
      <c r="C213" s="803" t="s">
        <v>114</v>
      </c>
      <c r="D213" s="26" t="s">
        <v>157</v>
      </c>
      <c r="E213" s="37">
        <f>E214</f>
        <v>28448040</v>
      </c>
      <c r="F213" s="37">
        <f>F214</f>
        <v>24996550.109999999</v>
      </c>
      <c r="G213" s="175">
        <f t="shared" si="1"/>
        <v>0.87867389493265613</v>
      </c>
      <c r="H213" s="162">
        <f>H214+H215</f>
        <v>1594000</v>
      </c>
      <c r="I213" s="162">
        <f>I214+I215</f>
        <v>1542506</v>
      </c>
      <c r="J213" s="175">
        <f>I213/H213</f>
        <v>0.9676951066499373</v>
      </c>
      <c r="K213" s="8">
        <f t="shared" si="17"/>
        <v>30042040</v>
      </c>
      <c r="L213" s="8">
        <f t="shared" si="18"/>
        <v>26539056.109999999</v>
      </c>
      <c r="M213" s="499">
        <f t="shared" si="19"/>
        <v>0.88339726962616383</v>
      </c>
    </row>
    <row r="214" spans="1:13" ht="16.2" x14ac:dyDescent="0.3">
      <c r="A214" s="802"/>
      <c r="B214" s="803"/>
      <c r="C214" s="803"/>
      <c r="D214" s="1030" t="s">
        <v>458</v>
      </c>
      <c r="E214" s="37">
        <v>28448040</v>
      </c>
      <c r="F214" s="37">
        <v>24996550.109999999</v>
      </c>
      <c r="G214" s="175">
        <f t="shared" si="1"/>
        <v>0.87867389493265613</v>
      </c>
      <c r="H214" s="8"/>
      <c r="I214" s="8"/>
      <c r="J214" s="175"/>
      <c r="K214" s="8">
        <f t="shared" si="17"/>
        <v>28448040</v>
      </c>
      <c r="L214" s="8">
        <f t="shared" si="18"/>
        <v>24996550.109999999</v>
      </c>
      <c r="M214" s="499">
        <f t="shared" si="19"/>
        <v>0.87867389493265613</v>
      </c>
    </row>
    <row r="215" spans="1:13" ht="16.2" x14ac:dyDescent="0.3">
      <c r="A215" s="802"/>
      <c r="B215" s="803"/>
      <c r="C215" s="803"/>
      <c r="D215" s="1030" t="s">
        <v>461</v>
      </c>
      <c r="E215" s="37"/>
      <c r="F215" s="37"/>
      <c r="G215" s="175"/>
      <c r="H215" s="8">
        <f>H216</f>
        <v>1594000</v>
      </c>
      <c r="I215" s="8">
        <f>I216</f>
        <v>1542506</v>
      </c>
      <c r="J215" s="175">
        <f>I215/H215</f>
        <v>0.9676951066499373</v>
      </c>
      <c r="K215" s="8">
        <f t="shared" si="17"/>
        <v>1594000</v>
      </c>
      <c r="L215" s="8">
        <f t="shared" si="18"/>
        <v>1542506</v>
      </c>
      <c r="M215" s="499">
        <f t="shared" si="19"/>
        <v>0.9676951066499373</v>
      </c>
    </row>
    <row r="216" spans="1:13" x14ac:dyDescent="0.3">
      <c r="A216" s="802"/>
      <c r="B216" s="803"/>
      <c r="C216" s="803"/>
      <c r="D216" s="1031" t="s">
        <v>462</v>
      </c>
      <c r="E216" s="37"/>
      <c r="F216" s="37"/>
      <c r="G216" s="175"/>
      <c r="H216" s="8">
        <v>1594000</v>
      </c>
      <c r="I216" s="8">
        <v>1542506</v>
      </c>
      <c r="J216" s="175">
        <f>I216/H216</f>
        <v>0.9676951066499373</v>
      </c>
      <c r="K216" s="8">
        <f t="shared" si="17"/>
        <v>1594000</v>
      </c>
      <c r="L216" s="8">
        <f t="shared" si="18"/>
        <v>1542506</v>
      </c>
      <c r="M216" s="499">
        <f t="shared" si="19"/>
        <v>0.9676951066499373</v>
      </c>
    </row>
    <row r="217" spans="1:13" ht="46.8" x14ac:dyDescent="0.3">
      <c r="A217" s="802">
        <v>1015049</v>
      </c>
      <c r="B217" s="803">
        <v>5049</v>
      </c>
      <c r="C217" s="803" t="s">
        <v>114</v>
      </c>
      <c r="D217" s="26" t="s">
        <v>511</v>
      </c>
      <c r="E217" s="37">
        <f>E218</f>
        <v>166311</v>
      </c>
      <c r="F217" s="37">
        <f>F218</f>
        <v>155916</v>
      </c>
      <c r="G217" s="175">
        <f t="shared" si="1"/>
        <v>0.9374966177823475</v>
      </c>
      <c r="H217" s="8"/>
      <c r="I217" s="8"/>
      <c r="J217" s="175"/>
      <c r="K217" s="8">
        <f t="shared" si="17"/>
        <v>166311</v>
      </c>
      <c r="L217" s="8">
        <f t="shared" si="18"/>
        <v>155916</v>
      </c>
      <c r="M217" s="499">
        <f t="shared" si="19"/>
        <v>0.9374966177823475</v>
      </c>
    </row>
    <row r="218" spans="1:13" ht="16.2" x14ac:dyDescent="0.3">
      <c r="A218" s="802"/>
      <c r="B218" s="803"/>
      <c r="C218" s="803"/>
      <c r="D218" s="1030" t="s">
        <v>458</v>
      </c>
      <c r="E218" s="37">
        <f>E219</f>
        <v>166311</v>
      </c>
      <c r="F218" s="37">
        <f>F219</f>
        <v>155916</v>
      </c>
      <c r="G218" s="175">
        <f t="shared" si="1"/>
        <v>0.9374966177823475</v>
      </c>
      <c r="H218" s="8"/>
      <c r="I218" s="8"/>
      <c r="J218" s="175"/>
      <c r="K218" s="8">
        <f t="shared" si="17"/>
        <v>166311</v>
      </c>
      <c r="L218" s="8">
        <f t="shared" si="18"/>
        <v>155916</v>
      </c>
      <c r="M218" s="499">
        <f t="shared" si="19"/>
        <v>0.9374966177823475</v>
      </c>
    </row>
    <row r="219" spans="1:13" x14ac:dyDescent="0.3">
      <c r="A219" s="802"/>
      <c r="B219" s="803"/>
      <c r="C219" s="803"/>
      <c r="D219" s="1031" t="s">
        <v>459</v>
      </c>
      <c r="E219" s="37">
        <v>166311</v>
      </c>
      <c r="F219" s="37">
        <v>155916</v>
      </c>
      <c r="G219" s="175">
        <f t="shared" si="1"/>
        <v>0.9374966177823475</v>
      </c>
      <c r="H219" s="8"/>
      <c r="I219" s="8"/>
      <c r="J219" s="175"/>
      <c r="K219" s="8">
        <f t="shared" si="17"/>
        <v>166311</v>
      </c>
      <c r="L219" s="8">
        <f t="shared" si="18"/>
        <v>155916</v>
      </c>
      <c r="M219" s="499">
        <f t="shared" si="19"/>
        <v>0.9374966177823475</v>
      </c>
    </row>
    <row r="220" spans="1:13" ht="61.5" customHeight="1" x14ac:dyDescent="0.3">
      <c r="A220" s="802" t="s">
        <v>119</v>
      </c>
      <c r="B220" s="803" t="s">
        <v>120</v>
      </c>
      <c r="C220" s="803" t="s">
        <v>114</v>
      </c>
      <c r="D220" s="26" t="s">
        <v>121</v>
      </c>
      <c r="E220" s="37">
        <f>E221</f>
        <v>5273449</v>
      </c>
      <c r="F220" s="37">
        <f>F221</f>
        <v>4252764.7</v>
      </c>
      <c r="G220" s="175">
        <f t="shared" si="1"/>
        <v>0.80644843630800267</v>
      </c>
      <c r="H220" s="8">
        <f>H221+H224</f>
        <v>46000</v>
      </c>
      <c r="I220" s="8">
        <f>I221+I224</f>
        <v>46000</v>
      </c>
      <c r="J220" s="175">
        <f>I220/H220</f>
        <v>1</v>
      </c>
      <c r="K220" s="8">
        <f t="shared" si="17"/>
        <v>5319449</v>
      </c>
      <c r="L220" s="8">
        <f t="shared" si="18"/>
        <v>4298764.7</v>
      </c>
      <c r="M220" s="499">
        <f t="shared" si="19"/>
        <v>0.80812217581181811</v>
      </c>
    </row>
    <row r="221" spans="1:13" ht="16.2" x14ac:dyDescent="0.3">
      <c r="A221" s="802"/>
      <c r="B221" s="803"/>
      <c r="C221" s="803"/>
      <c r="D221" s="1030" t="s">
        <v>458</v>
      </c>
      <c r="E221" s="37">
        <v>5273449</v>
      </c>
      <c r="F221" s="37">
        <v>4252764.7</v>
      </c>
      <c r="G221" s="175">
        <f t="shared" si="1"/>
        <v>0.80644843630800267</v>
      </c>
      <c r="H221" s="8"/>
      <c r="I221" s="8"/>
      <c r="J221" s="175"/>
      <c r="K221" s="8">
        <f t="shared" si="17"/>
        <v>5273449</v>
      </c>
      <c r="L221" s="8">
        <f t="shared" si="18"/>
        <v>4252764.7</v>
      </c>
      <c r="M221" s="499">
        <f t="shared" si="19"/>
        <v>0.80644843630800267</v>
      </c>
    </row>
    <row r="222" spans="1:13" x14ac:dyDescent="0.3">
      <c r="A222" s="802"/>
      <c r="B222" s="803"/>
      <c r="C222" s="803"/>
      <c r="D222" s="1031" t="s">
        <v>459</v>
      </c>
      <c r="E222" s="37">
        <v>3780354</v>
      </c>
      <c r="F222" s="37">
        <v>3242435.19</v>
      </c>
      <c r="G222" s="175">
        <f t="shared" si="1"/>
        <v>0.85770676238257049</v>
      </c>
      <c r="H222" s="8"/>
      <c r="I222" s="8"/>
      <c r="J222" s="175"/>
      <c r="K222" s="8">
        <f t="shared" si="17"/>
        <v>3780354</v>
      </c>
      <c r="L222" s="8">
        <f t="shared" si="18"/>
        <v>3242435.19</v>
      </c>
      <c r="M222" s="499">
        <f t="shared" si="19"/>
        <v>0.85770676238257049</v>
      </c>
    </row>
    <row r="223" spans="1:13" ht="31.2" x14ac:dyDescent="0.3">
      <c r="A223" s="802"/>
      <c r="B223" s="803"/>
      <c r="C223" s="803"/>
      <c r="D223" s="1031" t="s">
        <v>460</v>
      </c>
      <c r="E223" s="37">
        <v>114836</v>
      </c>
      <c r="F223" s="37">
        <v>56907.96</v>
      </c>
      <c r="G223" s="175">
        <f t="shared" si="1"/>
        <v>0.49555853565084118</v>
      </c>
      <c r="H223" s="8"/>
      <c r="I223" s="8"/>
      <c r="J223" s="175"/>
      <c r="K223" s="8">
        <f t="shared" si="17"/>
        <v>114836</v>
      </c>
      <c r="L223" s="8">
        <f t="shared" si="18"/>
        <v>56907.96</v>
      </c>
      <c r="M223" s="499">
        <f t="shared" si="19"/>
        <v>0.49555853565084118</v>
      </c>
    </row>
    <row r="224" spans="1:13" ht="16.2" x14ac:dyDescent="0.3">
      <c r="A224" s="802"/>
      <c r="B224" s="803"/>
      <c r="C224" s="803"/>
      <c r="D224" s="1030" t="s">
        <v>461</v>
      </c>
      <c r="E224" s="37"/>
      <c r="F224" s="37"/>
      <c r="G224" s="175"/>
      <c r="H224" s="8">
        <f>H225</f>
        <v>46000</v>
      </c>
      <c r="I224" s="8">
        <f>I225</f>
        <v>46000</v>
      </c>
      <c r="J224" s="175">
        <f>I224/H224</f>
        <v>1</v>
      </c>
      <c r="K224" s="8">
        <f t="shared" si="17"/>
        <v>46000</v>
      </c>
      <c r="L224" s="8">
        <f t="shared" si="18"/>
        <v>46000</v>
      </c>
      <c r="M224" s="499">
        <f t="shared" si="19"/>
        <v>1</v>
      </c>
    </row>
    <row r="225" spans="1:13" x14ac:dyDescent="0.3">
      <c r="A225" s="802"/>
      <c r="B225" s="803"/>
      <c r="C225" s="803"/>
      <c r="D225" s="1031" t="s">
        <v>462</v>
      </c>
      <c r="E225" s="37"/>
      <c r="F225" s="37"/>
      <c r="G225" s="175"/>
      <c r="H225" s="8">
        <v>46000</v>
      </c>
      <c r="I225" s="8">
        <v>46000</v>
      </c>
      <c r="J225" s="175">
        <f>I225/H225</f>
        <v>1</v>
      </c>
      <c r="K225" s="8">
        <f t="shared" si="17"/>
        <v>46000</v>
      </c>
      <c r="L225" s="8">
        <f t="shared" si="18"/>
        <v>46000</v>
      </c>
      <c r="M225" s="499">
        <f t="shared" si="19"/>
        <v>1</v>
      </c>
    </row>
    <row r="226" spans="1:13" ht="47.25" customHeight="1" x14ac:dyDescent="0.3">
      <c r="A226" s="802" t="s">
        <v>122</v>
      </c>
      <c r="B226" s="803" t="s">
        <v>123</v>
      </c>
      <c r="C226" s="803" t="s">
        <v>114</v>
      </c>
      <c r="D226" s="26" t="s">
        <v>124</v>
      </c>
      <c r="E226" s="37">
        <f>E227</f>
        <v>566000</v>
      </c>
      <c r="F226" s="37">
        <f>F227</f>
        <v>566000</v>
      </c>
      <c r="G226" s="175">
        <f t="shared" si="1"/>
        <v>1</v>
      </c>
      <c r="H226" s="8">
        <v>0</v>
      </c>
      <c r="I226" s="8">
        <v>0</v>
      </c>
      <c r="J226" s="175"/>
      <c r="K226" s="8">
        <f t="shared" si="17"/>
        <v>566000</v>
      </c>
      <c r="L226" s="8">
        <f t="shared" si="18"/>
        <v>566000</v>
      </c>
      <c r="M226" s="499">
        <f t="shared" si="19"/>
        <v>1</v>
      </c>
    </row>
    <row r="227" spans="1:13" ht="16.2" x14ac:dyDescent="0.3">
      <c r="A227" s="802"/>
      <c r="B227" s="803"/>
      <c r="C227" s="803"/>
      <c r="D227" s="1030" t="s">
        <v>458</v>
      </c>
      <c r="E227" s="37">
        <v>566000</v>
      </c>
      <c r="F227" s="37">
        <v>566000</v>
      </c>
      <c r="G227" s="175">
        <f t="shared" si="1"/>
        <v>1</v>
      </c>
      <c r="H227" s="8"/>
      <c r="I227" s="8"/>
      <c r="J227" s="175"/>
      <c r="K227" s="8">
        <f t="shared" si="17"/>
        <v>566000</v>
      </c>
      <c r="L227" s="8">
        <f t="shared" si="18"/>
        <v>566000</v>
      </c>
      <c r="M227" s="499">
        <f t="shared" si="19"/>
        <v>1</v>
      </c>
    </row>
    <row r="228" spans="1:13" ht="46.8" x14ac:dyDescent="0.3">
      <c r="A228" s="802">
        <v>1018110</v>
      </c>
      <c r="B228" s="803">
        <v>8110</v>
      </c>
      <c r="C228" s="45" t="s">
        <v>231</v>
      </c>
      <c r="D228" s="26" t="s">
        <v>232</v>
      </c>
      <c r="E228" s="37">
        <f>E229</f>
        <v>102300</v>
      </c>
      <c r="F228" s="37">
        <f>F229</f>
        <v>1500</v>
      </c>
      <c r="G228" s="175">
        <f t="shared" si="1"/>
        <v>1.466275659824047E-2</v>
      </c>
      <c r="H228" s="8">
        <v>0</v>
      </c>
      <c r="I228" s="8">
        <v>0</v>
      </c>
      <c r="J228" s="175"/>
      <c r="K228" s="8">
        <f t="shared" si="17"/>
        <v>102300</v>
      </c>
      <c r="L228" s="8">
        <f t="shared" si="18"/>
        <v>1500</v>
      </c>
      <c r="M228" s="499">
        <f t="shared" si="19"/>
        <v>1.466275659824047E-2</v>
      </c>
    </row>
    <row r="229" spans="1:13" ht="16.2" x14ac:dyDescent="0.3">
      <c r="A229" s="802"/>
      <c r="B229" s="803"/>
      <c r="C229" s="45"/>
      <c r="D229" s="1030" t="s">
        <v>458</v>
      </c>
      <c r="E229" s="37">
        <v>102300</v>
      </c>
      <c r="F229" s="37">
        <v>1500</v>
      </c>
      <c r="G229" s="175">
        <f t="shared" si="1"/>
        <v>1.466275659824047E-2</v>
      </c>
      <c r="H229" s="8"/>
      <c r="I229" s="8"/>
      <c r="J229" s="175"/>
      <c r="K229" s="8">
        <f t="shared" si="17"/>
        <v>102300</v>
      </c>
      <c r="L229" s="8">
        <f t="shared" si="18"/>
        <v>1500</v>
      </c>
      <c r="M229" s="499">
        <f t="shared" si="19"/>
        <v>1.466275659824047E-2</v>
      </c>
    </row>
    <row r="230" spans="1:13" ht="31.8" thickBot="1" x14ac:dyDescent="0.35">
      <c r="A230" s="35"/>
      <c r="B230" s="36"/>
      <c r="C230" s="74"/>
      <c r="D230" s="1032" t="s">
        <v>460</v>
      </c>
      <c r="E230" s="38">
        <v>100800</v>
      </c>
      <c r="F230" s="38">
        <v>0</v>
      </c>
      <c r="G230" s="176">
        <f t="shared" si="1"/>
        <v>0</v>
      </c>
      <c r="H230" s="14"/>
      <c r="I230" s="14"/>
      <c r="J230" s="176"/>
      <c r="K230" s="14">
        <f t="shared" si="17"/>
        <v>100800</v>
      </c>
      <c r="L230" s="14">
        <f t="shared" si="18"/>
        <v>0</v>
      </c>
      <c r="M230" s="500">
        <f t="shared" si="19"/>
        <v>0</v>
      </c>
    </row>
    <row r="231" spans="1:13" s="30" customFormat="1" ht="48.75" customHeight="1" thickBot="1" x14ac:dyDescent="0.35">
      <c r="A231" s="32" t="s">
        <v>125</v>
      </c>
      <c r="B231" s="33" t="s">
        <v>14</v>
      </c>
      <c r="C231" s="33" t="s">
        <v>14</v>
      </c>
      <c r="D231" s="34" t="s">
        <v>126</v>
      </c>
      <c r="E231" s="47">
        <f>E232</f>
        <v>70090167</v>
      </c>
      <c r="F231" s="47">
        <f>F232</f>
        <v>67076963.530000001</v>
      </c>
      <c r="G231" s="485">
        <f t="shared" si="1"/>
        <v>0.95700961206156065</v>
      </c>
      <c r="H231" s="12">
        <f>H232</f>
        <v>10830100</v>
      </c>
      <c r="I231" s="12">
        <f>I232</f>
        <v>10780250</v>
      </c>
      <c r="J231" s="485">
        <f t="shared" si="20"/>
        <v>0.99539708774618885</v>
      </c>
      <c r="K231" s="12">
        <f>K232</f>
        <v>80920267</v>
      </c>
      <c r="L231" s="12">
        <f>L232</f>
        <v>77857213.530000001</v>
      </c>
      <c r="M231" s="480">
        <f t="shared" si="19"/>
        <v>0.96214726441770149</v>
      </c>
    </row>
    <row r="232" spans="1:13" s="29" customFormat="1" ht="47.25" customHeight="1" thickBot="1" x14ac:dyDescent="0.35">
      <c r="A232" s="837" t="s">
        <v>127</v>
      </c>
      <c r="B232" s="836" t="s">
        <v>14</v>
      </c>
      <c r="C232" s="836" t="s">
        <v>14</v>
      </c>
      <c r="D232" s="1036" t="s">
        <v>126</v>
      </c>
      <c r="E232" s="1040">
        <f>E233+E238+E240+E242+E247+E251+E253+E259+E255+E257</f>
        <v>70090167</v>
      </c>
      <c r="F232" s="1040">
        <f>F233+F238+F240+F242+F247+F251+F253+F259+F255+F257</f>
        <v>67076963.530000001</v>
      </c>
      <c r="G232" s="173">
        <f t="shared" si="1"/>
        <v>0.95700961206156065</v>
      </c>
      <c r="H232" s="1040">
        <f>H233+H238+H240+H242+H247+H251+H253+H259+H244</f>
        <v>10830100</v>
      </c>
      <c r="I232" s="1040">
        <f>I233+I238+I240+I242+I247+I251+I253+I259+I244</f>
        <v>10780250</v>
      </c>
      <c r="J232" s="173">
        <f t="shared" si="20"/>
        <v>0.99539708774618885</v>
      </c>
      <c r="K232" s="1041">
        <f>K233+K238+K240+K242+K247+K251+K253+K259+K255+K244+K257</f>
        <v>80920267</v>
      </c>
      <c r="L232" s="1041">
        <f>L233+L238+L240+L242+L247+L251+L253+L259+L255+L244+L257</f>
        <v>77857213.530000001</v>
      </c>
      <c r="M232" s="182">
        <f t="shared" si="19"/>
        <v>0.96214726441770149</v>
      </c>
    </row>
    <row r="233" spans="1:13" ht="46.8" x14ac:dyDescent="0.3">
      <c r="A233" s="838" t="s">
        <v>128</v>
      </c>
      <c r="B233" s="839" t="s">
        <v>44</v>
      </c>
      <c r="C233" s="839" t="s">
        <v>17</v>
      </c>
      <c r="D233" s="1035" t="s">
        <v>175</v>
      </c>
      <c r="E233" s="39">
        <f>E234</f>
        <v>4092162</v>
      </c>
      <c r="F233" s="39">
        <f>F234</f>
        <v>3850390.94</v>
      </c>
      <c r="G233" s="174">
        <f t="shared" si="1"/>
        <v>0.94091850224893347</v>
      </c>
      <c r="H233" s="540">
        <f>H236</f>
        <v>46000</v>
      </c>
      <c r="I233" s="540">
        <f>I236</f>
        <v>46000</v>
      </c>
      <c r="J233" s="174">
        <f t="shared" si="20"/>
        <v>1</v>
      </c>
      <c r="K233" s="540">
        <f>E233+H233</f>
        <v>4138162</v>
      </c>
      <c r="L233" s="540">
        <f>F233+I233</f>
        <v>3896390.94</v>
      </c>
      <c r="M233" s="498">
        <f t="shared" si="19"/>
        <v>0.94157525490785521</v>
      </c>
    </row>
    <row r="234" spans="1:13" ht="16.2" x14ac:dyDescent="0.3">
      <c r="A234" s="802"/>
      <c r="B234" s="803"/>
      <c r="C234" s="803"/>
      <c r="D234" s="1030" t="s">
        <v>458</v>
      </c>
      <c r="E234" s="37">
        <v>4092162</v>
      </c>
      <c r="F234" s="37">
        <v>3850390.94</v>
      </c>
      <c r="G234" s="175">
        <f t="shared" si="1"/>
        <v>0.94091850224893347</v>
      </c>
      <c r="H234" s="8"/>
      <c r="I234" s="8"/>
      <c r="J234" s="175"/>
      <c r="K234" s="8">
        <f t="shared" ref="K234:K261" si="21">E234+H234</f>
        <v>4092162</v>
      </c>
      <c r="L234" s="8">
        <f t="shared" ref="L234:L261" si="22">F234+I234</f>
        <v>3850390.94</v>
      </c>
      <c r="M234" s="499">
        <f t="shared" si="19"/>
        <v>0.94091850224893347</v>
      </c>
    </row>
    <row r="235" spans="1:13" x14ac:dyDescent="0.3">
      <c r="A235" s="802"/>
      <c r="B235" s="803"/>
      <c r="C235" s="803"/>
      <c r="D235" s="1031" t="s">
        <v>459</v>
      </c>
      <c r="E235" s="37">
        <v>3989655</v>
      </c>
      <c r="F235" s="37">
        <v>3748150.54</v>
      </c>
      <c r="G235" s="175">
        <f t="shared" si="1"/>
        <v>0.93946733238838953</v>
      </c>
      <c r="H235" s="8"/>
      <c r="I235" s="8"/>
      <c r="J235" s="175"/>
      <c r="K235" s="8">
        <f t="shared" si="21"/>
        <v>3989655</v>
      </c>
      <c r="L235" s="8">
        <f t="shared" si="22"/>
        <v>3748150.54</v>
      </c>
      <c r="M235" s="499">
        <f t="shared" si="19"/>
        <v>0.93946733238838953</v>
      </c>
    </row>
    <row r="236" spans="1:13" ht="16.2" x14ac:dyDescent="0.3">
      <c r="A236" s="802"/>
      <c r="B236" s="803"/>
      <c r="C236" s="803"/>
      <c r="D236" s="1030" t="s">
        <v>461</v>
      </c>
      <c r="E236" s="37"/>
      <c r="F236" s="37"/>
      <c r="G236" s="175"/>
      <c r="H236" s="8">
        <f>H237</f>
        <v>46000</v>
      </c>
      <c r="I236" s="8">
        <f>I237</f>
        <v>46000</v>
      </c>
      <c r="J236" s="175">
        <f t="shared" si="20"/>
        <v>1</v>
      </c>
      <c r="K236" s="8">
        <f t="shared" si="21"/>
        <v>46000</v>
      </c>
      <c r="L236" s="8">
        <f t="shared" si="22"/>
        <v>46000</v>
      </c>
      <c r="M236" s="499">
        <f t="shared" si="19"/>
        <v>1</v>
      </c>
    </row>
    <row r="237" spans="1:13" x14ac:dyDescent="0.3">
      <c r="A237" s="802"/>
      <c r="B237" s="803"/>
      <c r="C237" s="803"/>
      <c r="D237" s="1031" t="s">
        <v>462</v>
      </c>
      <c r="E237" s="37"/>
      <c r="F237" s="37"/>
      <c r="G237" s="175"/>
      <c r="H237" s="8">
        <v>46000</v>
      </c>
      <c r="I237" s="8">
        <v>46000</v>
      </c>
      <c r="J237" s="175">
        <f t="shared" si="20"/>
        <v>1</v>
      </c>
      <c r="K237" s="8">
        <f t="shared" si="21"/>
        <v>46000</v>
      </c>
      <c r="L237" s="8">
        <f t="shared" si="22"/>
        <v>46000</v>
      </c>
      <c r="M237" s="499">
        <f t="shared" si="19"/>
        <v>1</v>
      </c>
    </row>
    <row r="238" spans="1:13" ht="23.25" customHeight="1" x14ac:dyDescent="0.3">
      <c r="A238" s="802" t="s">
        <v>129</v>
      </c>
      <c r="B238" s="803" t="s">
        <v>130</v>
      </c>
      <c r="C238" s="803" t="s">
        <v>131</v>
      </c>
      <c r="D238" s="26" t="s">
        <v>132</v>
      </c>
      <c r="E238" s="37">
        <f>E239</f>
        <v>8474</v>
      </c>
      <c r="F238" s="37">
        <f>F239</f>
        <v>8311.74</v>
      </c>
      <c r="G238" s="175">
        <f t="shared" si="1"/>
        <v>0.98085201793721966</v>
      </c>
      <c r="H238" s="8">
        <v>0</v>
      </c>
      <c r="I238" s="8">
        <v>0</v>
      </c>
      <c r="J238" s="175"/>
      <c r="K238" s="8">
        <f t="shared" si="21"/>
        <v>8474</v>
      </c>
      <c r="L238" s="8">
        <f t="shared" si="22"/>
        <v>8311.74</v>
      </c>
      <c r="M238" s="499">
        <f t="shared" si="19"/>
        <v>0.98085201793721966</v>
      </c>
    </row>
    <row r="239" spans="1:13" ht="16.2" x14ac:dyDescent="0.3">
      <c r="A239" s="802"/>
      <c r="B239" s="803"/>
      <c r="C239" s="803"/>
      <c r="D239" s="1030" t="s">
        <v>458</v>
      </c>
      <c r="E239" s="37">
        <v>8474</v>
      </c>
      <c r="F239" s="37">
        <v>8311.74</v>
      </c>
      <c r="G239" s="175">
        <f t="shared" si="1"/>
        <v>0.98085201793721966</v>
      </c>
      <c r="H239" s="8"/>
      <c r="I239" s="8"/>
      <c r="J239" s="175"/>
      <c r="K239" s="8">
        <f t="shared" si="21"/>
        <v>8474</v>
      </c>
      <c r="L239" s="8">
        <f t="shared" si="22"/>
        <v>8311.74</v>
      </c>
      <c r="M239" s="499">
        <f t="shared" si="19"/>
        <v>0.98085201793721966</v>
      </c>
    </row>
    <row r="240" spans="1:13" ht="33" customHeight="1" x14ac:dyDescent="0.3">
      <c r="A240" s="802">
        <v>1216012</v>
      </c>
      <c r="B240" s="803">
        <v>6012</v>
      </c>
      <c r="C240" s="45" t="s">
        <v>27</v>
      </c>
      <c r="D240" s="26" t="s">
        <v>236</v>
      </c>
      <c r="E240" s="37">
        <f>E241</f>
        <v>5671150</v>
      </c>
      <c r="F240" s="37">
        <f>F241</f>
        <v>5400000</v>
      </c>
      <c r="G240" s="175">
        <f t="shared" si="1"/>
        <v>0.95218782786560041</v>
      </c>
      <c r="H240" s="8">
        <v>0</v>
      </c>
      <c r="I240" s="8">
        <v>0</v>
      </c>
      <c r="J240" s="175"/>
      <c r="K240" s="8">
        <f t="shared" si="21"/>
        <v>5671150</v>
      </c>
      <c r="L240" s="8">
        <f t="shared" si="22"/>
        <v>5400000</v>
      </c>
      <c r="M240" s="499">
        <f t="shared" si="19"/>
        <v>0.95218782786560041</v>
      </c>
    </row>
    <row r="241" spans="1:13" ht="16.2" x14ac:dyDescent="0.3">
      <c r="A241" s="802"/>
      <c r="B241" s="803"/>
      <c r="C241" s="45"/>
      <c r="D241" s="1030" t="s">
        <v>458</v>
      </c>
      <c r="E241" s="37">
        <v>5671150</v>
      </c>
      <c r="F241" s="37">
        <v>5400000</v>
      </c>
      <c r="G241" s="175">
        <f t="shared" si="1"/>
        <v>0.95218782786560041</v>
      </c>
      <c r="H241" s="8"/>
      <c r="I241" s="8"/>
      <c r="J241" s="175"/>
      <c r="K241" s="8">
        <f t="shared" si="21"/>
        <v>5671150</v>
      </c>
      <c r="L241" s="8">
        <f t="shared" si="22"/>
        <v>5400000</v>
      </c>
      <c r="M241" s="499">
        <f t="shared" si="19"/>
        <v>0.95218782786560041</v>
      </c>
    </row>
    <row r="242" spans="1:13" ht="31.2" x14ac:dyDescent="0.3">
      <c r="A242" s="802" t="s">
        <v>133</v>
      </c>
      <c r="B242" s="803" t="s">
        <v>134</v>
      </c>
      <c r="C242" s="803" t="s">
        <v>27</v>
      </c>
      <c r="D242" s="26" t="s">
        <v>135</v>
      </c>
      <c r="E242" s="37">
        <f>E243</f>
        <v>1231641</v>
      </c>
      <c r="F242" s="37">
        <f>F243</f>
        <v>1190903.48</v>
      </c>
      <c r="G242" s="175">
        <f t="shared" si="1"/>
        <v>0.96692419300754029</v>
      </c>
      <c r="H242" s="8">
        <v>0</v>
      </c>
      <c r="I242" s="8">
        <v>0</v>
      </c>
      <c r="J242" s="175"/>
      <c r="K242" s="8">
        <f t="shared" si="21"/>
        <v>1231641</v>
      </c>
      <c r="L242" s="8">
        <f t="shared" si="22"/>
        <v>1190903.48</v>
      </c>
      <c r="M242" s="499">
        <f t="shared" si="19"/>
        <v>0.96692419300754029</v>
      </c>
    </row>
    <row r="243" spans="1:13" ht="16.2" x14ac:dyDescent="0.3">
      <c r="A243" s="802"/>
      <c r="B243" s="803"/>
      <c r="C243" s="803"/>
      <c r="D243" s="1030" t="s">
        <v>458</v>
      </c>
      <c r="E243" s="37">
        <v>1231641</v>
      </c>
      <c r="F243" s="37">
        <v>1190903.48</v>
      </c>
      <c r="G243" s="175">
        <f t="shared" si="1"/>
        <v>0.96692419300754029</v>
      </c>
      <c r="H243" s="8"/>
      <c r="I243" s="8"/>
      <c r="J243" s="175"/>
      <c r="K243" s="8">
        <f t="shared" si="21"/>
        <v>1231641</v>
      </c>
      <c r="L243" s="8">
        <f t="shared" si="22"/>
        <v>1190903.48</v>
      </c>
      <c r="M243" s="499">
        <f t="shared" si="19"/>
        <v>0.96692419300754029</v>
      </c>
    </row>
    <row r="244" spans="1:13" ht="31.2" x14ac:dyDescent="0.3">
      <c r="A244" s="802">
        <v>1216014</v>
      </c>
      <c r="B244" s="803">
        <v>6014</v>
      </c>
      <c r="C244" s="803" t="s">
        <v>27</v>
      </c>
      <c r="D244" s="26" t="s">
        <v>513</v>
      </c>
      <c r="E244" s="37"/>
      <c r="F244" s="37"/>
      <c r="G244" s="175"/>
      <c r="H244" s="8">
        <f>H245</f>
        <v>5400000</v>
      </c>
      <c r="I244" s="8">
        <f>I245</f>
        <v>5400000</v>
      </c>
      <c r="J244" s="175">
        <f t="shared" ref="J244:J246" si="23">I244/H244</f>
        <v>1</v>
      </c>
      <c r="K244" s="8">
        <f t="shared" si="21"/>
        <v>5400000</v>
      </c>
      <c r="L244" s="8">
        <f t="shared" si="22"/>
        <v>5400000</v>
      </c>
      <c r="M244" s="499">
        <f t="shared" si="19"/>
        <v>1</v>
      </c>
    </row>
    <row r="245" spans="1:13" ht="16.2" x14ac:dyDescent="0.3">
      <c r="A245" s="802"/>
      <c r="B245" s="803"/>
      <c r="C245" s="803"/>
      <c r="D245" s="1030" t="s">
        <v>461</v>
      </c>
      <c r="E245" s="37"/>
      <c r="F245" s="37"/>
      <c r="G245" s="175"/>
      <c r="H245" s="8">
        <f>H246</f>
        <v>5400000</v>
      </c>
      <c r="I245" s="8">
        <f>I246</f>
        <v>5400000</v>
      </c>
      <c r="J245" s="175">
        <f t="shared" si="23"/>
        <v>1</v>
      </c>
      <c r="K245" s="8">
        <f t="shared" si="21"/>
        <v>5400000</v>
      </c>
      <c r="L245" s="8">
        <f t="shared" si="22"/>
        <v>5400000</v>
      </c>
      <c r="M245" s="499">
        <f t="shared" si="19"/>
        <v>1</v>
      </c>
    </row>
    <row r="246" spans="1:13" x14ac:dyDescent="0.3">
      <c r="A246" s="802"/>
      <c r="B246" s="803"/>
      <c r="C246" s="803"/>
      <c r="D246" s="1031" t="s">
        <v>462</v>
      </c>
      <c r="E246" s="37"/>
      <c r="F246" s="37"/>
      <c r="G246" s="175"/>
      <c r="H246" s="8">
        <v>5400000</v>
      </c>
      <c r="I246" s="8">
        <v>5400000</v>
      </c>
      <c r="J246" s="175">
        <f t="shared" si="23"/>
        <v>1</v>
      </c>
      <c r="K246" s="8">
        <f t="shared" si="21"/>
        <v>5400000</v>
      </c>
      <c r="L246" s="8">
        <f t="shared" si="22"/>
        <v>5400000</v>
      </c>
      <c r="M246" s="499">
        <f t="shared" si="19"/>
        <v>1</v>
      </c>
    </row>
    <row r="247" spans="1:13" ht="20.25" customHeight="1" x14ac:dyDescent="0.3">
      <c r="A247" s="802" t="s">
        <v>136</v>
      </c>
      <c r="B247" s="803" t="s">
        <v>26</v>
      </c>
      <c r="C247" s="803" t="s">
        <v>27</v>
      </c>
      <c r="D247" s="26" t="s">
        <v>28</v>
      </c>
      <c r="E247" s="37">
        <f>E248</f>
        <v>47548657</v>
      </c>
      <c r="F247" s="37">
        <f>F248</f>
        <v>46218138.979999997</v>
      </c>
      <c r="G247" s="175">
        <f t="shared" ref="G247:G346" si="24">F247/E247</f>
        <v>0.97201775814614488</v>
      </c>
      <c r="H247" s="8">
        <f>H248+H249</f>
        <v>5024500</v>
      </c>
      <c r="I247" s="8">
        <f>I248+I249</f>
        <v>5024100</v>
      </c>
      <c r="J247" s="175">
        <f>I247/H247</f>
        <v>0.99992039008856604</v>
      </c>
      <c r="K247" s="8">
        <f>E247+H247</f>
        <v>52573157</v>
      </c>
      <c r="L247" s="8">
        <f t="shared" si="22"/>
        <v>51242238.979999997</v>
      </c>
      <c r="M247" s="499">
        <f t="shared" si="19"/>
        <v>0.97468445693683559</v>
      </c>
    </row>
    <row r="248" spans="1:13" ht="16.2" x14ac:dyDescent="0.3">
      <c r="A248" s="802"/>
      <c r="B248" s="803"/>
      <c r="C248" s="803"/>
      <c r="D248" s="1030" t="s">
        <v>458</v>
      </c>
      <c r="E248" s="37">
        <v>47548657</v>
      </c>
      <c r="F248" s="37">
        <v>46218138.979999997</v>
      </c>
      <c r="G248" s="175">
        <f t="shared" si="24"/>
        <v>0.97201775814614488</v>
      </c>
      <c r="H248" s="8"/>
      <c r="I248" s="8"/>
      <c r="J248" s="175"/>
      <c r="K248" s="8">
        <f t="shared" si="21"/>
        <v>47548657</v>
      </c>
      <c r="L248" s="8">
        <f t="shared" si="22"/>
        <v>46218138.979999997</v>
      </c>
      <c r="M248" s="499">
        <f t="shared" si="19"/>
        <v>0.97201775814614488</v>
      </c>
    </row>
    <row r="249" spans="1:13" ht="16.2" x14ac:dyDescent="0.3">
      <c r="A249" s="802"/>
      <c r="B249" s="803"/>
      <c r="C249" s="803"/>
      <c r="D249" s="1030" t="s">
        <v>461</v>
      </c>
      <c r="E249" s="37"/>
      <c r="F249" s="37"/>
      <c r="G249" s="175"/>
      <c r="H249" s="162">
        <f>H250</f>
        <v>5024500</v>
      </c>
      <c r="I249" s="162">
        <f>I250</f>
        <v>5024100</v>
      </c>
      <c r="J249" s="175">
        <f t="shared" ref="J249:J250" si="25">I249/H249</f>
        <v>0.99992039008856604</v>
      </c>
      <c r="K249" s="8">
        <f t="shared" si="21"/>
        <v>5024500</v>
      </c>
      <c r="L249" s="8">
        <f t="shared" si="22"/>
        <v>5024100</v>
      </c>
      <c r="M249" s="499">
        <f t="shared" si="19"/>
        <v>0.99992039008856604</v>
      </c>
    </row>
    <row r="250" spans="1:13" x14ac:dyDescent="0.3">
      <c r="A250" s="802"/>
      <c r="B250" s="803"/>
      <c r="C250" s="803"/>
      <c r="D250" s="1031" t="s">
        <v>462</v>
      </c>
      <c r="E250" s="37"/>
      <c r="F250" s="37"/>
      <c r="G250" s="175"/>
      <c r="H250" s="8">
        <v>5024500</v>
      </c>
      <c r="I250" s="8">
        <v>5024100</v>
      </c>
      <c r="J250" s="175">
        <f t="shared" si="25"/>
        <v>0.99992039008856604</v>
      </c>
      <c r="K250" s="8">
        <f t="shared" si="21"/>
        <v>5024500</v>
      </c>
      <c r="L250" s="8">
        <f t="shared" si="22"/>
        <v>5024100</v>
      </c>
      <c r="M250" s="499">
        <f t="shared" si="19"/>
        <v>0.99992039008856604</v>
      </c>
    </row>
    <row r="251" spans="1:13" ht="136.5" customHeight="1" x14ac:dyDescent="0.3">
      <c r="A251" s="802">
        <v>1216071</v>
      </c>
      <c r="B251" s="803">
        <v>6071</v>
      </c>
      <c r="C251" s="45" t="s">
        <v>267</v>
      </c>
      <c r="D251" s="26" t="s">
        <v>266</v>
      </c>
      <c r="E251" s="37">
        <f>E252</f>
        <v>7164584</v>
      </c>
      <c r="F251" s="37">
        <f>F252</f>
        <v>6277476.4299999997</v>
      </c>
      <c r="G251" s="175">
        <f t="shared" si="24"/>
        <v>0.87618156615931919</v>
      </c>
      <c r="H251" s="8">
        <v>0</v>
      </c>
      <c r="I251" s="8">
        <v>0</v>
      </c>
      <c r="J251" s="175"/>
      <c r="K251" s="8">
        <f t="shared" si="21"/>
        <v>7164584</v>
      </c>
      <c r="L251" s="8">
        <f t="shared" si="22"/>
        <v>6277476.4299999997</v>
      </c>
      <c r="M251" s="499">
        <f t="shared" si="19"/>
        <v>0.87618156615931919</v>
      </c>
    </row>
    <row r="252" spans="1:13" ht="16.2" x14ac:dyDescent="0.3">
      <c r="A252" s="802"/>
      <c r="B252" s="803"/>
      <c r="C252" s="45"/>
      <c r="D252" s="1030" t="s">
        <v>458</v>
      </c>
      <c r="E252" s="37">
        <v>7164584</v>
      </c>
      <c r="F252" s="37">
        <v>6277476.4299999997</v>
      </c>
      <c r="G252" s="175">
        <f t="shared" si="24"/>
        <v>0.87618156615931919</v>
      </c>
      <c r="H252" s="8"/>
      <c r="I252" s="8"/>
      <c r="J252" s="175"/>
      <c r="K252" s="8">
        <f t="shared" si="21"/>
        <v>7164584</v>
      </c>
      <c r="L252" s="8">
        <f t="shared" si="22"/>
        <v>6277476.4299999997</v>
      </c>
      <c r="M252" s="499">
        <f t="shared" si="19"/>
        <v>0.87618156615931919</v>
      </c>
    </row>
    <row r="253" spans="1:13" ht="45.75" customHeight="1" x14ac:dyDescent="0.3">
      <c r="A253" s="802" t="s">
        <v>137</v>
      </c>
      <c r="B253" s="803" t="s">
        <v>138</v>
      </c>
      <c r="C253" s="803" t="s">
        <v>139</v>
      </c>
      <c r="D253" s="26" t="s">
        <v>140</v>
      </c>
      <c r="E253" s="37">
        <f>E254</f>
        <v>2980221</v>
      </c>
      <c r="F253" s="37">
        <f>F254</f>
        <v>2768592.2</v>
      </c>
      <c r="G253" s="175">
        <f t="shared" si="24"/>
        <v>0.9289888904212138</v>
      </c>
      <c r="H253" s="8">
        <v>0</v>
      </c>
      <c r="I253" s="8">
        <v>0</v>
      </c>
      <c r="J253" s="175"/>
      <c r="K253" s="8">
        <f t="shared" si="21"/>
        <v>2980221</v>
      </c>
      <c r="L253" s="8">
        <f t="shared" si="22"/>
        <v>2768592.2</v>
      </c>
      <c r="M253" s="499">
        <f t="shared" si="19"/>
        <v>0.9289888904212138</v>
      </c>
    </row>
    <row r="254" spans="1:13" ht="16.2" x14ac:dyDescent="0.3">
      <c r="A254" s="802"/>
      <c r="B254" s="803"/>
      <c r="C254" s="803"/>
      <c r="D254" s="1030" t="s">
        <v>458</v>
      </c>
      <c r="E254" s="37">
        <v>2980221</v>
      </c>
      <c r="F254" s="37">
        <v>2768592.2</v>
      </c>
      <c r="G254" s="175">
        <f t="shared" si="24"/>
        <v>0.9289888904212138</v>
      </c>
      <c r="H254" s="8"/>
      <c r="I254" s="8"/>
      <c r="J254" s="175"/>
      <c r="K254" s="8">
        <f t="shared" si="21"/>
        <v>2980221</v>
      </c>
      <c r="L254" s="8">
        <f t="shared" si="22"/>
        <v>2768592.2</v>
      </c>
      <c r="M254" s="499">
        <f t="shared" si="19"/>
        <v>0.9289888904212138</v>
      </c>
    </row>
    <row r="255" spans="1:13" ht="31.2" x14ac:dyDescent="0.3">
      <c r="A255" s="802">
        <v>1217693</v>
      </c>
      <c r="B255" s="803">
        <v>7693</v>
      </c>
      <c r="C255" s="45" t="s">
        <v>171</v>
      </c>
      <c r="D255" s="26" t="s">
        <v>512</v>
      </c>
      <c r="E255" s="37">
        <f>E256</f>
        <v>1309220</v>
      </c>
      <c r="F255" s="37">
        <f>F256</f>
        <v>1282712.72</v>
      </c>
      <c r="G255" s="175">
        <f t="shared" si="24"/>
        <v>0.97975337987504008</v>
      </c>
      <c r="H255" s="8"/>
      <c r="I255" s="8"/>
      <c r="J255" s="175"/>
      <c r="K255" s="8">
        <f t="shared" si="21"/>
        <v>1309220</v>
      </c>
      <c r="L255" s="8">
        <f t="shared" si="22"/>
        <v>1282712.72</v>
      </c>
      <c r="M255" s="499">
        <f t="shared" si="19"/>
        <v>0.97975337987504008</v>
      </c>
    </row>
    <row r="256" spans="1:13" ht="16.2" x14ac:dyDescent="0.3">
      <c r="A256" s="802"/>
      <c r="B256" s="803"/>
      <c r="C256" s="803"/>
      <c r="D256" s="1030" t="s">
        <v>458</v>
      </c>
      <c r="E256" s="37">
        <v>1309220</v>
      </c>
      <c r="F256" s="37">
        <v>1282712.72</v>
      </c>
      <c r="G256" s="175">
        <f t="shared" si="24"/>
        <v>0.97975337987504008</v>
      </c>
      <c r="H256" s="8"/>
      <c r="I256" s="8"/>
      <c r="J256" s="175"/>
      <c r="K256" s="8">
        <f t="shared" si="21"/>
        <v>1309220</v>
      </c>
      <c r="L256" s="8">
        <f t="shared" si="22"/>
        <v>1282712.72</v>
      </c>
      <c r="M256" s="499">
        <f t="shared" si="19"/>
        <v>0.97975337987504008</v>
      </c>
    </row>
    <row r="257" spans="1:13" x14ac:dyDescent="0.3">
      <c r="A257" s="802">
        <v>1218240</v>
      </c>
      <c r="B257" s="803">
        <v>8240</v>
      </c>
      <c r="C257" s="45" t="s">
        <v>171</v>
      </c>
      <c r="D257" s="26" t="s">
        <v>641</v>
      </c>
      <c r="E257" s="37">
        <f>E258</f>
        <v>84058</v>
      </c>
      <c r="F257" s="37">
        <f>F258</f>
        <v>80437.039999999994</v>
      </c>
      <c r="G257" s="175">
        <f t="shared" si="24"/>
        <v>0.95692307692307688</v>
      </c>
      <c r="H257" s="8"/>
      <c r="I257" s="8"/>
      <c r="J257" s="175"/>
      <c r="K257" s="8">
        <f t="shared" si="21"/>
        <v>84058</v>
      </c>
      <c r="L257" s="8">
        <f t="shared" si="22"/>
        <v>80437.039999999994</v>
      </c>
      <c r="M257" s="499">
        <f t="shared" si="19"/>
        <v>0.95692307692307688</v>
      </c>
    </row>
    <row r="258" spans="1:13" ht="16.2" x14ac:dyDescent="0.3">
      <c r="A258" s="802"/>
      <c r="B258" s="803"/>
      <c r="C258" s="803"/>
      <c r="D258" s="1030" t="s">
        <v>458</v>
      </c>
      <c r="E258" s="37">
        <v>84058</v>
      </c>
      <c r="F258" s="37">
        <v>80437.039999999994</v>
      </c>
      <c r="G258" s="175">
        <f t="shared" si="24"/>
        <v>0.95692307692307688</v>
      </c>
      <c r="H258" s="8"/>
      <c r="I258" s="8"/>
      <c r="J258" s="175"/>
      <c r="K258" s="8">
        <f t="shared" si="21"/>
        <v>84058</v>
      </c>
      <c r="L258" s="8">
        <f t="shared" si="22"/>
        <v>80437.039999999994</v>
      </c>
      <c r="M258" s="499">
        <f t="shared" si="19"/>
        <v>0.95692307692307688</v>
      </c>
    </row>
    <row r="259" spans="1:13" ht="33" customHeight="1" x14ac:dyDescent="0.3">
      <c r="A259" s="802" t="s">
        <v>141</v>
      </c>
      <c r="B259" s="803" t="s">
        <v>142</v>
      </c>
      <c r="C259" s="803" t="s">
        <v>143</v>
      </c>
      <c r="D259" s="26" t="s">
        <v>144</v>
      </c>
      <c r="E259" s="37">
        <v>0</v>
      </c>
      <c r="F259" s="37">
        <v>0</v>
      </c>
      <c r="G259" s="175"/>
      <c r="H259" s="8">
        <f>H260+H261</f>
        <v>359600</v>
      </c>
      <c r="I259" s="8">
        <f>I260+I261</f>
        <v>310150</v>
      </c>
      <c r="J259" s="175">
        <f t="shared" si="20"/>
        <v>0.86248609566184653</v>
      </c>
      <c r="K259" s="8">
        <f t="shared" si="21"/>
        <v>359600</v>
      </c>
      <c r="L259" s="8">
        <f t="shared" si="22"/>
        <v>310150</v>
      </c>
      <c r="M259" s="499">
        <f t="shared" si="19"/>
        <v>0.86248609566184653</v>
      </c>
    </row>
    <row r="260" spans="1:13" ht="16.2" x14ac:dyDescent="0.3">
      <c r="A260" s="802"/>
      <c r="B260" s="803"/>
      <c r="C260" s="803"/>
      <c r="D260" s="1030" t="s">
        <v>458</v>
      </c>
      <c r="E260" s="37"/>
      <c r="F260" s="37"/>
      <c r="G260" s="175"/>
      <c r="H260" s="8">
        <v>264650</v>
      </c>
      <c r="I260" s="8">
        <v>215200</v>
      </c>
      <c r="J260" s="175">
        <f t="shared" si="20"/>
        <v>0.81314944266011713</v>
      </c>
      <c r="K260" s="8">
        <f t="shared" si="21"/>
        <v>264650</v>
      </c>
      <c r="L260" s="8">
        <f t="shared" si="22"/>
        <v>215200</v>
      </c>
      <c r="M260" s="499">
        <f t="shared" si="19"/>
        <v>0.81314944266011713</v>
      </c>
    </row>
    <row r="261" spans="1:13" ht="16.8" thickBot="1" x14ac:dyDescent="0.35">
      <c r="A261" s="35"/>
      <c r="B261" s="36"/>
      <c r="C261" s="36"/>
      <c r="D261" s="1033" t="s">
        <v>461</v>
      </c>
      <c r="E261" s="38"/>
      <c r="F261" s="38"/>
      <c r="G261" s="176"/>
      <c r="H261" s="14">
        <v>94950</v>
      </c>
      <c r="I261" s="14">
        <v>94950</v>
      </c>
      <c r="J261" s="176">
        <f t="shared" si="20"/>
        <v>1</v>
      </c>
      <c r="K261" s="14">
        <f t="shared" si="21"/>
        <v>94950</v>
      </c>
      <c r="L261" s="14">
        <f t="shared" si="22"/>
        <v>94950</v>
      </c>
      <c r="M261" s="500">
        <f t="shared" si="19"/>
        <v>1</v>
      </c>
    </row>
    <row r="262" spans="1:13" s="30" customFormat="1" ht="47.4" thickBot="1" x14ac:dyDescent="0.35">
      <c r="A262" s="32" t="s">
        <v>145</v>
      </c>
      <c r="B262" s="33" t="s">
        <v>14</v>
      </c>
      <c r="C262" s="33" t="s">
        <v>14</v>
      </c>
      <c r="D262" s="34" t="s">
        <v>146</v>
      </c>
      <c r="E262" s="47">
        <f>E263</f>
        <v>3139784</v>
      </c>
      <c r="F262" s="47">
        <f>F263</f>
        <v>2785587.23</v>
      </c>
      <c r="G262" s="485">
        <f t="shared" si="24"/>
        <v>0.88719072076295691</v>
      </c>
      <c r="H262" s="47">
        <f>H263</f>
        <v>118308057</v>
      </c>
      <c r="I262" s="47">
        <f>I263</f>
        <v>40058510.639999993</v>
      </c>
      <c r="J262" s="485">
        <f t="shared" si="20"/>
        <v>0.33859494996186096</v>
      </c>
      <c r="K262" s="12">
        <f>K263</f>
        <v>121447841</v>
      </c>
      <c r="L262" s="12">
        <f>L263</f>
        <v>42844097.869999997</v>
      </c>
      <c r="M262" s="480">
        <f t="shared" si="19"/>
        <v>0.35277776465371663</v>
      </c>
    </row>
    <row r="263" spans="1:13" s="29" customFormat="1" ht="47.4" thickBot="1" x14ac:dyDescent="0.35">
      <c r="A263" s="837" t="s">
        <v>147</v>
      </c>
      <c r="B263" s="836" t="s">
        <v>14</v>
      </c>
      <c r="C263" s="836" t="s">
        <v>14</v>
      </c>
      <c r="D263" s="1036" t="s">
        <v>146</v>
      </c>
      <c r="E263" s="1040">
        <f>E264+E276+E285+E288</f>
        <v>3139784</v>
      </c>
      <c r="F263" s="1040">
        <f>F264+F276+F285+F288</f>
        <v>2785587.23</v>
      </c>
      <c r="G263" s="173">
        <f t="shared" si="24"/>
        <v>0.88719072076295691</v>
      </c>
      <c r="H263" s="1040">
        <f>H264+H276+H285+H288+H270+H273+H279+H291+H294+H297+H282+H300</f>
        <v>118308057</v>
      </c>
      <c r="I263" s="1040">
        <f>I264+I276+I285+I288+I270+I273+I279+I291+I294+I297+I282+I300</f>
        <v>40058510.639999993</v>
      </c>
      <c r="J263" s="173">
        <f t="shared" si="20"/>
        <v>0.33859494996186096</v>
      </c>
      <c r="K263" s="1041">
        <f>K264+K276+K285+K288+K270+K273+K279+K291+K294+K297+K282+K300</f>
        <v>121447841</v>
      </c>
      <c r="L263" s="1041">
        <f>L264+L276+L285+L288+L270+L273+L279+L291+L294+L297+L282+L300</f>
        <v>42844097.869999997</v>
      </c>
      <c r="M263" s="182">
        <f t="shared" si="19"/>
        <v>0.35277776465371663</v>
      </c>
    </row>
    <row r="264" spans="1:13" ht="46.8" x14ac:dyDescent="0.3">
      <c r="A264" s="838" t="s">
        <v>198</v>
      </c>
      <c r="B264" s="839" t="s">
        <v>44</v>
      </c>
      <c r="C264" s="839" t="s">
        <v>17</v>
      </c>
      <c r="D264" s="1035" t="s">
        <v>175</v>
      </c>
      <c r="E264" s="39">
        <f>E265</f>
        <v>3139784</v>
      </c>
      <c r="F264" s="39">
        <f>F265</f>
        <v>2785587.23</v>
      </c>
      <c r="G264" s="174">
        <f t="shared" si="24"/>
        <v>0.88719072076295691</v>
      </c>
      <c r="H264" s="540">
        <f>H265+H268</f>
        <v>248550</v>
      </c>
      <c r="I264" s="540">
        <f>I265+I268</f>
        <v>247557</v>
      </c>
      <c r="J264" s="174">
        <f t="shared" si="20"/>
        <v>0.99600482800241397</v>
      </c>
      <c r="K264" s="540">
        <f>E264+H264</f>
        <v>3388334</v>
      </c>
      <c r="L264" s="540">
        <f>F264+I264</f>
        <v>3033144.23</v>
      </c>
      <c r="M264" s="498">
        <f t="shared" si="19"/>
        <v>0.89517273975942158</v>
      </c>
    </row>
    <row r="265" spans="1:13" ht="16.2" x14ac:dyDescent="0.3">
      <c r="A265" s="802"/>
      <c r="B265" s="803"/>
      <c r="C265" s="803"/>
      <c r="D265" s="1030" t="s">
        <v>458</v>
      </c>
      <c r="E265" s="37">
        <v>3139784</v>
      </c>
      <c r="F265" s="37">
        <v>2785587.23</v>
      </c>
      <c r="G265" s="175">
        <f t="shared" si="24"/>
        <v>0.88719072076295691</v>
      </c>
      <c r="H265" s="8"/>
      <c r="I265" s="8"/>
      <c r="J265" s="175"/>
      <c r="K265" s="8">
        <f t="shared" ref="K265:K302" si="26">E265+H265</f>
        <v>3139784</v>
      </c>
      <c r="L265" s="8">
        <f t="shared" ref="L265:L302" si="27">F265+I265</f>
        <v>2785587.23</v>
      </c>
      <c r="M265" s="499">
        <f t="shared" si="19"/>
        <v>0.88719072076295691</v>
      </c>
    </row>
    <row r="266" spans="1:13" x14ac:dyDescent="0.3">
      <c r="A266" s="802"/>
      <c r="B266" s="803"/>
      <c r="C266" s="803"/>
      <c r="D266" s="1031" t="s">
        <v>459</v>
      </c>
      <c r="E266" s="37">
        <v>2934416</v>
      </c>
      <c r="F266" s="37">
        <v>2600934.4300000002</v>
      </c>
      <c r="G266" s="175">
        <f t="shared" si="24"/>
        <v>0.88635504645558105</v>
      </c>
      <c r="H266" s="8"/>
      <c r="I266" s="8"/>
      <c r="J266" s="175"/>
      <c r="K266" s="8">
        <f t="shared" si="26"/>
        <v>2934416</v>
      </c>
      <c r="L266" s="8">
        <f t="shared" si="27"/>
        <v>2600934.4300000002</v>
      </c>
      <c r="M266" s="499">
        <f t="shared" si="19"/>
        <v>0.88635504645558105</v>
      </c>
    </row>
    <row r="267" spans="1:13" ht="31.2" x14ac:dyDescent="0.3">
      <c r="A267" s="802"/>
      <c r="B267" s="803"/>
      <c r="C267" s="803"/>
      <c r="D267" s="1031" t="s">
        <v>460</v>
      </c>
      <c r="E267" s="37">
        <v>91053</v>
      </c>
      <c r="F267" s="37">
        <v>73519</v>
      </c>
      <c r="G267" s="175">
        <f t="shared" si="24"/>
        <v>0.80743083698505269</v>
      </c>
      <c r="H267" s="8"/>
      <c r="I267" s="8"/>
      <c r="J267" s="175"/>
      <c r="K267" s="8">
        <f t="shared" si="26"/>
        <v>91053</v>
      </c>
      <c r="L267" s="8">
        <f t="shared" si="27"/>
        <v>73519</v>
      </c>
      <c r="M267" s="499">
        <f t="shared" si="19"/>
        <v>0.80743083698505269</v>
      </c>
    </row>
    <row r="268" spans="1:13" ht="16.2" x14ac:dyDescent="0.3">
      <c r="A268" s="802"/>
      <c r="B268" s="803"/>
      <c r="C268" s="803"/>
      <c r="D268" s="1030" t="s">
        <v>461</v>
      </c>
      <c r="E268" s="37"/>
      <c r="F268" s="37"/>
      <c r="G268" s="175"/>
      <c r="H268" s="8">
        <f>H269</f>
        <v>248550</v>
      </c>
      <c r="I268" s="8">
        <f>I269</f>
        <v>247557</v>
      </c>
      <c r="J268" s="175">
        <f>I268/H268</f>
        <v>0.99600482800241397</v>
      </c>
      <c r="K268" s="8">
        <f t="shared" si="26"/>
        <v>248550</v>
      </c>
      <c r="L268" s="8">
        <f t="shared" si="27"/>
        <v>247557</v>
      </c>
      <c r="M268" s="499">
        <f t="shared" si="19"/>
        <v>0.99600482800241397</v>
      </c>
    </row>
    <row r="269" spans="1:13" x14ac:dyDescent="0.3">
      <c r="A269" s="802"/>
      <c r="B269" s="803"/>
      <c r="C269" s="803"/>
      <c r="D269" s="1031" t="s">
        <v>462</v>
      </c>
      <c r="E269" s="37"/>
      <c r="F269" s="37"/>
      <c r="G269" s="175"/>
      <c r="H269" s="8">
        <v>248550</v>
      </c>
      <c r="I269" s="8">
        <v>247557</v>
      </c>
      <c r="J269" s="175">
        <f>I269/H269</f>
        <v>0.99600482800241397</v>
      </c>
      <c r="K269" s="8">
        <f t="shared" si="26"/>
        <v>248550</v>
      </c>
      <c r="L269" s="8">
        <f t="shared" si="27"/>
        <v>247557</v>
      </c>
      <c r="M269" s="499">
        <f t="shared" si="19"/>
        <v>0.99600482800241397</v>
      </c>
    </row>
    <row r="270" spans="1:13" ht="46.8" x14ac:dyDescent="0.3">
      <c r="A270" s="802">
        <v>1511021</v>
      </c>
      <c r="B270" s="803">
        <v>1021</v>
      </c>
      <c r="C270" s="45" t="s">
        <v>51</v>
      </c>
      <c r="D270" s="26" t="s">
        <v>516</v>
      </c>
      <c r="E270" s="37"/>
      <c r="F270" s="37"/>
      <c r="G270" s="175"/>
      <c r="H270" s="8">
        <f>H271</f>
        <v>32434652</v>
      </c>
      <c r="I270" s="8">
        <f>I271</f>
        <v>7555248.3700000001</v>
      </c>
      <c r="J270" s="175">
        <f t="shared" si="20"/>
        <v>0.23293754993887403</v>
      </c>
      <c r="K270" s="8">
        <f t="shared" si="26"/>
        <v>32434652</v>
      </c>
      <c r="L270" s="8">
        <f t="shared" si="27"/>
        <v>7555248.3700000001</v>
      </c>
      <c r="M270" s="499">
        <f t="shared" si="19"/>
        <v>0.23293754993887403</v>
      </c>
    </row>
    <row r="271" spans="1:13" ht="16.2" x14ac:dyDescent="0.3">
      <c r="A271" s="802"/>
      <c r="B271" s="803"/>
      <c r="C271" s="803"/>
      <c r="D271" s="1030" t="s">
        <v>461</v>
      </c>
      <c r="E271" s="37"/>
      <c r="F271" s="37"/>
      <c r="G271" s="175"/>
      <c r="H271" s="8">
        <f>H272</f>
        <v>32434652</v>
      </c>
      <c r="I271" s="8">
        <f>I272</f>
        <v>7555248.3700000001</v>
      </c>
      <c r="J271" s="175">
        <f t="shared" si="20"/>
        <v>0.23293754993887403</v>
      </c>
      <c r="K271" s="8">
        <f t="shared" si="26"/>
        <v>32434652</v>
      </c>
      <c r="L271" s="8">
        <f t="shared" si="27"/>
        <v>7555248.3700000001</v>
      </c>
      <c r="M271" s="499">
        <f t="shared" si="19"/>
        <v>0.23293754993887403</v>
      </c>
    </row>
    <row r="272" spans="1:13" x14ac:dyDescent="0.3">
      <c r="A272" s="802"/>
      <c r="B272" s="803"/>
      <c r="C272" s="803"/>
      <c r="D272" s="1031" t="s">
        <v>462</v>
      </c>
      <c r="E272" s="37"/>
      <c r="F272" s="37"/>
      <c r="G272" s="175"/>
      <c r="H272" s="8">
        <v>32434652</v>
      </c>
      <c r="I272" s="8">
        <v>7555248.3700000001</v>
      </c>
      <c r="J272" s="175">
        <f t="shared" si="20"/>
        <v>0.23293754993887403</v>
      </c>
      <c r="K272" s="8">
        <f t="shared" si="26"/>
        <v>32434652</v>
      </c>
      <c r="L272" s="8">
        <f t="shared" si="27"/>
        <v>7555248.3700000001</v>
      </c>
      <c r="M272" s="499">
        <f t="shared" si="19"/>
        <v>0.23293754993887403</v>
      </c>
    </row>
    <row r="273" spans="1:13" ht="31.2" x14ac:dyDescent="0.3">
      <c r="A273" s="802">
        <v>1512010</v>
      </c>
      <c r="B273" s="803">
        <v>2010</v>
      </c>
      <c r="C273" s="45" t="s">
        <v>20</v>
      </c>
      <c r="D273" s="26" t="s">
        <v>21</v>
      </c>
      <c r="E273" s="37"/>
      <c r="F273" s="37"/>
      <c r="G273" s="175"/>
      <c r="H273" s="8">
        <f>H274</f>
        <v>103135</v>
      </c>
      <c r="I273" s="8">
        <f>I274</f>
        <v>0</v>
      </c>
      <c r="J273" s="175">
        <f t="shared" si="20"/>
        <v>0</v>
      </c>
      <c r="K273" s="8">
        <f t="shared" si="26"/>
        <v>103135</v>
      </c>
      <c r="L273" s="8">
        <f t="shared" si="27"/>
        <v>0</v>
      </c>
      <c r="M273" s="499">
        <f t="shared" si="19"/>
        <v>0</v>
      </c>
    </row>
    <row r="274" spans="1:13" ht="16.2" x14ac:dyDescent="0.3">
      <c r="A274" s="802"/>
      <c r="B274" s="803"/>
      <c r="C274" s="803"/>
      <c r="D274" s="1030" t="s">
        <v>461</v>
      </c>
      <c r="E274" s="37"/>
      <c r="F274" s="37"/>
      <c r="G274" s="175"/>
      <c r="H274" s="8">
        <f>H275</f>
        <v>103135</v>
      </c>
      <c r="I274" s="8">
        <f>I275</f>
        <v>0</v>
      </c>
      <c r="J274" s="175">
        <f t="shared" si="20"/>
        <v>0</v>
      </c>
      <c r="K274" s="8">
        <f t="shared" si="26"/>
        <v>103135</v>
      </c>
      <c r="L274" s="8">
        <f t="shared" si="27"/>
        <v>0</v>
      </c>
      <c r="M274" s="499">
        <f t="shared" si="19"/>
        <v>0</v>
      </c>
    </row>
    <row r="275" spans="1:13" x14ac:dyDescent="0.3">
      <c r="A275" s="802"/>
      <c r="B275" s="803"/>
      <c r="C275" s="803"/>
      <c r="D275" s="1031" t="s">
        <v>462</v>
      </c>
      <c r="E275" s="37"/>
      <c r="F275" s="37"/>
      <c r="G275" s="175"/>
      <c r="H275" s="8">
        <v>103135</v>
      </c>
      <c r="I275" s="8">
        <v>0</v>
      </c>
      <c r="J275" s="175">
        <f t="shared" si="20"/>
        <v>0</v>
      </c>
      <c r="K275" s="8">
        <f t="shared" si="26"/>
        <v>103135</v>
      </c>
      <c r="L275" s="8">
        <f t="shared" si="27"/>
        <v>0</v>
      </c>
      <c r="M275" s="499">
        <f t="shared" si="19"/>
        <v>0</v>
      </c>
    </row>
    <row r="276" spans="1:13" ht="46.8" x14ac:dyDescent="0.3">
      <c r="A276" s="53">
        <v>1514060</v>
      </c>
      <c r="B276" s="54">
        <v>4060</v>
      </c>
      <c r="C276" s="55" t="s">
        <v>106</v>
      </c>
      <c r="D276" s="26" t="s">
        <v>107</v>
      </c>
      <c r="E276" s="37">
        <v>0</v>
      </c>
      <c r="F276" s="37">
        <v>0</v>
      </c>
      <c r="G276" s="175"/>
      <c r="H276" s="8">
        <f>H277</f>
        <v>2478809</v>
      </c>
      <c r="I276" s="8">
        <f>I277</f>
        <v>2478808.04</v>
      </c>
      <c r="J276" s="175">
        <f t="shared" si="20"/>
        <v>0.99999961271723636</v>
      </c>
      <c r="K276" s="8">
        <f t="shared" si="26"/>
        <v>2478809</v>
      </c>
      <c r="L276" s="8">
        <f t="shared" si="27"/>
        <v>2478808.04</v>
      </c>
      <c r="M276" s="499">
        <f t="shared" si="19"/>
        <v>0.99999961271723636</v>
      </c>
    </row>
    <row r="277" spans="1:13" ht="16.2" x14ac:dyDescent="0.3">
      <c r="A277" s="53"/>
      <c r="B277" s="54"/>
      <c r="C277" s="55"/>
      <c r="D277" s="1030" t="s">
        <v>461</v>
      </c>
      <c r="E277" s="8"/>
      <c r="F277" s="8"/>
      <c r="G277" s="175"/>
      <c r="H277" s="8">
        <f>H278</f>
        <v>2478809</v>
      </c>
      <c r="I277" s="8">
        <f>I278</f>
        <v>2478808.04</v>
      </c>
      <c r="J277" s="175">
        <f t="shared" si="20"/>
        <v>0.99999961271723636</v>
      </c>
      <c r="K277" s="8">
        <f t="shared" si="26"/>
        <v>2478809</v>
      </c>
      <c r="L277" s="8">
        <f t="shared" si="27"/>
        <v>2478808.04</v>
      </c>
      <c r="M277" s="499">
        <f t="shared" ref="M277:M345" si="28">L277/K277</f>
        <v>0.99999961271723636</v>
      </c>
    </row>
    <row r="278" spans="1:13" x14ac:dyDescent="0.3">
      <c r="A278" s="53"/>
      <c r="B278" s="54"/>
      <c r="C278" s="55"/>
      <c r="D278" s="1031" t="s">
        <v>462</v>
      </c>
      <c r="E278" s="8"/>
      <c r="F278" s="8"/>
      <c r="G278" s="175"/>
      <c r="H278" s="8">
        <v>2478809</v>
      </c>
      <c r="I278" s="8">
        <v>2478808.04</v>
      </c>
      <c r="J278" s="175">
        <f t="shared" si="20"/>
        <v>0.99999961271723636</v>
      </c>
      <c r="K278" s="8">
        <f t="shared" si="26"/>
        <v>2478809</v>
      </c>
      <c r="L278" s="8">
        <f t="shared" si="27"/>
        <v>2478808.04</v>
      </c>
      <c r="M278" s="499">
        <f t="shared" si="28"/>
        <v>0.99999961271723636</v>
      </c>
    </row>
    <row r="279" spans="1:13" ht="34.5" customHeight="1" x14ac:dyDescent="0.3">
      <c r="A279" s="53">
        <v>1516012</v>
      </c>
      <c r="B279" s="54">
        <v>6012</v>
      </c>
      <c r="C279" s="803" t="s">
        <v>27</v>
      </c>
      <c r="D279" s="26" t="s">
        <v>236</v>
      </c>
      <c r="E279" s="8"/>
      <c r="F279" s="8"/>
      <c r="G279" s="175"/>
      <c r="H279" s="8">
        <f>H280</f>
        <v>35969517</v>
      </c>
      <c r="I279" s="8">
        <f>I280</f>
        <v>21282629.32</v>
      </c>
      <c r="J279" s="175">
        <f t="shared" si="20"/>
        <v>0.59168515718462389</v>
      </c>
      <c r="K279" s="8">
        <f t="shared" si="26"/>
        <v>35969517</v>
      </c>
      <c r="L279" s="8">
        <f t="shared" si="27"/>
        <v>21282629.32</v>
      </c>
      <c r="M279" s="499">
        <f t="shared" si="28"/>
        <v>0.59168515718462389</v>
      </c>
    </row>
    <row r="280" spans="1:13" ht="16.2" x14ac:dyDescent="0.3">
      <c r="A280" s="53"/>
      <c r="B280" s="54"/>
      <c r="C280" s="55"/>
      <c r="D280" s="1030" t="s">
        <v>461</v>
      </c>
      <c r="E280" s="8"/>
      <c r="F280" s="8"/>
      <c r="G280" s="175"/>
      <c r="H280" s="8">
        <f>H281</f>
        <v>35969517</v>
      </c>
      <c r="I280" s="8">
        <f>I281</f>
        <v>21282629.32</v>
      </c>
      <c r="J280" s="175">
        <f t="shared" si="20"/>
        <v>0.59168515718462389</v>
      </c>
      <c r="K280" s="8">
        <f t="shared" si="26"/>
        <v>35969517</v>
      </c>
      <c r="L280" s="8">
        <f t="shared" si="27"/>
        <v>21282629.32</v>
      </c>
      <c r="M280" s="499">
        <f t="shared" si="28"/>
        <v>0.59168515718462389</v>
      </c>
    </row>
    <row r="281" spans="1:13" x14ac:dyDescent="0.3">
      <c r="A281" s="53"/>
      <c r="B281" s="54"/>
      <c r="C281" s="55"/>
      <c r="D281" s="1031" t="s">
        <v>462</v>
      </c>
      <c r="E281" s="8"/>
      <c r="F281" s="8"/>
      <c r="G281" s="175"/>
      <c r="H281" s="8">
        <v>35969517</v>
      </c>
      <c r="I281" s="8">
        <v>21282629.32</v>
      </c>
      <c r="J281" s="175">
        <f t="shared" si="20"/>
        <v>0.59168515718462389</v>
      </c>
      <c r="K281" s="8">
        <f t="shared" si="26"/>
        <v>35969517</v>
      </c>
      <c r="L281" s="8">
        <f t="shared" si="27"/>
        <v>21282629.32</v>
      </c>
      <c r="M281" s="499">
        <f t="shared" si="28"/>
        <v>0.59168515718462389</v>
      </c>
    </row>
    <row r="282" spans="1:13" ht="31.2" x14ac:dyDescent="0.3">
      <c r="A282" s="53">
        <v>1516013</v>
      </c>
      <c r="B282" s="54">
        <v>6013</v>
      </c>
      <c r="C282" s="803" t="s">
        <v>27</v>
      </c>
      <c r="D282" s="26" t="s">
        <v>135</v>
      </c>
      <c r="E282" s="8"/>
      <c r="F282" s="8"/>
      <c r="G282" s="175"/>
      <c r="H282" s="8">
        <f>H283</f>
        <v>22858722</v>
      </c>
      <c r="I282" s="8">
        <f>I283</f>
        <v>0</v>
      </c>
      <c r="J282" s="175">
        <f t="shared" si="20"/>
        <v>0</v>
      </c>
      <c r="K282" s="8">
        <f t="shared" si="26"/>
        <v>22858722</v>
      </c>
      <c r="L282" s="8">
        <f t="shared" si="27"/>
        <v>0</v>
      </c>
      <c r="M282" s="499">
        <f t="shared" si="28"/>
        <v>0</v>
      </c>
    </row>
    <row r="283" spans="1:13" ht="16.2" x14ac:dyDescent="0.3">
      <c r="A283" s="53"/>
      <c r="B283" s="54"/>
      <c r="C283" s="55"/>
      <c r="D283" s="1030" t="s">
        <v>461</v>
      </c>
      <c r="E283" s="8"/>
      <c r="F283" s="8"/>
      <c r="G283" s="175"/>
      <c r="H283" s="8">
        <f>H284</f>
        <v>22858722</v>
      </c>
      <c r="I283" s="8">
        <f>I284</f>
        <v>0</v>
      </c>
      <c r="J283" s="175">
        <f t="shared" si="20"/>
        <v>0</v>
      </c>
      <c r="K283" s="8">
        <f t="shared" si="26"/>
        <v>22858722</v>
      </c>
      <c r="L283" s="8">
        <f t="shared" si="27"/>
        <v>0</v>
      </c>
      <c r="M283" s="499">
        <f t="shared" si="28"/>
        <v>0</v>
      </c>
    </row>
    <row r="284" spans="1:13" x14ac:dyDescent="0.3">
      <c r="A284" s="53"/>
      <c r="B284" s="54"/>
      <c r="C284" s="55"/>
      <c r="D284" s="1031" t="s">
        <v>462</v>
      </c>
      <c r="E284" s="8"/>
      <c r="F284" s="8"/>
      <c r="G284" s="175"/>
      <c r="H284" s="8">
        <v>22858722</v>
      </c>
      <c r="I284" s="8">
        <v>0</v>
      </c>
      <c r="J284" s="175">
        <f t="shared" si="20"/>
        <v>0</v>
      </c>
      <c r="K284" s="8">
        <f t="shared" si="26"/>
        <v>22858722</v>
      </c>
      <c r="L284" s="8">
        <f t="shared" si="27"/>
        <v>0</v>
      </c>
      <c r="M284" s="499">
        <f t="shared" si="28"/>
        <v>0</v>
      </c>
    </row>
    <row r="285" spans="1:13" ht="19.5" customHeight="1" x14ac:dyDescent="0.3">
      <c r="A285" s="802">
        <v>1516030</v>
      </c>
      <c r="B285" s="803" t="s">
        <v>26</v>
      </c>
      <c r="C285" s="803" t="s">
        <v>27</v>
      </c>
      <c r="D285" s="26" t="s">
        <v>28</v>
      </c>
      <c r="E285" s="8">
        <v>0</v>
      </c>
      <c r="F285" s="8">
        <v>0</v>
      </c>
      <c r="G285" s="175"/>
      <c r="H285" s="8">
        <f>H286</f>
        <v>7380527</v>
      </c>
      <c r="I285" s="8">
        <f>I286</f>
        <v>3069957.36</v>
      </c>
      <c r="J285" s="175">
        <f t="shared" si="20"/>
        <v>0.41595367918849152</v>
      </c>
      <c r="K285" s="8">
        <f t="shared" si="26"/>
        <v>7380527</v>
      </c>
      <c r="L285" s="8">
        <f t="shared" si="27"/>
        <v>3069957.36</v>
      </c>
      <c r="M285" s="499">
        <f t="shared" si="28"/>
        <v>0.41595367918849152</v>
      </c>
    </row>
    <row r="286" spans="1:13" ht="16.2" x14ac:dyDescent="0.3">
      <c r="A286" s="802"/>
      <c r="B286" s="803"/>
      <c r="C286" s="803"/>
      <c r="D286" s="1030" t="s">
        <v>461</v>
      </c>
      <c r="E286" s="8"/>
      <c r="F286" s="8"/>
      <c r="G286" s="175"/>
      <c r="H286" s="8">
        <f>H287</f>
        <v>7380527</v>
      </c>
      <c r="I286" s="8">
        <f>I287</f>
        <v>3069957.36</v>
      </c>
      <c r="J286" s="175">
        <f t="shared" si="20"/>
        <v>0.41595367918849152</v>
      </c>
      <c r="K286" s="8">
        <f t="shared" si="26"/>
        <v>7380527</v>
      </c>
      <c r="L286" s="8">
        <f t="shared" si="27"/>
        <v>3069957.36</v>
      </c>
      <c r="M286" s="499">
        <f t="shared" si="28"/>
        <v>0.41595367918849152</v>
      </c>
    </row>
    <row r="287" spans="1:13" x14ac:dyDescent="0.3">
      <c r="A287" s="802"/>
      <c r="B287" s="803"/>
      <c r="C287" s="803"/>
      <c r="D287" s="1031" t="s">
        <v>462</v>
      </c>
      <c r="E287" s="8"/>
      <c r="F287" s="8"/>
      <c r="G287" s="175"/>
      <c r="H287" s="8">
        <v>7380527</v>
      </c>
      <c r="I287" s="8">
        <v>3069957.36</v>
      </c>
      <c r="J287" s="175">
        <f t="shared" si="20"/>
        <v>0.41595367918849152</v>
      </c>
      <c r="K287" s="8">
        <f t="shared" si="26"/>
        <v>7380527</v>
      </c>
      <c r="L287" s="8">
        <f t="shared" si="27"/>
        <v>3069957.36</v>
      </c>
      <c r="M287" s="499">
        <f t="shared" si="28"/>
        <v>0.41595367918849152</v>
      </c>
    </row>
    <row r="288" spans="1:13" x14ac:dyDescent="0.3">
      <c r="A288" s="802" t="s">
        <v>298</v>
      </c>
      <c r="B288" s="803" t="s">
        <v>299</v>
      </c>
      <c r="C288" s="803" t="s">
        <v>300</v>
      </c>
      <c r="D288" s="26" t="s">
        <v>302</v>
      </c>
      <c r="E288" s="8">
        <v>0</v>
      </c>
      <c r="F288" s="8">
        <v>0</v>
      </c>
      <c r="G288" s="175"/>
      <c r="H288" s="8">
        <f>H289</f>
        <v>3338727</v>
      </c>
      <c r="I288" s="8">
        <f>I289</f>
        <v>2205795.5699999998</v>
      </c>
      <c r="J288" s="175">
        <f t="shared" si="20"/>
        <v>0.66066964145316454</v>
      </c>
      <c r="K288" s="8">
        <f t="shared" si="26"/>
        <v>3338727</v>
      </c>
      <c r="L288" s="8">
        <f t="shared" si="27"/>
        <v>2205795.5699999998</v>
      </c>
      <c r="M288" s="499">
        <f t="shared" si="28"/>
        <v>0.66066964145316454</v>
      </c>
    </row>
    <row r="289" spans="1:13" ht="16.2" x14ac:dyDescent="0.3">
      <c r="A289" s="802"/>
      <c r="B289" s="803"/>
      <c r="C289" s="803"/>
      <c r="D289" s="1030" t="s">
        <v>461</v>
      </c>
      <c r="E289" s="8"/>
      <c r="F289" s="8"/>
      <c r="G289" s="175"/>
      <c r="H289" s="8">
        <f>H290</f>
        <v>3338727</v>
      </c>
      <c r="I289" s="8">
        <f>I290</f>
        <v>2205795.5699999998</v>
      </c>
      <c r="J289" s="175">
        <f t="shared" si="20"/>
        <v>0.66066964145316454</v>
      </c>
      <c r="K289" s="8">
        <f t="shared" si="26"/>
        <v>3338727</v>
      </c>
      <c r="L289" s="8">
        <f t="shared" si="27"/>
        <v>2205795.5699999998</v>
      </c>
      <c r="M289" s="499">
        <f t="shared" si="28"/>
        <v>0.66066964145316454</v>
      </c>
    </row>
    <row r="290" spans="1:13" x14ac:dyDescent="0.3">
      <c r="A290" s="802"/>
      <c r="B290" s="803"/>
      <c r="C290" s="803"/>
      <c r="D290" s="1031" t="s">
        <v>462</v>
      </c>
      <c r="E290" s="8"/>
      <c r="F290" s="8"/>
      <c r="G290" s="175"/>
      <c r="H290" s="8">
        <v>3338727</v>
      </c>
      <c r="I290" s="8">
        <v>2205795.5699999998</v>
      </c>
      <c r="J290" s="175">
        <f t="shared" si="20"/>
        <v>0.66066964145316454</v>
      </c>
      <c r="K290" s="8">
        <f t="shared" si="26"/>
        <v>3338727</v>
      </c>
      <c r="L290" s="8">
        <f t="shared" si="27"/>
        <v>2205795.5699999998</v>
      </c>
      <c r="M290" s="499">
        <f t="shared" si="28"/>
        <v>0.66066964145316454</v>
      </c>
    </row>
    <row r="291" spans="1:13" x14ac:dyDescent="0.3">
      <c r="A291" s="802">
        <v>1517324</v>
      </c>
      <c r="B291" s="803">
        <v>7324</v>
      </c>
      <c r="C291" s="803" t="s">
        <v>300</v>
      </c>
      <c r="D291" s="26" t="s">
        <v>539</v>
      </c>
      <c r="E291" s="8"/>
      <c r="F291" s="8"/>
      <c r="G291" s="175"/>
      <c r="H291" s="8">
        <f>H292</f>
        <v>1909525</v>
      </c>
      <c r="I291" s="8">
        <f>I292</f>
        <v>1710582.75</v>
      </c>
      <c r="J291" s="175">
        <f t="shared" si="20"/>
        <v>0.89581584425446115</v>
      </c>
      <c r="K291" s="8">
        <f t="shared" si="26"/>
        <v>1909525</v>
      </c>
      <c r="L291" s="8">
        <f t="shared" si="27"/>
        <v>1710582.75</v>
      </c>
      <c r="M291" s="499">
        <f t="shared" si="28"/>
        <v>0.89581584425446115</v>
      </c>
    </row>
    <row r="292" spans="1:13" ht="16.2" x14ac:dyDescent="0.3">
      <c r="A292" s="802"/>
      <c r="B292" s="803"/>
      <c r="C292" s="803"/>
      <c r="D292" s="1030" t="s">
        <v>461</v>
      </c>
      <c r="E292" s="8"/>
      <c r="F292" s="8"/>
      <c r="G292" s="175"/>
      <c r="H292" s="8">
        <f>H293</f>
        <v>1909525</v>
      </c>
      <c r="I292" s="8">
        <f>I293</f>
        <v>1710582.75</v>
      </c>
      <c r="J292" s="175">
        <f t="shared" ref="J292:J302" si="29">I292/H292</f>
        <v>0.89581584425446115</v>
      </c>
      <c r="K292" s="8">
        <f t="shared" si="26"/>
        <v>1909525</v>
      </c>
      <c r="L292" s="8">
        <f t="shared" si="27"/>
        <v>1710582.75</v>
      </c>
      <c r="M292" s="499">
        <f t="shared" si="28"/>
        <v>0.89581584425446115</v>
      </c>
    </row>
    <row r="293" spans="1:13" x14ac:dyDescent="0.3">
      <c r="A293" s="802"/>
      <c r="B293" s="803"/>
      <c r="C293" s="803"/>
      <c r="D293" s="1031" t="s">
        <v>462</v>
      </c>
      <c r="E293" s="8"/>
      <c r="F293" s="8"/>
      <c r="G293" s="175"/>
      <c r="H293" s="8">
        <v>1909525</v>
      </c>
      <c r="I293" s="8">
        <v>1710582.75</v>
      </c>
      <c r="J293" s="175">
        <f t="shared" si="29"/>
        <v>0.89581584425446115</v>
      </c>
      <c r="K293" s="8">
        <f t="shared" si="26"/>
        <v>1909525</v>
      </c>
      <c r="L293" s="8">
        <f t="shared" si="27"/>
        <v>1710582.75</v>
      </c>
      <c r="M293" s="499">
        <f t="shared" si="28"/>
        <v>0.89581584425446115</v>
      </c>
    </row>
    <row r="294" spans="1:13" ht="31.2" x14ac:dyDescent="0.3">
      <c r="A294" s="802">
        <v>1517330</v>
      </c>
      <c r="B294" s="803">
        <v>7330</v>
      </c>
      <c r="C294" s="803" t="s">
        <v>300</v>
      </c>
      <c r="D294" s="26" t="s">
        <v>582</v>
      </c>
      <c r="E294" s="8"/>
      <c r="F294" s="8"/>
      <c r="G294" s="175"/>
      <c r="H294" s="8">
        <f>H295</f>
        <v>1264018</v>
      </c>
      <c r="I294" s="8">
        <f>I295</f>
        <v>1263547.04</v>
      </c>
      <c r="J294" s="175">
        <f t="shared" si="29"/>
        <v>0.99962741036915614</v>
      </c>
      <c r="K294" s="8">
        <f t="shared" si="26"/>
        <v>1264018</v>
      </c>
      <c r="L294" s="8">
        <f t="shared" si="27"/>
        <v>1263547.04</v>
      </c>
      <c r="M294" s="499">
        <f t="shared" si="28"/>
        <v>0.99962741036915614</v>
      </c>
    </row>
    <row r="295" spans="1:13" ht="16.2" x14ac:dyDescent="0.3">
      <c r="A295" s="802"/>
      <c r="B295" s="803"/>
      <c r="C295" s="803"/>
      <c r="D295" s="1030" t="s">
        <v>461</v>
      </c>
      <c r="E295" s="8"/>
      <c r="F295" s="8"/>
      <c r="G295" s="175"/>
      <c r="H295" s="8">
        <f>H296</f>
        <v>1264018</v>
      </c>
      <c r="I295" s="8">
        <f>I296</f>
        <v>1263547.04</v>
      </c>
      <c r="J295" s="175">
        <f t="shared" si="29"/>
        <v>0.99962741036915614</v>
      </c>
      <c r="K295" s="8">
        <f t="shared" si="26"/>
        <v>1264018</v>
      </c>
      <c r="L295" s="8">
        <f t="shared" si="27"/>
        <v>1263547.04</v>
      </c>
      <c r="M295" s="499">
        <f t="shared" si="28"/>
        <v>0.99962741036915614</v>
      </c>
    </row>
    <row r="296" spans="1:13" x14ac:dyDescent="0.3">
      <c r="A296" s="802"/>
      <c r="B296" s="803"/>
      <c r="C296" s="803"/>
      <c r="D296" s="1031" t="s">
        <v>462</v>
      </c>
      <c r="E296" s="8"/>
      <c r="F296" s="8"/>
      <c r="G296" s="175"/>
      <c r="H296" s="8">
        <v>1264018</v>
      </c>
      <c r="I296" s="8">
        <v>1263547.04</v>
      </c>
      <c r="J296" s="175">
        <f t="shared" si="29"/>
        <v>0.99962741036915614</v>
      </c>
      <c r="K296" s="8">
        <f t="shared" si="26"/>
        <v>1264018</v>
      </c>
      <c r="L296" s="8">
        <f t="shared" si="27"/>
        <v>1263547.04</v>
      </c>
      <c r="M296" s="499">
        <f t="shared" si="28"/>
        <v>0.99962741036915614</v>
      </c>
    </row>
    <row r="297" spans="1:13" ht="46.8" x14ac:dyDescent="0.3">
      <c r="A297" s="802">
        <v>1517461</v>
      </c>
      <c r="B297" s="803">
        <v>7461</v>
      </c>
      <c r="C297" s="45" t="s">
        <v>139</v>
      </c>
      <c r="D297" s="26" t="s">
        <v>140</v>
      </c>
      <c r="E297" s="8"/>
      <c r="F297" s="8"/>
      <c r="G297" s="175"/>
      <c r="H297" s="8">
        <f>H298</f>
        <v>4880223</v>
      </c>
      <c r="I297" s="8">
        <f>I298</f>
        <v>148385.19</v>
      </c>
      <c r="J297" s="175">
        <f t="shared" si="29"/>
        <v>3.0405411801878727E-2</v>
      </c>
      <c r="K297" s="8">
        <f t="shared" si="26"/>
        <v>4880223</v>
      </c>
      <c r="L297" s="8">
        <f t="shared" si="27"/>
        <v>148385.19</v>
      </c>
      <c r="M297" s="499">
        <f t="shared" si="28"/>
        <v>3.0405411801878727E-2</v>
      </c>
    </row>
    <row r="298" spans="1:13" ht="16.2" x14ac:dyDescent="0.3">
      <c r="A298" s="802"/>
      <c r="B298" s="803"/>
      <c r="C298" s="803"/>
      <c r="D298" s="1030" t="s">
        <v>461</v>
      </c>
      <c r="E298" s="8"/>
      <c r="F298" s="8"/>
      <c r="G298" s="175"/>
      <c r="H298" s="8">
        <f>H299</f>
        <v>4880223</v>
      </c>
      <c r="I298" s="8">
        <f>I299</f>
        <v>148385.19</v>
      </c>
      <c r="J298" s="175">
        <f t="shared" si="29"/>
        <v>3.0405411801878727E-2</v>
      </c>
      <c r="K298" s="8">
        <f t="shared" si="26"/>
        <v>4880223</v>
      </c>
      <c r="L298" s="8">
        <f t="shared" si="27"/>
        <v>148385.19</v>
      </c>
      <c r="M298" s="499">
        <f t="shared" si="28"/>
        <v>3.0405411801878727E-2</v>
      </c>
    </row>
    <row r="299" spans="1:13" x14ac:dyDescent="0.3">
      <c r="A299" s="802"/>
      <c r="B299" s="803"/>
      <c r="C299" s="803"/>
      <c r="D299" s="1031" t="s">
        <v>462</v>
      </c>
      <c r="E299" s="8"/>
      <c r="F299" s="8"/>
      <c r="G299" s="175"/>
      <c r="H299" s="8">
        <v>4880223</v>
      </c>
      <c r="I299" s="8">
        <v>148385.19</v>
      </c>
      <c r="J299" s="175">
        <f t="shared" si="29"/>
        <v>3.0405411801878727E-2</v>
      </c>
      <c r="K299" s="8">
        <f t="shared" si="26"/>
        <v>4880223</v>
      </c>
      <c r="L299" s="8">
        <f t="shared" si="27"/>
        <v>148385.19</v>
      </c>
      <c r="M299" s="499">
        <f t="shared" si="28"/>
        <v>3.0405411801878727E-2</v>
      </c>
    </row>
    <row r="300" spans="1:13" ht="46.8" x14ac:dyDescent="0.3">
      <c r="A300" s="802">
        <v>1518110</v>
      </c>
      <c r="B300" s="803">
        <v>8110</v>
      </c>
      <c r="C300" s="45" t="s">
        <v>231</v>
      </c>
      <c r="D300" s="26" t="s">
        <v>232</v>
      </c>
      <c r="E300" s="8"/>
      <c r="F300" s="8"/>
      <c r="G300" s="175"/>
      <c r="H300" s="8">
        <f>H301</f>
        <v>5441652</v>
      </c>
      <c r="I300" s="8">
        <f>I301</f>
        <v>96000</v>
      </c>
      <c r="J300" s="175">
        <f t="shared" si="29"/>
        <v>1.7641701453896722E-2</v>
      </c>
      <c r="K300" s="8">
        <f t="shared" si="26"/>
        <v>5441652</v>
      </c>
      <c r="L300" s="8">
        <f t="shared" si="27"/>
        <v>96000</v>
      </c>
      <c r="M300" s="499">
        <f t="shared" si="28"/>
        <v>1.7641701453896722E-2</v>
      </c>
    </row>
    <row r="301" spans="1:13" ht="16.2" x14ac:dyDescent="0.3">
      <c r="A301" s="802"/>
      <c r="B301" s="803"/>
      <c r="C301" s="803"/>
      <c r="D301" s="1030" t="s">
        <v>461</v>
      </c>
      <c r="E301" s="8"/>
      <c r="F301" s="8"/>
      <c r="G301" s="175"/>
      <c r="H301" s="8">
        <f>H302</f>
        <v>5441652</v>
      </c>
      <c r="I301" s="8">
        <f>I302</f>
        <v>96000</v>
      </c>
      <c r="J301" s="175">
        <f t="shared" si="29"/>
        <v>1.7641701453896722E-2</v>
      </c>
      <c r="K301" s="8">
        <f t="shared" si="26"/>
        <v>5441652</v>
      </c>
      <c r="L301" s="8">
        <f t="shared" si="27"/>
        <v>96000</v>
      </c>
      <c r="M301" s="499">
        <f t="shared" si="28"/>
        <v>1.7641701453896722E-2</v>
      </c>
    </row>
    <row r="302" spans="1:13" ht="16.2" thickBot="1" x14ac:dyDescent="0.35">
      <c r="A302" s="35"/>
      <c r="B302" s="36"/>
      <c r="C302" s="36"/>
      <c r="D302" s="1032" t="s">
        <v>462</v>
      </c>
      <c r="E302" s="14"/>
      <c r="F302" s="14"/>
      <c r="G302" s="176"/>
      <c r="H302" s="14">
        <v>5441652</v>
      </c>
      <c r="I302" s="14">
        <v>96000</v>
      </c>
      <c r="J302" s="176">
        <f t="shared" si="29"/>
        <v>1.7641701453896722E-2</v>
      </c>
      <c r="K302" s="14">
        <f t="shared" si="26"/>
        <v>5441652</v>
      </c>
      <c r="L302" s="14">
        <f t="shared" si="27"/>
        <v>96000</v>
      </c>
      <c r="M302" s="500">
        <f t="shared" si="28"/>
        <v>1.7641701453896722E-2</v>
      </c>
    </row>
    <row r="303" spans="1:13" s="30" customFormat="1" ht="50.25" customHeight="1" thickBot="1" x14ac:dyDescent="0.35">
      <c r="A303" s="32" t="s">
        <v>199</v>
      </c>
      <c r="B303" s="33" t="s">
        <v>14</v>
      </c>
      <c r="C303" s="33" t="s">
        <v>14</v>
      </c>
      <c r="D303" s="34" t="s">
        <v>200</v>
      </c>
      <c r="E303" s="47">
        <f t="shared" ref="E303:F305" si="30">E304</f>
        <v>4060438</v>
      </c>
      <c r="F303" s="47">
        <f t="shared" si="30"/>
        <v>3825699.07</v>
      </c>
      <c r="G303" s="485">
        <f t="shared" si="24"/>
        <v>0.94218876633506032</v>
      </c>
      <c r="H303" s="12">
        <f>H304</f>
        <v>6968100</v>
      </c>
      <c r="I303" s="12">
        <f>I304</f>
        <v>6968099.3499999996</v>
      </c>
      <c r="J303" s="485">
        <f>I303/H303</f>
        <v>0.99999990671775663</v>
      </c>
      <c r="K303" s="12">
        <f>K304</f>
        <v>11028538</v>
      </c>
      <c r="L303" s="12">
        <f>L304</f>
        <v>10793798.42</v>
      </c>
      <c r="M303" s="480">
        <f t="shared" si="28"/>
        <v>0.97871525854106867</v>
      </c>
    </row>
    <row r="304" spans="1:13" s="29" customFormat="1" ht="47.4" thickBot="1" x14ac:dyDescent="0.35">
      <c r="A304" s="837" t="s">
        <v>201</v>
      </c>
      <c r="B304" s="836" t="s">
        <v>14</v>
      </c>
      <c r="C304" s="836" t="s">
        <v>14</v>
      </c>
      <c r="D304" s="1036" t="s">
        <v>200</v>
      </c>
      <c r="E304" s="1040">
        <f>E305+E308</f>
        <v>4060438</v>
      </c>
      <c r="F304" s="1040">
        <f>F305+F308</f>
        <v>3825699.07</v>
      </c>
      <c r="G304" s="173">
        <f t="shared" si="24"/>
        <v>0.94218876633506032</v>
      </c>
      <c r="H304" s="1041">
        <f>H305+H308+H310</f>
        <v>6968100</v>
      </c>
      <c r="I304" s="1041">
        <f>I305+I308+I310</f>
        <v>6968099.3499999996</v>
      </c>
      <c r="J304" s="173">
        <f>I304/H304</f>
        <v>0.99999990671775663</v>
      </c>
      <c r="K304" s="1041">
        <f>K305+K308+K310</f>
        <v>11028538</v>
      </c>
      <c r="L304" s="1041">
        <f>L305+L308+L310</f>
        <v>10793798.42</v>
      </c>
      <c r="M304" s="182">
        <f t="shared" si="28"/>
        <v>0.97871525854106867</v>
      </c>
    </row>
    <row r="305" spans="1:13" ht="47.25" customHeight="1" x14ac:dyDescent="0.3">
      <c r="A305" s="838" t="s">
        <v>202</v>
      </c>
      <c r="B305" s="839" t="s">
        <v>44</v>
      </c>
      <c r="C305" s="839" t="s">
        <v>17</v>
      </c>
      <c r="D305" s="1035" t="s">
        <v>175</v>
      </c>
      <c r="E305" s="39">
        <f t="shared" si="30"/>
        <v>3915438</v>
      </c>
      <c r="F305" s="39">
        <f t="shared" si="30"/>
        <v>3680699.07</v>
      </c>
      <c r="G305" s="174">
        <f t="shared" si="24"/>
        <v>0.94004784905290284</v>
      </c>
      <c r="H305" s="540">
        <v>0</v>
      </c>
      <c r="I305" s="540"/>
      <c r="J305" s="174"/>
      <c r="K305" s="540">
        <f>E305+H305</f>
        <v>3915438</v>
      </c>
      <c r="L305" s="540">
        <f>F305+I305</f>
        <v>3680699.07</v>
      </c>
      <c r="M305" s="498">
        <f t="shared" si="28"/>
        <v>0.94004784905290284</v>
      </c>
    </row>
    <row r="306" spans="1:13" ht="16.2" x14ac:dyDescent="0.3">
      <c r="A306" s="802"/>
      <c r="B306" s="803"/>
      <c r="C306" s="803"/>
      <c r="D306" s="1030" t="s">
        <v>458</v>
      </c>
      <c r="E306" s="37">
        <v>3915438</v>
      </c>
      <c r="F306" s="37">
        <v>3680699.07</v>
      </c>
      <c r="G306" s="175">
        <f t="shared" si="24"/>
        <v>0.94004784905290284</v>
      </c>
      <c r="H306" s="8"/>
      <c r="I306" s="8"/>
      <c r="J306" s="175"/>
      <c r="K306" s="8">
        <f t="shared" ref="K306:K312" si="31">E306+H306</f>
        <v>3915438</v>
      </c>
      <c r="L306" s="8">
        <f t="shared" ref="L306:L312" si="32">F306+I306</f>
        <v>3680699.07</v>
      </c>
      <c r="M306" s="499">
        <f t="shared" si="28"/>
        <v>0.94004784905290284</v>
      </c>
    </row>
    <row r="307" spans="1:13" x14ac:dyDescent="0.3">
      <c r="A307" s="802"/>
      <c r="B307" s="803"/>
      <c r="C307" s="803"/>
      <c r="D307" s="1031" t="s">
        <v>459</v>
      </c>
      <c r="E307" s="37">
        <v>3641143</v>
      </c>
      <c r="F307" s="37">
        <v>3517809.62</v>
      </c>
      <c r="G307" s="175">
        <f t="shared" si="24"/>
        <v>0.96612783952731329</v>
      </c>
      <c r="H307" s="8"/>
      <c r="I307" s="8"/>
      <c r="J307" s="175"/>
      <c r="K307" s="8">
        <f t="shared" si="31"/>
        <v>3641143</v>
      </c>
      <c r="L307" s="8">
        <f t="shared" si="32"/>
        <v>3517809.62</v>
      </c>
      <c r="M307" s="499">
        <f t="shared" si="28"/>
        <v>0.96612783952731329</v>
      </c>
    </row>
    <row r="308" spans="1:13" ht="31.2" x14ac:dyDescent="0.3">
      <c r="A308" s="802">
        <v>1616014</v>
      </c>
      <c r="B308" s="803">
        <v>6014</v>
      </c>
      <c r="C308" s="45" t="s">
        <v>27</v>
      </c>
      <c r="D308" s="26" t="s">
        <v>513</v>
      </c>
      <c r="E308" s="37">
        <f>E309</f>
        <v>145000</v>
      </c>
      <c r="F308" s="37">
        <f>F309</f>
        <v>145000</v>
      </c>
      <c r="G308" s="175">
        <f t="shared" si="24"/>
        <v>1</v>
      </c>
      <c r="H308" s="8"/>
      <c r="I308" s="8"/>
      <c r="J308" s="175"/>
      <c r="K308" s="8">
        <f t="shared" si="31"/>
        <v>145000</v>
      </c>
      <c r="L308" s="8">
        <f t="shared" si="32"/>
        <v>145000</v>
      </c>
      <c r="M308" s="499">
        <f t="shared" si="28"/>
        <v>1</v>
      </c>
    </row>
    <row r="309" spans="1:13" ht="16.2" x14ac:dyDescent="0.3">
      <c r="A309" s="802"/>
      <c r="B309" s="803"/>
      <c r="C309" s="803"/>
      <c r="D309" s="1030" t="s">
        <v>458</v>
      </c>
      <c r="E309" s="37">
        <v>145000</v>
      </c>
      <c r="F309" s="37">
        <v>145000</v>
      </c>
      <c r="G309" s="175">
        <f t="shared" si="24"/>
        <v>1</v>
      </c>
      <c r="H309" s="8"/>
      <c r="I309" s="8"/>
      <c r="J309" s="175"/>
      <c r="K309" s="8">
        <f t="shared" si="31"/>
        <v>145000</v>
      </c>
      <c r="L309" s="8">
        <f t="shared" si="32"/>
        <v>145000</v>
      </c>
      <c r="M309" s="499">
        <f t="shared" si="28"/>
        <v>1</v>
      </c>
    </row>
    <row r="310" spans="1:13" ht="46.8" x14ac:dyDescent="0.3">
      <c r="A310" s="802">
        <v>1617351</v>
      </c>
      <c r="B310" s="803">
        <v>7351</v>
      </c>
      <c r="C310" s="45" t="s">
        <v>300</v>
      </c>
      <c r="D310" s="26" t="s">
        <v>648</v>
      </c>
      <c r="E310" s="37"/>
      <c r="F310" s="37"/>
      <c r="G310" s="175"/>
      <c r="H310" s="8">
        <f>H311</f>
        <v>6968100</v>
      </c>
      <c r="I310" s="8">
        <f>I311</f>
        <v>6968099.3499999996</v>
      </c>
      <c r="J310" s="175">
        <f>I310/H310</f>
        <v>0.99999990671775663</v>
      </c>
      <c r="K310" s="8">
        <f t="shared" si="31"/>
        <v>6968100</v>
      </c>
      <c r="L310" s="8">
        <f t="shared" si="32"/>
        <v>6968099.3499999996</v>
      </c>
      <c r="M310" s="499">
        <f t="shared" si="28"/>
        <v>0.99999990671775663</v>
      </c>
    </row>
    <row r="311" spans="1:13" ht="16.2" x14ac:dyDescent="0.3">
      <c r="A311" s="802"/>
      <c r="B311" s="803"/>
      <c r="C311" s="803"/>
      <c r="D311" s="1030" t="s">
        <v>461</v>
      </c>
      <c r="E311" s="37"/>
      <c r="F311" s="37"/>
      <c r="G311" s="175"/>
      <c r="H311" s="8">
        <f>H312</f>
        <v>6968100</v>
      </c>
      <c r="I311" s="8">
        <f>I312</f>
        <v>6968099.3499999996</v>
      </c>
      <c r="J311" s="175">
        <f t="shared" ref="J311:J312" si="33">I311/H311</f>
        <v>0.99999990671775663</v>
      </c>
      <c r="K311" s="8">
        <f t="shared" si="31"/>
        <v>6968100</v>
      </c>
      <c r="L311" s="8">
        <f t="shared" si="32"/>
        <v>6968099.3499999996</v>
      </c>
      <c r="M311" s="499">
        <f t="shared" si="28"/>
        <v>0.99999990671775663</v>
      </c>
    </row>
    <row r="312" spans="1:13" ht="16.2" thickBot="1" x14ac:dyDescent="0.35">
      <c r="A312" s="35"/>
      <c r="B312" s="36"/>
      <c r="C312" s="36"/>
      <c r="D312" s="1032" t="s">
        <v>462</v>
      </c>
      <c r="E312" s="38"/>
      <c r="F312" s="38"/>
      <c r="G312" s="176"/>
      <c r="H312" s="14">
        <v>6968100</v>
      </c>
      <c r="I312" s="14">
        <v>6968099.3499999996</v>
      </c>
      <c r="J312" s="176">
        <f t="shared" si="33"/>
        <v>0.99999990671775663</v>
      </c>
      <c r="K312" s="14">
        <f t="shared" si="31"/>
        <v>6968100</v>
      </c>
      <c r="L312" s="14">
        <f t="shared" si="32"/>
        <v>6968099.3499999996</v>
      </c>
      <c r="M312" s="500">
        <f t="shared" si="28"/>
        <v>0.99999990671775663</v>
      </c>
    </row>
    <row r="313" spans="1:13" s="30" customFormat="1" ht="47.4" thickBot="1" x14ac:dyDescent="0.35">
      <c r="A313" s="32" t="s">
        <v>203</v>
      </c>
      <c r="B313" s="33" t="s">
        <v>14</v>
      </c>
      <c r="C313" s="33" t="s">
        <v>14</v>
      </c>
      <c r="D313" s="34" t="s">
        <v>204</v>
      </c>
      <c r="E313" s="47">
        <f>E314</f>
        <v>8476135</v>
      </c>
      <c r="F313" s="47">
        <f>F314</f>
        <v>8475523.6799999997</v>
      </c>
      <c r="G313" s="485">
        <f t="shared" si="24"/>
        <v>0.99992787750549039</v>
      </c>
      <c r="H313" s="12">
        <v>0</v>
      </c>
      <c r="I313" s="12"/>
      <c r="J313" s="485"/>
      <c r="K313" s="12">
        <f>K314</f>
        <v>8476135</v>
      </c>
      <c r="L313" s="12">
        <f>L314</f>
        <v>8475523.6799999997</v>
      </c>
      <c r="M313" s="480">
        <f t="shared" si="28"/>
        <v>0.99992787750549039</v>
      </c>
    </row>
    <row r="314" spans="1:13" s="29" customFormat="1" ht="37.5" customHeight="1" thickBot="1" x14ac:dyDescent="0.35">
      <c r="A314" s="837" t="s">
        <v>205</v>
      </c>
      <c r="B314" s="836" t="s">
        <v>14</v>
      </c>
      <c r="C314" s="836" t="s">
        <v>14</v>
      </c>
      <c r="D314" s="1036" t="s">
        <v>204</v>
      </c>
      <c r="E314" s="1040">
        <f>E315+E318+E320</f>
        <v>8476135</v>
      </c>
      <c r="F314" s="1040">
        <f>F315+F318+F320</f>
        <v>8475523.6799999997</v>
      </c>
      <c r="G314" s="173">
        <f t="shared" si="24"/>
        <v>0.99992787750549039</v>
      </c>
      <c r="H314" s="1041">
        <v>0</v>
      </c>
      <c r="I314" s="1041"/>
      <c r="J314" s="173"/>
      <c r="K314" s="1041">
        <f>K315+K318+K320</f>
        <v>8476135</v>
      </c>
      <c r="L314" s="1041">
        <f>L315+L318+L320</f>
        <v>8475523.6799999997</v>
      </c>
      <c r="M314" s="182">
        <f t="shared" si="28"/>
        <v>0.99992787750549039</v>
      </c>
    </row>
    <row r="315" spans="1:13" ht="46.8" x14ac:dyDescent="0.3">
      <c r="A315" s="838" t="s">
        <v>206</v>
      </c>
      <c r="B315" s="839" t="s">
        <v>44</v>
      </c>
      <c r="C315" s="839" t="s">
        <v>17</v>
      </c>
      <c r="D315" s="1035" t="s">
        <v>175</v>
      </c>
      <c r="E315" s="39">
        <f>E316</f>
        <v>3855475</v>
      </c>
      <c r="F315" s="39">
        <f>F316</f>
        <v>3854863.68</v>
      </c>
      <c r="G315" s="174">
        <f t="shared" si="24"/>
        <v>0.99984144106757278</v>
      </c>
      <c r="H315" s="540">
        <v>0</v>
      </c>
      <c r="I315" s="540"/>
      <c r="J315" s="174"/>
      <c r="K315" s="540">
        <f>E315+H315</f>
        <v>3855475</v>
      </c>
      <c r="L315" s="540">
        <f>F315+I315</f>
        <v>3854863.68</v>
      </c>
      <c r="M315" s="498">
        <f t="shared" si="28"/>
        <v>0.99984144106757278</v>
      </c>
    </row>
    <row r="316" spans="1:13" ht="16.2" x14ac:dyDescent="0.3">
      <c r="A316" s="802"/>
      <c r="B316" s="803"/>
      <c r="C316" s="803"/>
      <c r="D316" s="1030" t="s">
        <v>458</v>
      </c>
      <c r="E316" s="37">
        <v>3855475</v>
      </c>
      <c r="F316" s="37">
        <v>3854863.68</v>
      </c>
      <c r="G316" s="175">
        <f t="shared" si="24"/>
        <v>0.99984144106757278</v>
      </c>
      <c r="H316" s="8"/>
      <c r="I316" s="8"/>
      <c r="J316" s="175"/>
      <c r="K316" s="8">
        <f t="shared" ref="K316:K321" si="34">E316+H316</f>
        <v>3855475</v>
      </c>
      <c r="L316" s="8">
        <f t="shared" ref="L316:L321" si="35">F316+I316</f>
        <v>3854863.68</v>
      </c>
      <c r="M316" s="499">
        <f t="shared" si="28"/>
        <v>0.99984144106757278</v>
      </c>
    </row>
    <row r="317" spans="1:13" x14ac:dyDescent="0.3">
      <c r="A317" s="802"/>
      <c r="B317" s="803"/>
      <c r="C317" s="803"/>
      <c r="D317" s="1031" t="s">
        <v>459</v>
      </c>
      <c r="E317" s="37">
        <v>3733629</v>
      </c>
      <c r="F317" s="37">
        <v>3733076.92</v>
      </c>
      <c r="G317" s="175">
        <f t="shared" si="24"/>
        <v>0.99985213313909871</v>
      </c>
      <c r="H317" s="8"/>
      <c r="I317" s="8"/>
      <c r="J317" s="175"/>
      <c r="K317" s="8">
        <f t="shared" si="34"/>
        <v>3733629</v>
      </c>
      <c r="L317" s="8">
        <f t="shared" si="35"/>
        <v>3733076.92</v>
      </c>
      <c r="M317" s="499">
        <f t="shared" si="28"/>
        <v>0.99985213313909871</v>
      </c>
    </row>
    <row r="318" spans="1:13" ht="24" customHeight="1" x14ac:dyDescent="0.3">
      <c r="A318" s="802">
        <v>2717413</v>
      </c>
      <c r="B318" s="803">
        <v>7413</v>
      </c>
      <c r="C318" s="45" t="s">
        <v>239</v>
      </c>
      <c r="D318" s="26" t="s">
        <v>238</v>
      </c>
      <c r="E318" s="37">
        <f>E319</f>
        <v>4440660</v>
      </c>
      <c r="F318" s="37">
        <f>F319</f>
        <v>4440660</v>
      </c>
      <c r="G318" s="175">
        <f t="shared" si="24"/>
        <v>1</v>
      </c>
      <c r="H318" s="8"/>
      <c r="I318" s="8"/>
      <c r="J318" s="175"/>
      <c r="K318" s="8">
        <f t="shared" si="34"/>
        <v>4440660</v>
      </c>
      <c r="L318" s="8">
        <f t="shared" si="35"/>
        <v>4440660</v>
      </c>
      <c r="M318" s="499">
        <f t="shared" si="28"/>
        <v>1</v>
      </c>
    </row>
    <row r="319" spans="1:13" ht="16.2" x14ac:dyDescent="0.3">
      <c r="A319" s="802"/>
      <c r="B319" s="803"/>
      <c r="C319" s="45"/>
      <c r="D319" s="1030" t="s">
        <v>458</v>
      </c>
      <c r="E319" s="37">
        <v>4440660</v>
      </c>
      <c r="F319" s="37">
        <v>4440660</v>
      </c>
      <c r="G319" s="175">
        <f t="shared" si="24"/>
        <v>1</v>
      </c>
      <c r="H319" s="8"/>
      <c r="I319" s="8"/>
      <c r="J319" s="175"/>
      <c r="K319" s="8">
        <f t="shared" si="34"/>
        <v>4440660</v>
      </c>
      <c r="L319" s="8">
        <f t="shared" si="35"/>
        <v>4440660</v>
      </c>
      <c r="M319" s="499">
        <f t="shared" si="28"/>
        <v>1</v>
      </c>
    </row>
    <row r="320" spans="1:13" ht="24.6" customHeight="1" x14ac:dyDescent="0.3">
      <c r="A320" s="802">
        <v>2719770</v>
      </c>
      <c r="B320" s="803">
        <v>9770</v>
      </c>
      <c r="C320" s="45" t="s">
        <v>219</v>
      </c>
      <c r="D320" s="26" t="s">
        <v>594</v>
      </c>
      <c r="E320" s="37">
        <f>E321</f>
        <v>180000</v>
      </c>
      <c r="F320" s="37">
        <f>F321</f>
        <v>180000</v>
      </c>
      <c r="G320" s="175">
        <f t="shared" si="24"/>
        <v>1</v>
      </c>
      <c r="H320" s="8"/>
      <c r="I320" s="8"/>
      <c r="J320" s="175"/>
      <c r="K320" s="8">
        <f t="shared" si="34"/>
        <v>180000</v>
      </c>
      <c r="L320" s="8">
        <f t="shared" si="35"/>
        <v>180000</v>
      </c>
      <c r="M320" s="499">
        <f t="shared" si="28"/>
        <v>1</v>
      </c>
    </row>
    <row r="321" spans="1:13" ht="16.8" thickBot="1" x14ac:dyDescent="0.35">
      <c r="A321" s="35"/>
      <c r="B321" s="36"/>
      <c r="C321" s="74"/>
      <c r="D321" s="1033" t="s">
        <v>458</v>
      </c>
      <c r="E321" s="38">
        <v>180000</v>
      </c>
      <c r="F321" s="38">
        <v>180000</v>
      </c>
      <c r="G321" s="176">
        <f t="shared" si="24"/>
        <v>1</v>
      </c>
      <c r="H321" s="14"/>
      <c r="I321" s="14"/>
      <c r="J321" s="176"/>
      <c r="K321" s="14">
        <f t="shared" si="34"/>
        <v>180000</v>
      </c>
      <c r="L321" s="14">
        <f t="shared" si="35"/>
        <v>180000</v>
      </c>
      <c r="M321" s="500">
        <f t="shared" si="28"/>
        <v>1</v>
      </c>
    </row>
    <row r="322" spans="1:13" s="30" customFormat="1" ht="47.4" thickBot="1" x14ac:dyDescent="0.35">
      <c r="A322" s="32" t="s">
        <v>207</v>
      </c>
      <c r="B322" s="33" t="s">
        <v>14</v>
      </c>
      <c r="C322" s="33" t="s">
        <v>14</v>
      </c>
      <c r="D322" s="34" t="s">
        <v>208</v>
      </c>
      <c r="E322" s="47">
        <f t="shared" ref="E322:F324" si="36">E323</f>
        <v>4718610</v>
      </c>
      <c r="F322" s="47">
        <f t="shared" si="36"/>
        <v>4383369.6400000006</v>
      </c>
      <c r="G322" s="485">
        <f t="shared" si="24"/>
        <v>0.92895357743064177</v>
      </c>
      <c r="H322" s="12">
        <f>H323</f>
        <v>46000</v>
      </c>
      <c r="I322" s="12">
        <f>I323</f>
        <v>3731127.54</v>
      </c>
      <c r="J322" s="1034" t="s">
        <v>553</v>
      </c>
      <c r="K322" s="12">
        <f>K323</f>
        <v>4764610</v>
      </c>
      <c r="L322" s="12">
        <f>L323</f>
        <v>8114497.1799999997</v>
      </c>
      <c r="M322" s="480">
        <f t="shared" si="28"/>
        <v>1.7030768898188937</v>
      </c>
    </row>
    <row r="323" spans="1:13" s="29" customFormat="1" ht="47.4" thickBot="1" x14ac:dyDescent="0.35">
      <c r="A323" s="837" t="s">
        <v>209</v>
      </c>
      <c r="B323" s="836" t="s">
        <v>14</v>
      </c>
      <c r="C323" s="836" t="s">
        <v>14</v>
      </c>
      <c r="D323" s="1036" t="s">
        <v>208</v>
      </c>
      <c r="E323" s="1040">
        <f>E324+E331+E333+E335</f>
        <v>4718610</v>
      </c>
      <c r="F323" s="1040">
        <f>F324+F331+F333+F335</f>
        <v>4383369.6400000006</v>
      </c>
      <c r="G323" s="173">
        <f t="shared" si="24"/>
        <v>0.92895357743064177</v>
      </c>
      <c r="H323" s="1041">
        <f>H324+H329+H331+H333+H335</f>
        <v>46000</v>
      </c>
      <c r="I323" s="1041">
        <f>I324+I329+I331+I333+I335</f>
        <v>3731127.54</v>
      </c>
      <c r="J323" s="1034" t="s">
        <v>553</v>
      </c>
      <c r="K323" s="1041">
        <f>K324+K329+K331+K333+K335</f>
        <v>4764610</v>
      </c>
      <c r="L323" s="1041">
        <f>L324+L329+L331+L333+L335</f>
        <v>8114497.1799999997</v>
      </c>
      <c r="M323" s="182">
        <f t="shared" si="28"/>
        <v>1.7030768898188937</v>
      </c>
    </row>
    <row r="324" spans="1:13" ht="46.8" x14ac:dyDescent="0.3">
      <c r="A324" s="838" t="s">
        <v>210</v>
      </c>
      <c r="B324" s="839" t="s">
        <v>44</v>
      </c>
      <c r="C324" s="839" t="s">
        <v>17</v>
      </c>
      <c r="D324" s="1035" t="s">
        <v>175</v>
      </c>
      <c r="E324" s="39">
        <f t="shared" si="36"/>
        <v>2920245</v>
      </c>
      <c r="F324" s="39">
        <f t="shared" si="36"/>
        <v>2839988.83</v>
      </c>
      <c r="G324" s="174">
        <f t="shared" si="24"/>
        <v>0.97251731618408732</v>
      </c>
      <c r="H324" s="540">
        <f>H327</f>
        <v>46000</v>
      </c>
      <c r="I324" s="540">
        <f>I327</f>
        <v>46000</v>
      </c>
      <c r="J324" s="174">
        <f t="shared" ref="J324:J328" si="37">I324/H324</f>
        <v>1</v>
      </c>
      <c r="K324" s="540">
        <f>K325+K327</f>
        <v>2966245</v>
      </c>
      <c r="L324" s="540">
        <f>L325+L327</f>
        <v>2885988.83</v>
      </c>
      <c r="M324" s="498">
        <f t="shared" si="28"/>
        <v>0.97294351275771218</v>
      </c>
    </row>
    <row r="325" spans="1:13" ht="16.2" x14ac:dyDescent="0.3">
      <c r="A325" s="802"/>
      <c r="B325" s="803"/>
      <c r="C325" s="803"/>
      <c r="D325" s="1030" t="s">
        <v>458</v>
      </c>
      <c r="E325" s="37">
        <v>2920245</v>
      </c>
      <c r="F325" s="37">
        <v>2839988.83</v>
      </c>
      <c r="G325" s="175">
        <f t="shared" si="24"/>
        <v>0.97251731618408732</v>
      </c>
      <c r="H325" s="8"/>
      <c r="I325" s="8"/>
      <c r="J325" s="175"/>
      <c r="K325" s="8">
        <f>E325+H325</f>
        <v>2920245</v>
      </c>
      <c r="L325" s="8">
        <f>F325+I325</f>
        <v>2839988.83</v>
      </c>
      <c r="M325" s="499">
        <f t="shared" si="28"/>
        <v>0.97251731618408732</v>
      </c>
    </row>
    <row r="326" spans="1:13" x14ac:dyDescent="0.3">
      <c r="A326" s="802"/>
      <c r="B326" s="803"/>
      <c r="C326" s="803"/>
      <c r="D326" s="1031" t="s">
        <v>459</v>
      </c>
      <c r="E326" s="37">
        <v>2833890</v>
      </c>
      <c r="F326" s="37">
        <v>2753955.03</v>
      </c>
      <c r="G326" s="175">
        <f t="shared" si="24"/>
        <v>0.97179319945375431</v>
      </c>
      <c r="H326" s="8"/>
      <c r="I326" s="8"/>
      <c r="J326" s="175"/>
      <c r="K326" s="8">
        <f t="shared" ref="K326:K336" si="38">E326+H326</f>
        <v>2833890</v>
      </c>
      <c r="L326" s="8">
        <f t="shared" ref="L326:L336" si="39">F326+I326</f>
        <v>2753955.03</v>
      </c>
      <c r="M326" s="499">
        <f t="shared" si="28"/>
        <v>0.97179319945375431</v>
      </c>
    </row>
    <row r="327" spans="1:13" ht="16.2" x14ac:dyDescent="0.3">
      <c r="A327" s="802"/>
      <c r="B327" s="803"/>
      <c r="C327" s="803"/>
      <c r="D327" s="1030" t="s">
        <v>461</v>
      </c>
      <c r="E327" s="37"/>
      <c r="F327" s="37"/>
      <c r="G327" s="175"/>
      <c r="H327" s="8">
        <f>H328</f>
        <v>46000</v>
      </c>
      <c r="I327" s="8">
        <f>I328</f>
        <v>46000</v>
      </c>
      <c r="J327" s="175">
        <f t="shared" si="37"/>
        <v>1</v>
      </c>
      <c r="K327" s="8">
        <f t="shared" si="38"/>
        <v>46000</v>
      </c>
      <c r="L327" s="8">
        <f t="shared" si="39"/>
        <v>46000</v>
      </c>
      <c r="M327" s="499">
        <f t="shared" si="28"/>
        <v>1</v>
      </c>
    </row>
    <row r="328" spans="1:13" x14ac:dyDescent="0.3">
      <c r="A328" s="802"/>
      <c r="B328" s="803"/>
      <c r="C328" s="803"/>
      <c r="D328" s="1031" t="s">
        <v>462</v>
      </c>
      <c r="E328" s="37"/>
      <c r="F328" s="37"/>
      <c r="G328" s="175"/>
      <c r="H328" s="8">
        <v>46000</v>
      </c>
      <c r="I328" s="8">
        <v>46000</v>
      </c>
      <c r="J328" s="175">
        <f t="shared" si="37"/>
        <v>1</v>
      </c>
      <c r="K328" s="8">
        <f t="shared" si="38"/>
        <v>46000</v>
      </c>
      <c r="L328" s="8">
        <f t="shared" si="39"/>
        <v>46000</v>
      </c>
      <c r="M328" s="499">
        <f t="shared" si="28"/>
        <v>1</v>
      </c>
    </row>
    <row r="329" spans="1:13" ht="31.2" x14ac:dyDescent="0.3">
      <c r="A329" s="802">
        <v>3110180</v>
      </c>
      <c r="B329" s="45" t="s">
        <v>219</v>
      </c>
      <c r="C329" s="45" t="s">
        <v>217</v>
      </c>
      <c r="D329" s="26" t="s">
        <v>517</v>
      </c>
      <c r="E329" s="37"/>
      <c r="F329" s="37"/>
      <c r="G329" s="175"/>
      <c r="H329" s="8">
        <f>H330</f>
        <v>0</v>
      </c>
      <c r="I329" s="8">
        <f>I330</f>
        <v>3685127.54</v>
      </c>
      <c r="J329" s="175"/>
      <c r="K329" s="8">
        <f t="shared" si="38"/>
        <v>0</v>
      </c>
      <c r="L329" s="8">
        <f t="shared" si="39"/>
        <v>3685127.54</v>
      </c>
      <c r="M329" s="499"/>
    </row>
    <row r="330" spans="1:13" ht="16.2" x14ac:dyDescent="0.3">
      <c r="A330" s="802"/>
      <c r="B330" s="803"/>
      <c r="C330" s="803"/>
      <c r="D330" s="1030" t="s">
        <v>458</v>
      </c>
      <c r="E330" s="37"/>
      <c r="F330" s="37"/>
      <c r="G330" s="175"/>
      <c r="H330" s="8">
        <v>0</v>
      </c>
      <c r="I330" s="8">
        <v>3685127.54</v>
      </c>
      <c r="J330" s="175"/>
      <c r="K330" s="8">
        <f t="shared" si="38"/>
        <v>0</v>
      </c>
      <c r="L330" s="8">
        <f t="shared" si="39"/>
        <v>3685127.54</v>
      </c>
      <c r="M330" s="499"/>
    </row>
    <row r="331" spans="1:13" ht="31.2" x14ac:dyDescent="0.3">
      <c r="A331" s="802">
        <v>3117693</v>
      </c>
      <c r="B331" s="803">
        <v>7693</v>
      </c>
      <c r="C331" s="45" t="s">
        <v>171</v>
      </c>
      <c r="D331" s="26" t="s">
        <v>512</v>
      </c>
      <c r="E331" s="37">
        <f>E332</f>
        <v>160062</v>
      </c>
      <c r="F331" s="37">
        <f>F332</f>
        <v>159861.81</v>
      </c>
      <c r="G331" s="175">
        <f t="shared" si="24"/>
        <v>0.99874929714735539</v>
      </c>
      <c r="H331" s="8"/>
      <c r="I331" s="8"/>
      <c r="J331" s="175"/>
      <c r="K331" s="8">
        <f t="shared" si="38"/>
        <v>160062</v>
      </c>
      <c r="L331" s="8">
        <f t="shared" si="39"/>
        <v>159861.81</v>
      </c>
      <c r="M331" s="499">
        <f>L331/K331</f>
        <v>0.99874929714735539</v>
      </c>
    </row>
    <row r="332" spans="1:13" ht="16.2" x14ac:dyDescent="0.3">
      <c r="A332" s="802"/>
      <c r="B332" s="803"/>
      <c r="C332" s="803"/>
      <c r="D332" s="1030" t="s">
        <v>458</v>
      </c>
      <c r="E332" s="37">
        <v>160062</v>
      </c>
      <c r="F332" s="37">
        <v>159861.81</v>
      </c>
      <c r="G332" s="175">
        <f t="shared" si="24"/>
        <v>0.99874929714735539</v>
      </c>
      <c r="H332" s="8"/>
      <c r="I332" s="8"/>
      <c r="J332" s="175"/>
      <c r="K332" s="8">
        <f t="shared" si="38"/>
        <v>160062</v>
      </c>
      <c r="L332" s="8">
        <f t="shared" si="39"/>
        <v>159861.81</v>
      </c>
      <c r="M332" s="499">
        <f t="shared" ref="M332:M336" si="40">L332/K332</f>
        <v>0.99874929714735539</v>
      </c>
    </row>
    <row r="333" spans="1:13" ht="46.8" x14ac:dyDescent="0.3">
      <c r="A333" s="802">
        <v>3118110</v>
      </c>
      <c r="B333" s="803">
        <v>8110</v>
      </c>
      <c r="C333" s="45" t="s">
        <v>231</v>
      </c>
      <c r="D333" s="26" t="s">
        <v>232</v>
      </c>
      <c r="E333" s="37">
        <f>E334</f>
        <v>1338303</v>
      </c>
      <c r="F333" s="37">
        <f>F334</f>
        <v>1148519</v>
      </c>
      <c r="G333" s="175">
        <f t="shared" si="24"/>
        <v>0.85819055923807985</v>
      </c>
      <c r="H333" s="8"/>
      <c r="I333" s="8"/>
      <c r="J333" s="175"/>
      <c r="K333" s="8">
        <f t="shared" si="38"/>
        <v>1338303</v>
      </c>
      <c r="L333" s="8">
        <f t="shared" si="39"/>
        <v>1148519</v>
      </c>
      <c r="M333" s="499">
        <f t="shared" si="40"/>
        <v>0.85819055923807985</v>
      </c>
    </row>
    <row r="334" spans="1:13" ht="16.2" x14ac:dyDescent="0.3">
      <c r="A334" s="802"/>
      <c r="B334" s="803"/>
      <c r="C334" s="803"/>
      <c r="D334" s="1030" t="s">
        <v>458</v>
      </c>
      <c r="E334" s="37">
        <v>1338303</v>
      </c>
      <c r="F334" s="37">
        <v>1148519</v>
      </c>
      <c r="G334" s="175">
        <f t="shared" si="24"/>
        <v>0.85819055923807985</v>
      </c>
      <c r="H334" s="8"/>
      <c r="I334" s="8"/>
      <c r="J334" s="175"/>
      <c r="K334" s="8">
        <f t="shared" si="38"/>
        <v>1338303</v>
      </c>
      <c r="L334" s="8">
        <f t="shared" si="39"/>
        <v>1148519</v>
      </c>
      <c r="M334" s="499">
        <f t="shared" si="40"/>
        <v>0.85819055923807985</v>
      </c>
    </row>
    <row r="335" spans="1:13" ht="31.2" x14ac:dyDescent="0.3">
      <c r="A335" s="802">
        <v>3118311</v>
      </c>
      <c r="B335" s="803">
        <v>8311</v>
      </c>
      <c r="C335" s="45" t="s">
        <v>611</v>
      </c>
      <c r="D335" s="26" t="s">
        <v>610</v>
      </c>
      <c r="E335" s="37">
        <f>E336</f>
        <v>300000</v>
      </c>
      <c r="F335" s="37">
        <f>F336</f>
        <v>235000</v>
      </c>
      <c r="G335" s="175">
        <f t="shared" si="24"/>
        <v>0.78333333333333333</v>
      </c>
      <c r="H335" s="8">
        <f>H336</f>
        <v>0</v>
      </c>
      <c r="I335" s="8">
        <f>I336</f>
        <v>0</v>
      </c>
      <c r="J335" s="175"/>
      <c r="K335" s="8">
        <f t="shared" si="38"/>
        <v>300000</v>
      </c>
      <c r="L335" s="8">
        <f t="shared" si="39"/>
        <v>235000</v>
      </c>
      <c r="M335" s="499">
        <f t="shared" si="40"/>
        <v>0.78333333333333333</v>
      </c>
    </row>
    <row r="336" spans="1:13" ht="16.8" thickBot="1" x14ac:dyDescent="0.35">
      <c r="A336" s="35"/>
      <c r="B336" s="36"/>
      <c r="C336" s="36"/>
      <c r="D336" s="1033" t="s">
        <v>458</v>
      </c>
      <c r="E336" s="38">
        <v>300000</v>
      </c>
      <c r="F336" s="38">
        <v>235000</v>
      </c>
      <c r="G336" s="176">
        <f t="shared" si="24"/>
        <v>0.78333333333333333</v>
      </c>
      <c r="H336" s="14">
        <v>0</v>
      </c>
      <c r="I336" s="14">
        <v>0</v>
      </c>
      <c r="J336" s="176"/>
      <c r="K336" s="14">
        <f t="shared" si="38"/>
        <v>300000</v>
      </c>
      <c r="L336" s="14">
        <f t="shared" si="39"/>
        <v>235000</v>
      </c>
      <c r="M336" s="500">
        <f t="shared" si="40"/>
        <v>0.78333333333333333</v>
      </c>
    </row>
    <row r="337" spans="1:13" s="30" customFormat="1" ht="48.75" customHeight="1" thickBot="1" x14ac:dyDescent="0.35">
      <c r="A337" s="32" t="s">
        <v>211</v>
      </c>
      <c r="B337" s="33" t="s">
        <v>14</v>
      </c>
      <c r="C337" s="33" t="s">
        <v>14</v>
      </c>
      <c r="D337" s="34" t="s">
        <v>212</v>
      </c>
      <c r="E337" s="47">
        <f>E338</f>
        <v>9846511</v>
      </c>
      <c r="F337" s="47">
        <f>F338</f>
        <v>5400603.1500000004</v>
      </c>
      <c r="G337" s="485">
        <f t="shared" si="24"/>
        <v>0.54847886220814668</v>
      </c>
      <c r="H337" s="12">
        <f>H338</f>
        <v>48200</v>
      </c>
      <c r="I337" s="12">
        <f>I338</f>
        <v>48200</v>
      </c>
      <c r="J337" s="485">
        <f>I337/H337</f>
        <v>1</v>
      </c>
      <c r="K337" s="12">
        <f>K338</f>
        <v>9894711</v>
      </c>
      <c r="L337" s="12">
        <f>L338</f>
        <v>5448803.1500000004</v>
      </c>
      <c r="M337" s="480">
        <f t="shared" si="28"/>
        <v>0.5506783523035691</v>
      </c>
    </row>
    <row r="338" spans="1:13" s="29" customFormat="1" ht="36.75" customHeight="1" thickBot="1" x14ac:dyDescent="0.35">
      <c r="A338" s="837" t="s">
        <v>213</v>
      </c>
      <c r="B338" s="836" t="s">
        <v>14</v>
      </c>
      <c r="C338" s="836" t="s">
        <v>14</v>
      </c>
      <c r="D338" s="1036" t="s">
        <v>212</v>
      </c>
      <c r="E338" s="1040">
        <f>E339+E344</f>
        <v>9846511</v>
      </c>
      <c r="F338" s="1040">
        <f>F339+F344</f>
        <v>5400603.1500000004</v>
      </c>
      <c r="G338" s="173">
        <f t="shared" si="24"/>
        <v>0.54847886220814668</v>
      </c>
      <c r="H338" s="1040">
        <f>H340+H342</f>
        <v>48200</v>
      </c>
      <c r="I338" s="1040">
        <f>I340+I342</f>
        <v>48200</v>
      </c>
      <c r="J338" s="173">
        <f>I338/H338</f>
        <v>1</v>
      </c>
      <c r="K338" s="1041">
        <f>K339+K344</f>
        <v>9894711</v>
      </c>
      <c r="L338" s="1041">
        <f>L339+L344</f>
        <v>5448803.1500000004</v>
      </c>
      <c r="M338" s="182">
        <f t="shared" si="28"/>
        <v>0.5506783523035691</v>
      </c>
    </row>
    <row r="339" spans="1:13" ht="46.8" x14ac:dyDescent="0.3">
      <c r="A339" s="838" t="s">
        <v>214</v>
      </c>
      <c r="B339" s="839" t="s">
        <v>44</v>
      </c>
      <c r="C339" s="839" t="s">
        <v>17</v>
      </c>
      <c r="D339" s="1035" t="s">
        <v>175</v>
      </c>
      <c r="E339" s="39">
        <f>E340</f>
        <v>5646511</v>
      </c>
      <c r="F339" s="39">
        <f>F340</f>
        <v>5400603.1500000004</v>
      </c>
      <c r="G339" s="174">
        <f t="shared" si="24"/>
        <v>0.95644959338607516</v>
      </c>
      <c r="H339" s="540">
        <f>H340+H342</f>
        <v>48200</v>
      </c>
      <c r="I339" s="540">
        <f>I340+I342</f>
        <v>48200</v>
      </c>
      <c r="J339" s="174"/>
      <c r="K339" s="540">
        <f>E339+H339</f>
        <v>5694711</v>
      </c>
      <c r="L339" s="540">
        <f>F339+I339</f>
        <v>5448803.1500000004</v>
      </c>
      <c r="M339" s="498">
        <f t="shared" si="28"/>
        <v>0.9568182037683739</v>
      </c>
    </row>
    <row r="340" spans="1:13" ht="16.2" x14ac:dyDescent="0.3">
      <c r="A340" s="802"/>
      <c r="B340" s="803"/>
      <c r="C340" s="803"/>
      <c r="D340" s="1030" t="s">
        <v>458</v>
      </c>
      <c r="E340" s="37">
        <v>5646511</v>
      </c>
      <c r="F340" s="37">
        <v>5400603.1500000004</v>
      </c>
      <c r="G340" s="175">
        <f t="shared" si="24"/>
        <v>0.95644959338607516</v>
      </c>
      <c r="H340" s="8"/>
      <c r="I340" s="8"/>
      <c r="J340" s="175"/>
      <c r="K340" s="8">
        <f t="shared" ref="K340:K345" si="41">E340+H340</f>
        <v>5646511</v>
      </c>
      <c r="L340" s="8">
        <f t="shared" ref="L340:L345" si="42">F340+I340</f>
        <v>5400603.1500000004</v>
      </c>
      <c r="M340" s="499">
        <f t="shared" si="28"/>
        <v>0.95644959338607516</v>
      </c>
    </row>
    <row r="341" spans="1:13" x14ac:dyDescent="0.3">
      <c r="A341" s="802"/>
      <c r="B341" s="803"/>
      <c r="C341" s="803"/>
      <c r="D341" s="1031" t="s">
        <v>459</v>
      </c>
      <c r="E341" s="37">
        <v>5441736</v>
      </c>
      <c r="F341" s="37">
        <v>5195828.1500000004</v>
      </c>
      <c r="G341" s="175">
        <f t="shared" si="24"/>
        <v>0.95481077178312224</v>
      </c>
      <c r="H341" s="8"/>
      <c r="I341" s="8"/>
      <c r="J341" s="175"/>
      <c r="K341" s="8">
        <f t="shared" si="41"/>
        <v>5441736</v>
      </c>
      <c r="L341" s="8">
        <f t="shared" si="42"/>
        <v>5195828.1500000004</v>
      </c>
      <c r="M341" s="499">
        <f t="shared" si="28"/>
        <v>0.95481077178312224</v>
      </c>
    </row>
    <row r="342" spans="1:13" ht="16.2" x14ac:dyDescent="0.3">
      <c r="A342" s="802"/>
      <c r="B342" s="803"/>
      <c r="C342" s="803"/>
      <c r="D342" s="1030" t="s">
        <v>461</v>
      </c>
      <c r="E342" s="37"/>
      <c r="F342" s="37"/>
      <c r="G342" s="175"/>
      <c r="H342" s="8">
        <f>H343</f>
        <v>48200</v>
      </c>
      <c r="I342" s="8">
        <f>I343</f>
        <v>48200</v>
      </c>
      <c r="J342" s="175">
        <f>I342/H342</f>
        <v>1</v>
      </c>
      <c r="K342" s="8">
        <f t="shared" si="41"/>
        <v>48200</v>
      </c>
      <c r="L342" s="8">
        <f t="shared" si="42"/>
        <v>48200</v>
      </c>
      <c r="M342" s="499">
        <f t="shared" si="28"/>
        <v>1</v>
      </c>
    </row>
    <row r="343" spans="1:13" x14ac:dyDescent="0.3">
      <c r="A343" s="802"/>
      <c r="B343" s="803"/>
      <c r="C343" s="803"/>
      <c r="D343" s="1031" t="s">
        <v>462</v>
      </c>
      <c r="E343" s="37"/>
      <c r="F343" s="37"/>
      <c r="G343" s="175"/>
      <c r="H343" s="8">
        <v>48200</v>
      </c>
      <c r="I343" s="8">
        <v>48200</v>
      </c>
      <c r="J343" s="175">
        <f>I343/H343</f>
        <v>1</v>
      </c>
      <c r="K343" s="8">
        <f t="shared" si="41"/>
        <v>48200</v>
      </c>
      <c r="L343" s="8">
        <f t="shared" si="42"/>
        <v>48200</v>
      </c>
      <c r="M343" s="499">
        <f t="shared" si="28"/>
        <v>1</v>
      </c>
    </row>
    <row r="344" spans="1:13" x14ac:dyDescent="0.3">
      <c r="A344" s="802" t="s">
        <v>215</v>
      </c>
      <c r="B344" s="803" t="s">
        <v>216</v>
      </c>
      <c r="C344" s="803" t="s">
        <v>217</v>
      </c>
      <c r="D344" s="26" t="s">
        <v>218</v>
      </c>
      <c r="E344" s="37">
        <f>E345</f>
        <v>4200000</v>
      </c>
      <c r="F344" s="37">
        <f>F345</f>
        <v>0</v>
      </c>
      <c r="G344" s="175">
        <f t="shared" si="24"/>
        <v>0</v>
      </c>
      <c r="H344" s="8">
        <v>0</v>
      </c>
      <c r="I344" s="8"/>
      <c r="J344" s="175"/>
      <c r="K344" s="8">
        <f t="shared" si="41"/>
        <v>4200000</v>
      </c>
      <c r="L344" s="8">
        <f t="shared" si="42"/>
        <v>0</v>
      </c>
      <c r="M344" s="499">
        <f t="shared" si="28"/>
        <v>0</v>
      </c>
    </row>
    <row r="345" spans="1:13" ht="16.8" thickBot="1" x14ac:dyDescent="0.35">
      <c r="A345" s="35"/>
      <c r="B345" s="36"/>
      <c r="C345" s="36"/>
      <c r="D345" s="1033" t="s">
        <v>458</v>
      </c>
      <c r="E345" s="38">
        <v>4200000</v>
      </c>
      <c r="F345" s="38">
        <v>0</v>
      </c>
      <c r="G345" s="176">
        <f t="shared" si="24"/>
        <v>0</v>
      </c>
      <c r="H345" s="14"/>
      <c r="I345" s="14"/>
      <c r="J345" s="176"/>
      <c r="K345" s="14">
        <f t="shared" si="41"/>
        <v>4200000</v>
      </c>
      <c r="L345" s="14">
        <f t="shared" si="42"/>
        <v>0</v>
      </c>
      <c r="M345" s="500">
        <f t="shared" si="28"/>
        <v>0</v>
      </c>
    </row>
    <row r="346" spans="1:13" ht="16.2" thickBot="1" x14ac:dyDescent="0.35">
      <c r="A346" s="32" t="s">
        <v>6</v>
      </c>
      <c r="B346" s="33" t="s">
        <v>6</v>
      </c>
      <c r="C346" s="33" t="s">
        <v>6</v>
      </c>
      <c r="D346" s="48" t="s">
        <v>148</v>
      </c>
      <c r="E346" s="47">
        <f>E16+E64+E129+E164+E171+E231+E262+E303+E313+E322+E337</f>
        <v>605237467</v>
      </c>
      <c r="F346" s="47">
        <f>F16+F64+F129+F164+F171+F231+F262+F303+F313+F322+F337</f>
        <v>571654730.97000003</v>
      </c>
      <c r="G346" s="485">
        <f t="shared" si="24"/>
        <v>0.94451312441633761</v>
      </c>
      <c r="H346" s="47">
        <f>H16+H64+H129+H164+H171+H231+H262+H303+H313+H322+H337</f>
        <v>217729847</v>
      </c>
      <c r="I346" s="47">
        <f>I16+I64+I129+I164+I171+I231+I262+I303+I313+I322+I337</f>
        <v>130723646.04000001</v>
      </c>
      <c r="J346" s="485">
        <f t="shared" ref="J346" si="43">I346/H346</f>
        <v>0.6003937808306089</v>
      </c>
      <c r="K346" s="47">
        <f>K16+K64+K129+K164+K171+K231+K262+K303+K313+K322+K337</f>
        <v>822967314</v>
      </c>
      <c r="L346" s="47">
        <f>L16+L64+L129+L164+L171+L231+L262+L303+L313+L322+L337</f>
        <v>702378377.00999987</v>
      </c>
      <c r="M346" s="480">
        <f>L346/K346</f>
        <v>0.85347056324280679</v>
      </c>
    </row>
    <row r="347" spans="1:13" x14ac:dyDescent="0.3">
      <c r="A347" s="15"/>
      <c r="B347" s="15"/>
      <c r="C347" s="15"/>
      <c r="D347" s="16"/>
      <c r="E347" s="49"/>
      <c r="F347" s="49"/>
      <c r="G347" s="49"/>
      <c r="H347" s="49"/>
      <c r="I347" s="49"/>
      <c r="J347" s="49"/>
      <c r="K347" s="49"/>
      <c r="L347" s="49"/>
      <c r="M347" s="49"/>
    </row>
    <row r="348" spans="1:13" ht="16.95" customHeight="1" x14ac:dyDescent="0.3"/>
    <row r="349" spans="1:13" s="25" customFormat="1" ht="28.95" customHeight="1" x14ac:dyDescent="0.3">
      <c r="A349" s="1098" t="s">
        <v>649</v>
      </c>
      <c r="B349" s="1098"/>
      <c r="C349" s="1098"/>
      <c r="D349" s="1098"/>
      <c r="E349" s="50"/>
      <c r="F349" s="50"/>
      <c r="G349" s="50"/>
      <c r="H349" s="50" t="s">
        <v>468</v>
      </c>
      <c r="I349" s="50"/>
      <c r="J349" s="51"/>
      <c r="K349" s="52"/>
      <c r="L349" s="52"/>
      <c r="M349" s="52"/>
    </row>
    <row r="350" spans="1:13" ht="16.95" customHeight="1" x14ac:dyDescent="0.3">
      <c r="A350" s="183"/>
      <c r="B350" s="183"/>
      <c r="C350" s="183"/>
      <c r="D350" s="184"/>
      <c r="E350" s="186">
        <v>605237467</v>
      </c>
      <c r="F350" s="186">
        <v>571654730.97000003</v>
      </c>
      <c r="G350" s="186"/>
      <c r="H350" s="186">
        <v>217729847</v>
      </c>
      <c r="I350" s="187">
        <v>130723646.04000001</v>
      </c>
      <c r="J350" s="187"/>
      <c r="K350" s="186">
        <f>E350+H350</f>
        <v>822967314</v>
      </c>
      <c r="L350" s="186">
        <f>F350+I350</f>
        <v>702378377.00999999</v>
      </c>
      <c r="M350" s="186"/>
    </row>
    <row r="351" spans="1:13" ht="16.8" x14ac:dyDescent="0.3">
      <c r="A351" s="183"/>
      <c r="B351" s="183"/>
      <c r="C351" s="183"/>
      <c r="D351" s="184"/>
      <c r="E351" s="186">
        <f>E346-E350</f>
        <v>0</v>
      </c>
      <c r="F351" s="186">
        <f t="shared" ref="F351:L351" si="44">F346-F350</f>
        <v>0</v>
      </c>
      <c r="G351" s="186"/>
      <c r="H351" s="186">
        <f>H346-H350</f>
        <v>0</v>
      </c>
      <c r="I351" s="186">
        <f>I346-I350</f>
        <v>0</v>
      </c>
      <c r="J351" s="186"/>
      <c r="K351" s="186">
        <f>K346-K350</f>
        <v>0</v>
      </c>
      <c r="L351" s="186">
        <f t="shared" si="44"/>
        <v>0</v>
      </c>
      <c r="M351" s="186"/>
    </row>
    <row r="352" spans="1:13" ht="16.8" x14ac:dyDescent="0.3">
      <c r="A352" s="183"/>
      <c r="B352" s="183"/>
      <c r="C352" s="183"/>
      <c r="D352" s="184"/>
      <c r="E352" s="186"/>
      <c r="F352" s="186"/>
      <c r="G352" s="186"/>
      <c r="H352" s="187"/>
      <c r="I352" s="187"/>
      <c r="J352" s="187"/>
      <c r="K352" s="186"/>
      <c r="L352" s="186"/>
      <c r="M352" s="186"/>
    </row>
    <row r="353" spans="1:13" ht="16.8" x14ac:dyDescent="0.3">
      <c r="A353" s="183"/>
      <c r="B353" s="183"/>
      <c r="C353" s="183"/>
      <c r="D353" s="184" t="s">
        <v>463</v>
      </c>
      <c r="E353" s="186">
        <v>296151715</v>
      </c>
      <c r="F353" s="186">
        <v>288856202.68000001</v>
      </c>
      <c r="G353" s="186"/>
      <c r="H353" s="187">
        <v>2034353</v>
      </c>
      <c r="I353" s="187">
        <v>1841648.21</v>
      </c>
      <c r="J353" s="187"/>
      <c r="K353" s="186">
        <f>K18+K24+K26+K30+K34+K36+K40+K43+K46+K48+K50+K52+K56+K58+K60+K66+K70+K76+K81+K84+K90+K94+K96+K100+K103+K107+K109+K112+K115+K118+K120+K123+K125+K131+K137+K139+K141+K147+K149+K151+K153+K155+K158+K162+K166+K169+K173+K176+K182+K184+K190+K196+K200+K205+K207+K209+K213+K217+K220+K226+K228+K233+K238+K240+K242+K244+K247+K251+K253+K255+K257+K259+K264+K270+K273+K276+K279+K282+K285+K288+K291+K294+K297+K300+K305+K308+K310+K315+K318+K320+K324+K329+K331+K333+K335+K339+K344</f>
        <v>822967314</v>
      </c>
      <c r="L353" s="186">
        <f>L18+L24+L26+L30+L34+L36+L40+L43+L46+L48+L50+L52+L56+L58+L60+L66+L70+L76+L81+L84+L90+L94+L96+L100+L103+L107+L109+L112+L115+L118+L120+L123+L125+L131+L137+L139+L141+L147+L149+L151+L153+L155+L158+L162+L166+L169+L173+L176+L182+L184+L190+L196+L200+L205+L207+L209+L213+L217+L220+L226+L228+L233+L238+L240+L242+L244+L247+L251+L253+L255+L257+L259+L264+L270+L273+L276+L279+L282+L285+L288+L291+L294+L297+L300+L305+L308+L310+L315+L318+L320+L324+L329+L331+L333+L335+L339+L344</f>
        <v>702378377.01000023</v>
      </c>
      <c r="M353" s="186"/>
    </row>
    <row r="354" spans="1:13" ht="16.8" x14ac:dyDescent="0.3">
      <c r="A354" s="183"/>
      <c r="B354" s="183"/>
      <c r="C354" s="183"/>
      <c r="D354" s="184"/>
      <c r="E354" s="186">
        <f>E20+E68+E72+E78+E83+E86+E92+E98+E102+E105+E133+E143+E160+E168+E175+E178+E186+E192+E198+E202+E211+E222+E235+E266+E307+E317+E326+E341+E117+E127+E219+E114</f>
        <v>296151715</v>
      </c>
      <c r="F354" s="186">
        <f>F20+F68+F72+F78+F83+F86+F92+F98+F102+F105+F133+F143+F160+F168+F175+F178+F186+F192+F198+F202+F211+F222+F235+F266+F307+F317+F326+F341+F117+F127+F219+F114</f>
        <v>288856202.67999995</v>
      </c>
      <c r="G354" s="186"/>
      <c r="H354" s="187">
        <f>H78+H178</f>
        <v>2034353</v>
      </c>
      <c r="I354" s="187">
        <f>I78+I178</f>
        <v>1841648.21</v>
      </c>
      <c r="J354" s="187"/>
      <c r="K354" s="186">
        <f>K350-K353</f>
        <v>0</v>
      </c>
      <c r="L354" s="186">
        <f>L350-L353</f>
        <v>0</v>
      </c>
      <c r="M354" s="186"/>
    </row>
    <row r="355" spans="1:13" ht="16.8" x14ac:dyDescent="0.3">
      <c r="A355" s="183"/>
      <c r="B355" s="183"/>
      <c r="C355" s="183"/>
      <c r="D355" s="184"/>
      <c r="E355" s="186">
        <f>E353-E354</f>
        <v>0</v>
      </c>
      <c r="F355" s="186">
        <f>F353-F354</f>
        <v>0</v>
      </c>
      <c r="G355" s="186"/>
      <c r="H355" s="187">
        <f>H353-H354</f>
        <v>0</v>
      </c>
      <c r="I355" s="187">
        <f>I353-I354</f>
        <v>0</v>
      </c>
      <c r="J355" s="187"/>
      <c r="K355" s="186"/>
      <c r="L355" s="186"/>
      <c r="M355" s="186"/>
    </row>
    <row r="356" spans="1:13" ht="16.8" x14ac:dyDescent="0.3">
      <c r="A356" s="183"/>
      <c r="B356" s="183"/>
      <c r="C356" s="183"/>
      <c r="D356" s="184" t="s">
        <v>464</v>
      </c>
      <c r="E356" s="186">
        <v>36007239.039999999</v>
      </c>
      <c r="F356" s="186">
        <v>31059908.050000001</v>
      </c>
      <c r="G356" s="186"/>
      <c r="H356" s="187">
        <v>55353</v>
      </c>
      <c r="I356" s="187">
        <v>49362.52</v>
      </c>
      <c r="J356" s="187"/>
      <c r="K356" s="186"/>
      <c r="L356" s="186"/>
      <c r="M356" s="186"/>
    </row>
    <row r="357" spans="1:13" ht="16.8" x14ac:dyDescent="0.3">
      <c r="A357" s="183"/>
      <c r="B357" s="183"/>
      <c r="C357" s="183"/>
      <c r="D357" s="184"/>
      <c r="E357" s="186">
        <f>E21+E69+E73+E79+E87+E93+E99+E106+E134+E144+E161+E179+E187+E193+E199+E212+E223+E267+E128+E230</f>
        <v>36007239.039999999</v>
      </c>
      <c r="F357" s="186">
        <f>F21+F69+F73+F79+F87+F93+F99+F106+F134+F144+F161+F179+F187+F193+F199+F212+F223+F267+F128</f>
        <v>31059908.050000008</v>
      </c>
      <c r="G357" s="186"/>
      <c r="H357" s="187">
        <f>H79</f>
        <v>55353</v>
      </c>
      <c r="I357" s="187">
        <f>I79</f>
        <v>49362.52</v>
      </c>
      <c r="J357" s="187"/>
      <c r="K357" s="186"/>
      <c r="L357" s="186"/>
      <c r="M357" s="186"/>
    </row>
    <row r="358" spans="1:13" ht="16.8" x14ac:dyDescent="0.3">
      <c r="A358" s="183"/>
      <c r="B358" s="183"/>
      <c r="C358" s="183"/>
      <c r="D358" s="184"/>
      <c r="E358" s="186">
        <f>E356-E357</f>
        <v>0</v>
      </c>
      <c r="F358" s="186">
        <f>F356-F357</f>
        <v>0</v>
      </c>
      <c r="G358" s="186"/>
      <c r="H358" s="187">
        <f>H356-H357</f>
        <v>0</v>
      </c>
      <c r="I358" s="187">
        <f>I356-I357</f>
        <v>0</v>
      </c>
      <c r="J358" s="187"/>
      <c r="K358" s="186"/>
      <c r="L358" s="186"/>
      <c r="M358" s="186"/>
    </row>
    <row r="359" spans="1:13" ht="16.8" x14ac:dyDescent="0.3">
      <c r="A359" s="183"/>
      <c r="B359" s="183"/>
      <c r="C359" s="183"/>
      <c r="D359" s="184"/>
      <c r="E359" s="186"/>
      <c r="F359" s="186"/>
      <c r="G359" s="186"/>
      <c r="H359" s="187"/>
      <c r="I359" s="187"/>
      <c r="J359" s="187"/>
      <c r="K359" s="186"/>
      <c r="L359" s="186"/>
      <c r="M359" s="186"/>
    </row>
    <row r="360" spans="1:13" ht="16.8" x14ac:dyDescent="0.3">
      <c r="A360" s="183"/>
      <c r="B360" s="183"/>
      <c r="C360" s="183"/>
      <c r="D360" s="184"/>
      <c r="E360" s="186"/>
      <c r="F360" s="186"/>
      <c r="G360" s="186"/>
      <c r="H360" s="187"/>
      <c r="I360" s="187"/>
      <c r="J360" s="187"/>
      <c r="K360" s="186"/>
      <c r="L360" s="186"/>
      <c r="M360" s="186"/>
    </row>
    <row r="361" spans="1:13" ht="16.8" x14ac:dyDescent="0.3">
      <c r="A361" s="183"/>
      <c r="B361" s="183"/>
      <c r="C361" s="183"/>
      <c r="E361" s="186"/>
      <c r="F361" s="184" t="s">
        <v>465</v>
      </c>
      <c r="G361" s="186"/>
      <c r="H361" s="187">
        <f>207768347-1620780-359600-3500600</f>
        <v>202287367</v>
      </c>
      <c r="I361" s="187">
        <f>117852563.55-1581830-310150</f>
        <v>115960583.55</v>
      </c>
      <c r="J361" s="187"/>
      <c r="K361" s="186"/>
      <c r="L361" s="186"/>
      <c r="M361" s="186"/>
    </row>
    <row r="362" spans="1:13" ht="16.8" x14ac:dyDescent="0.3">
      <c r="A362" s="183"/>
      <c r="B362" s="183"/>
      <c r="C362" s="183"/>
      <c r="D362" s="184"/>
      <c r="E362" s="186"/>
      <c r="F362" s="186"/>
      <c r="G362" s="186"/>
      <c r="H362" s="187">
        <f>H23+H29+H33+H39+H42+H45+H55+H63+H75+H111+H136+H146+H157+H181+H189+H195+H204+H216+H225+H237+H246+H250+H269+H272+H275+H278+H281+H284+H287+H290+H293+H296+H299+H302+H312+H328+H343</f>
        <v>202287367</v>
      </c>
      <c r="I362" s="187">
        <f>I23+I29+I33+I39+I42+I45+I55+I63+I75+I111+I136+I146+I157+I181+I189+I195+I204+I216+I225+I237+I246+I250+I269+I272+I275+I278+I281+I284+I287+I290+I293+I296+I299+I302+I312+I328+I343</f>
        <v>115960583.55000001</v>
      </c>
      <c r="J362" s="187"/>
      <c r="K362" s="186"/>
      <c r="L362" s="186"/>
      <c r="M362" s="186"/>
    </row>
    <row r="363" spans="1:13" ht="16.8" x14ac:dyDescent="0.3">
      <c r="A363" s="183"/>
      <c r="B363" s="183"/>
      <c r="C363" s="183"/>
      <c r="D363" s="184"/>
      <c r="E363" s="186"/>
      <c r="F363" s="186"/>
      <c r="G363" s="186"/>
      <c r="H363" s="187">
        <f>H361-H362</f>
        <v>0</v>
      </c>
      <c r="I363" s="187">
        <f>I361-I362</f>
        <v>0</v>
      </c>
      <c r="J363" s="187"/>
      <c r="K363" s="186"/>
      <c r="L363" s="186"/>
      <c r="M363" s="186"/>
    </row>
    <row r="364" spans="1:13" ht="16.8" x14ac:dyDescent="0.3">
      <c r="A364" s="183"/>
      <c r="B364" s="183"/>
      <c r="C364" s="183"/>
      <c r="D364" s="184"/>
      <c r="E364" s="186"/>
      <c r="F364" s="186"/>
      <c r="G364" s="186"/>
      <c r="H364" s="187"/>
      <c r="I364" s="187"/>
      <c r="J364" s="187"/>
      <c r="K364" s="186"/>
      <c r="L364" s="186"/>
      <c r="M364" s="186"/>
    </row>
    <row r="365" spans="1:13" ht="16.8" x14ac:dyDescent="0.3">
      <c r="A365" s="183"/>
      <c r="B365" s="183"/>
      <c r="C365" s="183"/>
      <c r="D365" s="184"/>
      <c r="E365" s="184"/>
      <c r="F365" s="184"/>
      <c r="G365" s="184"/>
      <c r="H365" s="185"/>
      <c r="I365" s="185"/>
      <c r="J365" s="185"/>
      <c r="K365" s="184"/>
      <c r="L365" s="184"/>
      <c r="M365" s="184"/>
    </row>
    <row r="366" spans="1:13" ht="16.8" x14ac:dyDescent="0.3">
      <c r="A366" s="183"/>
      <c r="B366" s="183"/>
      <c r="C366" s="183"/>
      <c r="D366" s="184"/>
      <c r="E366" s="184"/>
      <c r="F366" s="184"/>
      <c r="G366" s="184"/>
      <c r="H366" s="185"/>
      <c r="I366" s="185"/>
      <c r="J366" s="185"/>
      <c r="K366" s="184"/>
      <c r="L366" s="184"/>
      <c r="M366" s="184"/>
    </row>
    <row r="367" spans="1:13" ht="16.8" x14ac:dyDescent="0.3">
      <c r="A367" s="183"/>
      <c r="B367" s="183"/>
      <c r="C367" s="183"/>
      <c r="D367" s="184"/>
      <c r="E367" s="184"/>
      <c r="F367" s="184"/>
      <c r="G367" s="184"/>
      <c r="H367" s="185"/>
      <c r="I367" s="185"/>
      <c r="J367" s="185"/>
      <c r="K367" s="184"/>
      <c r="L367" s="184"/>
      <c r="M367" s="184"/>
    </row>
    <row r="368" spans="1:13" ht="16.8" x14ac:dyDescent="0.3">
      <c r="A368" s="183"/>
      <c r="B368" s="183"/>
      <c r="C368" s="183"/>
      <c r="D368" s="184"/>
      <c r="E368" s="184"/>
      <c r="F368" s="184"/>
      <c r="G368" s="184"/>
      <c r="H368" s="185"/>
      <c r="I368" s="185"/>
      <c r="J368" s="185"/>
      <c r="K368" s="184"/>
      <c r="L368" s="184"/>
      <c r="M368" s="184"/>
    </row>
    <row r="369" spans="1:13" ht="16.8" x14ac:dyDescent="0.3">
      <c r="A369" s="183"/>
      <c r="B369" s="183"/>
      <c r="C369" s="183"/>
      <c r="D369" s="184"/>
      <c r="E369" s="184"/>
      <c r="F369" s="184"/>
      <c r="G369" s="184"/>
      <c r="H369" s="185"/>
      <c r="I369" s="185"/>
      <c r="J369" s="185"/>
      <c r="K369" s="184"/>
      <c r="L369" s="184"/>
      <c r="M369" s="184"/>
    </row>
  </sheetData>
  <mergeCells count="20">
    <mergeCell ref="K11:M11"/>
    <mergeCell ref="L12:L14"/>
    <mergeCell ref="M12:M14"/>
    <mergeCell ref="I12:I14"/>
    <mergeCell ref="H12:H14"/>
    <mergeCell ref="J12:J14"/>
    <mergeCell ref="K12:K14"/>
    <mergeCell ref="K4:L4"/>
    <mergeCell ref="A349:D349"/>
    <mergeCell ref="A7:K7"/>
    <mergeCell ref="A8:K8"/>
    <mergeCell ref="A11:A14"/>
    <mergeCell ref="B11:B14"/>
    <mergeCell ref="C11:C14"/>
    <mergeCell ref="D11:D14"/>
    <mergeCell ref="E11:G11"/>
    <mergeCell ref="E12:E14"/>
    <mergeCell ref="F12:F14"/>
    <mergeCell ref="G12:G14"/>
    <mergeCell ref="H11:J11"/>
  </mergeCells>
  <pageMargins left="1.1811023622047245" right="0.39370078740157483" top="0.78740157480314965" bottom="0.59055118110236227" header="0.31496062992125984" footer="0.31496062992125984"/>
  <pageSetup paperSize="9"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5"/>
  <sheetViews>
    <sheetView view="pageBreakPreview" topLeftCell="A4" zoomScale="80" zoomScaleNormal="40" zoomScaleSheetLayoutView="80" workbookViewId="0">
      <selection activeCell="G3" sqref="G3:H4"/>
    </sheetView>
  </sheetViews>
  <sheetFormatPr defaultRowHeight="13.2" x14ac:dyDescent="0.25"/>
  <cols>
    <col min="1" max="1" width="18.33203125" style="291" customWidth="1"/>
    <col min="2" max="2" width="11.6640625" style="291" customWidth="1"/>
    <col min="3" max="3" width="13.109375" style="291" customWidth="1"/>
    <col min="4" max="4" width="69.6640625" style="291" customWidth="1"/>
    <col min="5" max="5" width="13" style="291" customWidth="1"/>
    <col min="6" max="7" width="8.88671875" style="291"/>
    <col min="8" max="8" width="13.6640625" style="291" customWidth="1"/>
    <col min="9" max="9" width="14.109375" style="291" customWidth="1"/>
    <col min="10" max="11" width="8.88671875" style="291"/>
    <col min="12" max="12" width="13.33203125" style="291" customWidth="1"/>
    <col min="13" max="256" width="8.88671875" style="291"/>
    <col min="257" max="257" width="18.33203125" style="291" customWidth="1"/>
    <col min="258" max="258" width="11.6640625" style="291" customWidth="1"/>
    <col min="259" max="259" width="13.109375" style="291" customWidth="1"/>
    <col min="260" max="260" width="69.6640625" style="291" customWidth="1"/>
    <col min="261" max="261" width="13" style="291" customWidth="1"/>
    <col min="262" max="263" width="8.88671875" style="291"/>
    <col min="264" max="264" width="13.6640625" style="291" customWidth="1"/>
    <col min="265" max="265" width="14.109375" style="291" customWidth="1"/>
    <col min="266" max="267" width="8.88671875" style="291"/>
    <col min="268" max="268" width="13.33203125" style="291" customWidth="1"/>
    <col min="269" max="512" width="8.88671875" style="291"/>
    <col min="513" max="513" width="18.33203125" style="291" customWidth="1"/>
    <col min="514" max="514" width="11.6640625" style="291" customWidth="1"/>
    <col min="515" max="515" width="13.109375" style="291" customWidth="1"/>
    <col min="516" max="516" width="69.6640625" style="291" customWidth="1"/>
    <col min="517" max="517" width="13" style="291" customWidth="1"/>
    <col min="518" max="519" width="8.88671875" style="291"/>
    <col min="520" max="520" width="13.6640625" style="291" customWidth="1"/>
    <col min="521" max="521" width="14.109375" style="291" customWidth="1"/>
    <col min="522" max="523" width="8.88671875" style="291"/>
    <col min="524" max="524" width="13.33203125" style="291" customWidth="1"/>
    <col min="525" max="768" width="8.88671875" style="291"/>
    <col min="769" max="769" width="18.33203125" style="291" customWidth="1"/>
    <col min="770" max="770" width="11.6640625" style="291" customWidth="1"/>
    <col min="771" max="771" width="13.109375" style="291" customWidth="1"/>
    <col min="772" max="772" width="69.6640625" style="291" customWidth="1"/>
    <col min="773" max="773" width="13" style="291" customWidth="1"/>
    <col min="774" max="775" width="8.88671875" style="291"/>
    <col min="776" max="776" width="13.6640625" style="291" customWidth="1"/>
    <col min="777" max="777" width="14.109375" style="291" customWidth="1"/>
    <col min="778" max="779" width="8.88671875" style="291"/>
    <col min="780" max="780" width="13.33203125" style="291" customWidth="1"/>
    <col min="781" max="1024" width="8.88671875" style="291"/>
    <col min="1025" max="1025" width="18.33203125" style="291" customWidth="1"/>
    <col min="1026" max="1026" width="11.6640625" style="291" customWidth="1"/>
    <col min="1027" max="1027" width="13.109375" style="291" customWidth="1"/>
    <col min="1028" max="1028" width="69.6640625" style="291" customWidth="1"/>
    <col min="1029" max="1029" width="13" style="291" customWidth="1"/>
    <col min="1030" max="1031" width="8.88671875" style="291"/>
    <col min="1032" max="1032" width="13.6640625" style="291" customWidth="1"/>
    <col min="1033" max="1033" width="14.109375" style="291" customWidth="1"/>
    <col min="1034" max="1035" width="8.88671875" style="291"/>
    <col min="1036" max="1036" width="13.33203125" style="291" customWidth="1"/>
    <col min="1037" max="1280" width="8.88671875" style="291"/>
    <col min="1281" max="1281" width="18.33203125" style="291" customWidth="1"/>
    <col min="1282" max="1282" width="11.6640625" style="291" customWidth="1"/>
    <col min="1283" max="1283" width="13.109375" style="291" customWidth="1"/>
    <col min="1284" max="1284" width="69.6640625" style="291" customWidth="1"/>
    <col min="1285" max="1285" width="13" style="291" customWidth="1"/>
    <col min="1286" max="1287" width="8.88671875" style="291"/>
    <col min="1288" max="1288" width="13.6640625" style="291" customWidth="1"/>
    <col min="1289" max="1289" width="14.109375" style="291" customWidth="1"/>
    <col min="1290" max="1291" width="8.88671875" style="291"/>
    <col min="1292" max="1292" width="13.33203125" style="291" customWidth="1"/>
    <col min="1293" max="1536" width="8.88671875" style="291"/>
    <col min="1537" max="1537" width="18.33203125" style="291" customWidth="1"/>
    <col min="1538" max="1538" width="11.6640625" style="291" customWidth="1"/>
    <col min="1539" max="1539" width="13.109375" style="291" customWidth="1"/>
    <col min="1540" max="1540" width="69.6640625" style="291" customWidth="1"/>
    <col min="1541" max="1541" width="13" style="291" customWidth="1"/>
    <col min="1542" max="1543" width="8.88671875" style="291"/>
    <col min="1544" max="1544" width="13.6640625" style="291" customWidth="1"/>
    <col min="1545" max="1545" width="14.109375" style="291" customWidth="1"/>
    <col min="1546" max="1547" width="8.88671875" style="291"/>
    <col min="1548" max="1548" width="13.33203125" style="291" customWidth="1"/>
    <col min="1549" max="1792" width="8.88671875" style="291"/>
    <col min="1793" max="1793" width="18.33203125" style="291" customWidth="1"/>
    <col min="1794" max="1794" width="11.6640625" style="291" customWidth="1"/>
    <col min="1795" max="1795" width="13.109375" style="291" customWidth="1"/>
    <col min="1796" max="1796" width="69.6640625" style="291" customWidth="1"/>
    <col min="1797" max="1797" width="13" style="291" customWidth="1"/>
    <col min="1798" max="1799" width="8.88671875" style="291"/>
    <col min="1800" max="1800" width="13.6640625" style="291" customWidth="1"/>
    <col min="1801" max="1801" width="14.109375" style="291" customWidth="1"/>
    <col min="1802" max="1803" width="8.88671875" style="291"/>
    <col min="1804" max="1804" width="13.33203125" style="291" customWidth="1"/>
    <col min="1805" max="2048" width="8.88671875" style="291"/>
    <col min="2049" max="2049" width="18.33203125" style="291" customWidth="1"/>
    <col min="2050" max="2050" width="11.6640625" style="291" customWidth="1"/>
    <col min="2051" max="2051" width="13.109375" style="291" customWidth="1"/>
    <col min="2052" max="2052" width="69.6640625" style="291" customWidth="1"/>
    <col min="2053" max="2053" width="13" style="291" customWidth="1"/>
    <col min="2054" max="2055" width="8.88671875" style="291"/>
    <col min="2056" max="2056" width="13.6640625" style="291" customWidth="1"/>
    <col min="2057" max="2057" width="14.109375" style="291" customWidth="1"/>
    <col min="2058" max="2059" width="8.88671875" style="291"/>
    <col min="2060" max="2060" width="13.33203125" style="291" customWidth="1"/>
    <col min="2061" max="2304" width="8.88671875" style="291"/>
    <col min="2305" max="2305" width="18.33203125" style="291" customWidth="1"/>
    <col min="2306" max="2306" width="11.6640625" style="291" customWidth="1"/>
    <col min="2307" max="2307" width="13.109375" style="291" customWidth="1"/>
    <col min="2308" max="2308" width="69.6640625" style="291" customWidth="1"/>
    <col min="2309" max="2309" width="13" style="291" customWidth="1"/>
    <col min="2310" max="2311" width="8.88671875" style="291"/>
    <col min="2312" max="2312" width="13.6640625" style="291" customWidth="1"/>
    <col min="2313" max="2313" width="14.109375" style="291" customWidth="1"/>
    <col min="2314" max="2315" width="8.88671875" style="291"/>
    <col min="2316" max="2316" width="13.33203125" style="291" customWidth="1"/>
    <col min="2317" max="2560" width="8.88671875" style="291"/>
    <col min="2561" max="2561" width="18.33203125" style="291" customWidth="1"/>
    <col min="2562" max="2562" width="11.6640625" style="291" customWidth="1"/>
    <col min="2563" max="2563" width="13.109375" style="291" customWidth="1"/>
    <col min="2564" max="2564" width="69.6640625" style="291" customWidth="1"/>
    <col min="2565" max="2565" width="13" style="291" customWidth="1"/>
    <col min="2566" max="2567" width="8.88671875" style="291"/>
    <col min="2568" max="2568" width="13.6640625" style="291" customWidth="1"/>
    <col min="2569" max="2569" width="14.109375" style="291" customWidth="1"/>
    <col min="2570" max="2571" width="8.88671875" style="291"/>
    <col min="2572" max="2572" width="13.33203125" style="291" customWidth="1"/>
    <col min="2573" max="2816" width="8.88671875" style="291"/>
    <col min="2817" max="2817" width="18.33203125" style="291" customWidth="1"/>
    <col min="2818" max="2818" width="11.6640625" style="291" customWidth="1"/>
    <col min="2819" max="2819" width="13.109375" style="291" customWidth="1"/>
    <col min="2820" max="2820" width="69.6640625" style="291" customWidth="1"/>
    <col min="2821" max="2821" width="13" style="291" customWidth="1"/>
    <col min="2822" max="2823" width="8.88671875" style="291"/>
    <col min="2824" max="2824" width="13.6640625" style="291" customWidth="1"/>
    <col min="2825" max="2825" width="14.109375" style="291" customWidth="1"/>
    <col min="2826" max="2827" width="8.88671875" style="291"/>
    <col min="2828" max="2828" width="13.33203125" style="291" customWidth="1"/>
    <col min="2829" max="3072" width="8.88671875" style="291"/>
    <col min="3073" max="3073" width="18.33203125" style="291" customWidth="1"/>
    <col min="3074" max="3074" width="11.6640625" style="291" customWidth="1"/>
    <col min="3075" max="3075" width="13.109375" style="291" customWidth="1"/>
    <col min="3076" max="3076" width="69.6640625" style="291" customWidth="1"/>
    <col min="3077" max="3077" width="13" style="291" customWidth="1"/>
    <col min="3078" max="3079" width="8.88671875" style="291"/>
    <col min="3080" max="3080" width="13.6640625" style="291" customWidth="1"/>
    <col min="3081" max="3081" width="14.109375" style="291" customWidth="1"/>
    <col min="3082" max="3083" width="8.88671875" style="291"/>
    <col min="3084" max="3084" width="13.33203125" style="291" customWidth="1"/>
    <col min="3085" max="3328" width="8.88671875" style="291"/>
    <col min="3329" max="3329" width="18.33203125" style="291" customWidth="1"/>
    <col min="3330" max="3330" width="11.6640625" style="291" customWidth="1"/>
    <col min="3331" max="3331" width="13.109375" style="291" customWidth="1"/>
    <col min="3332" max="3332" width="69.6640625" style="291" customWidth="1"/>
    <col min="3333" max="3333" width="13" style="291" customWidth="1"/>
    <col min="3334" max="3335" width="8.88671875" style="291"/>
    <col min="3336" max="3336" width="13.6640625" style="291" customWidth="1"/>
    <col min="3337" max="3337" width="14.109375" style="291" customWidth="1"/>
    <col min="3338" max="3339" width="8.88671875" style="291"/>
    <col min="3340" max="3340" width="13.33203125" style="291" customWidth="1"/>
    <col min="3341" max="3584" width="8.88671875" style="291"/>
    <col min="3585" max="3585" width="18.33203125" style="291" customWidth="1"/>
    <col min="3586" max="3586" width="11.6640625" style="291" customWidth="1"/>
    <col min="3587" max="3587" width="13.109375" style="291" customWidth="1"/>
    <col min="3588" max="3588" width="69.6640625" style="291" customWidth="1"/>
    <col min="3589" max="3589" width="13" style="291" customWidth="1"/>
    <col min="3590" max="3591" width="8.88671875" style="291"/>
    <col min="3592" max="3592" width="13.6640625" style="291" customWidth="1"/>
    <col min="3593" max="3593" width="14.109375" style="291" customWidth="1"/>
    <col min="3594" max="3595" width="8.88671875" style="291"/>
    <col min="3596" max="3596" width="13.33203125" style="291" customWidth="1"/>
    <col min="3597" max="3840" width="8.88671875" style="291"/>
    <col min="3841" max="3841" width="18.33203125" style="291" customWidth="1"/>
    <col min="3842" max="3842" width="11.6640625" style="291" customWidth="1"/>
    <col min="3843" max="3843" width="13.109375" style="291" customWidth="1"/>
    <col min="3844" max="3844" width="69.6640625" style="291" customWidth="1"/>
    <col min="3845" max="3845" width="13" style="291" customWidth="1"/>
    <col min="3846" max="3847" width="8.88671875" style="291"/>
    <col min="3848" max="3848" width="13.6640625" style="291" customWidth="1"/>
    <col min="3849" max="3849" width="14.109375" style="291" customWidth="1"/>
    <col min="3850" max="3851" width="8.88671875" style="291"/>
    <col min="3852" max="3852" width="13.33203125" style="291" customWidth="1"/>
    <col min="3853" max="4096" width="8.88671875" style="291"/>
    <col min="4097" max="4097" width="18.33203125" style="291" customWidth="1"/>
    <col min="4098" max="4098" width="11.6640625" style="291" customWidth="1"/>
    <col min="4099" max="4099" width="13.109375" style="291" customWidth="1"/>
    <col min="4100" max="4100" width="69.6640625" style="291" customWidth="1"/>
    <col min="4101" max="4101" width="13" style="291" customWidth="1"/>
    <col min="4102" max="4103" width="8.88671875" style="291"/>
    <col min="4104" max="4104" width="13.6640625" style="291" customWidth="1"/>
    <col min="4105" max="4105" width="14.109375" style="291" customWidth="1"/>
    <col min="4106" max="4107" width="8.88671875" style="291"/>
    <col min="4108" max="4108" width="13.33203125" style="291" customWidth="1"/>
    <col min="4109" max="4352" width="8.88671875" style="291"/>
    <col min="4353" max="4353" width="18.33203125" style="291" customWidth="1"/>
    <col min="4354" max="4354" width="11.6640625" style="291" customWidth="1"/>
    <col min="4355" max="4355" width="13.109375" style="291" customWidth="1"/>
    <col min="4356" max="4356" width="69.6640625" style="291" customWidth="1"/>
    <col min="4357" max="4357" width="13" style="291" customWidth="1"/>
    <col min="4358" max="4359" width="8.88671875" style="291"/>
    <col min="4360" max="4360" width="13.6640625" style="291" customWidth="1"/>
    <col min="4361" max="4361" width="14.109375" style="291" customWidth="1"/>
    <col min="4362" max="4363" width="8.88671875" style="291"/>
    <col min="4364" max="4364" width="13.33203125" style="291" customWidth="1"/>
    <col min="4365" max="4608" width="8.88671875" style="291"/>
    <col min="4609" max="4609" width="18.33203125" style="291" customWidth="1"/>
    <col min="4610" max="4610" width="11.6640625" style="291" customWidth="1"/>
    <col min="4611" max="4611" width="13.109375" style="291" customWidth="1"/>
    <col min="4612" max="4612" width="69.6640625" style="291" customWidth="1"/>
    <col min="4613" max="4613" width="13" style="291" customWidth="1"/>
    <col min="4614" max="4615" width="8.88671875" style="291"/>
    <col min="4616" max="4616" width="13.6640625" style="291" customWidth="1"/>
    <col min="4617" max="4617" width="14.109375" style="291" customWidth="1"/>
    <col min="4618" max="4619" width="8.88671875" style="291"/>
    <col min="4620" max="4620" width="13.33203125" style="291" customWidth="1"/>
    <col min="4621" max="4864" width="8.88671875" style="291"/>
    <col min="4865" max="4865" width="18.33203125" style="291" customWidth="1"/>
    <col min="4866" max="4866" width="11.6640625" style="291" customWidth="1"/>
    <col min="4867" max="4867" width="13.109375" style="291" customWidth="1"/>
    <col min="4868" max="4868" width="69.6640625" style="291" customWidth="1"/>
    <col min="4869" max="4869" width="13" style="291" customWidth="1"/>
    <col min="4870" max="4871" width="8.88671875" style="291"/>
    <col min="4872" max="4872" width="13.6640625" style="291" customWidth="1"/>
    <col min="4873" max="4873" width="14.109375" style="291" customWidth="1"/>
    <col min="4874" max="4875" width="8.88671875" style="291"/>
    <col min="4876" max="4876" width="13.33203125" style="291" customWidth="1"/>
    <col min="4877" max="5120" width="8.88671875" style="291"/>
    <col min="5121" max="5121" width="18.33203125" style="291" customWidth="1"/>
    <col min="5122" max="5122" width="11.6640625" style="291" customWidth="1"/>
    <col min="5123" max="5123" width="13.109375" style="291" customWidth="1"/>
    <col min="5124" max="5124" width="69.6640625" style="291" customWidth="1"/>
    <col min="5125" max="5125" width="13" style="291" customWidth="1"/>
    <col min="5126" max="5127" width="8.88671875" style="291"/>
    <col min="5128" max="5128" width="13.6640625" style="291" customWidth="1"/>
    <col min="5129" max="5129" width="14.109375" style="291" customWidth="1"/>
    <col min="5130" max="5131" width="8.88671875" style="291"/>
    <col min="5132" max="5132" width="13.33203125" style="291" customWidth="1"/>
    <col min="5133" max="5376" width="8.88671875" style="291"/>
    <col min="5377" max="5377" width="18.33203125" style="291" customWidth="1"/>
    <col min="5378" max="5378" width="11.6640625" style="291" customWidth="1"/>
    <col min="5379" max="5379" width="13.109375" style="291" customWidth="1"/>
    <col min="5380" max="5380" width="69.6640625" style="291" customWidth="1"/>
    <col min="5381" max="5381" width="13" style="291" customWidth="1"/>
    <col min="5382" max="5383" width="8.88671875" style="291"/>
    <col min="5384" max="5384" width="13.6640625" style="291" customWidth="1"/>
    <col min="5385" max="5385" width="14.109375" style="291" customWidth="1"/>
    <col min="5386" max="5387" width="8.88671875" style="291"/>
    <col min="5388" max="5388" width="13.33203125" style="291" customWidth="1"/>
    <col min="5389" max="5632" width="8.88671875" style="291"/>
    <col min="5633" max="5633" width="18.33203125" style="291" customWidth="1"/>
    <col min="5634" max="5634" width="11.6640625" style="291" customWidth="1"/>
    <col min="5635" max="5635" width="13.109375" style="291" customWidth="1"/>
    <col min="5636" max="5636" width="69.6640625" style="291" customWidth="1"/>
    <col min="5637" max="5637" width="13" style="291" customWidth="1"/>
    <col min="5638" max="5639" width="8.88671875" style="291"/>
    <col min="5640" max="5640" width="13.6640625" style="291" customWidth="1"/>
    <col min="5641" max="5641" width="14.109375" style="291" customWidth="1"/>
    <col min="5642" max="5643" width="8.88671875" style="291"/>
    <col min="5644" max="5644" width="13.33203125" style="291" customWidth="1"/>
    <col min="5645" max="5888" width="8.88671875" style="291"/>
    <col min="5889" max="5889" width="18.33203125" style="291" customWidth="1"/>
    <col min="5890" max="5890" width="11.6640625" style="291" customWidth="1"/>
    <col min="5891" max="5891" width="13.109375" style="291" customWidth="1"/>
    <col min="5892" max="5892" width="69.6640625" style="291" customWidth="1"/>
    <col min="5893" max="5893" width="13" style="291" customWidth="1"/>
    <col min="5894" max="5895" width="8.88671875" style="291"/>
    <col min="5896" max="5896" width="13.6640625" style="291" customWidth="1"/>
    <col min="5897" max="5897" width="14.109375" style="291" customWidth="1"/>
    <col min="5898" max="5899" width="8.88671875" style="291"/>
    <col min="5900" max="5900" width="13.33203125" style="291" customWidth="1"/>
    <col min="5901" max="6144" width="8.88671875" style="291"/>
    <col min="6145" max="6145" width="18.33203125" style="291" customWidth="1"/>
    <col min="6146" max="6146" width="11.6640625" style="291" customWidth="1"/>
    <col min="6147" max="6147" width="13.109375" style="291" customWidth="1"/>
    <col min="6148" max="6148" width="69.6640625" style="291" customWidth="1"/>
    <col min="6149" max="6149" width="13" style="291" customWidth="1"/>
    <col min="6150" max="6151" width="8.88671875" style="291"/>
    <col min="6152" max="6152" width="13.6640625" style="291" customWidth="1"/>
    <col min="6153" max="6153" width="14.109375" style="291" customWidth="1"/>
    <col min="6154" max="6155" width="8.88671875" style="291"/>
    <col min="6156" max="6156" width="13.33203125" style="291" customWidth="1"/>
    <col min="6157" max="6400" width="8.88671875" style="291"/>
    <col min="6401" max="6401" width="18.33203125" style="291" customWidth="1"/>
    <col min="6402" max="6402" width="11.6640625" style="291" customWidth="1"/>
    <col min="6403" max="6403" width="13.109375" style="291" customWidth="1"/>
    <col min="6404" max="6404" width="69.6640625" style="291" customWidth="1"/>
    <col min="6405" max="6405" width="13" style="291" customWidth="1"/>
    <col min="6406" max="6407" width="8.88671875" style="291"/>
    <col min="6408" max="6408" width="13.6640625" style="291" customWidth="1"/>
    <col min="6409" max="6409" width="14.109375" style="291" customWidth="1"/>
    <col min="6410" max="6411" width="8.88671875" style="291"/>
    <col min="6412" max="6412" width="13.33203125" style="291" customWidth="1"/>
    <col min="6413" max="6656" width="8.88671875" style="291"/>
    <col min="6657" max="6657" width="18.33203125" style="291" customWidth="1"/>
    <col min="6658" max="6658" width="11.6640625" style="291" customWidth="1"/>
    <col min="6659" max="6659" width="13.109375" style="291" customWidth="1"/>
    <col min="6660" max="6660" width="69.6640625" style="291" customWidth="1"/>
    <col min="6661" max="6661" width="13" style="291" customWidth="1"/>
    <col min="6662" max="6663" width="8.88671875" style="291"/>
    <col min="6664" max="6664" width="13.6640625" style="291" customWidth="1"/>
    <col min="6665" max="6665" width="14.109375" style="291" customWidth="1"/>
    <col min="6666" max="6667" width="8.88671875" style="291"/>
    <col min="6668" max="6668" width="13.33203125" style="291" customWidth="1"/>
    <col min="6669" max="6912" width="8.88671875" style="291"/>
    <col min="6913" max="6913" width="18.33203125" style="291" customWidth="1"/>
    <col min="6914" max="6914" width="11.6640625" style="291" customWidth="1"/>
    <col min="6915" max="6915" width="13.109375" style="291" customWidth="1"/>
    <col min="6916" max="6916" width="69.6640625" style="291" customWidth="1"/>
    <col min="6917" max="6917" width="13" style="291" customWidth="1"/>
    <col min="6918" max="6919" width="8.88671875" style="291"/>
    <col min="6920" max="6920" width="13.6640625" style="291" customWidth="1"/>
    <col min="6921" max="6921" width="14.109375" style="291" customWidth="1"/>
    <col min="6922" max="6923" width="8.88671875" style="291"/>
    <col min="6924" max="6924" width="13.33203125" style="291" customWidth="1"/>
    <col min="6925" max="7168" width="8.88671875" style="291"/>
    <col min="7169" max="7169" width="18.33203125" style="291" customWidth="1"/>
    <col min="7170" max="7170" width="11.6640625" style="291" customWidth="1"/>
    <col min="7171" max="7171" width="13.109375" style="291" customWidth="1"/>
    <col min="7172" max="7172" width="69.6640625" style="291" customWidth="1"/>
    <col min="7173" max="7173" width="13" style="291" customWidth="1"/>
    <col min="7174" max="7175" width="8.88671875" style="291"/>
    <col min="7176" max="7176" width="13.6640625" style="291" customWidth="1"/>
    <col min="7177" max="7177" width="14.109375" style="291" customWidth="1"/>
    <col min="7178" max="7179" width="8.88671875" style="291"/>
    <col min="7180" max="7180" width="13.33203125" style="291" customWidth="1"/>
    <col min="7181" max="7424" width="8.88671875" style="291"/>
    <col min="7425" max="7425" width="18.33203125" style="291" customWidth="1"/>
    <col min="7426" max="7426" width="11.6640625" style="291" customWidth="1"/>
    <col min="7427" max="7427" width="13.109375" style="291" customWidth="1"/>
    <col min="7428" max="7428" width="69.6640625" style="291" customWidth="1"/>
    <col min="7429" max="7429" width="13" style="291" customWidth="1"/>
    <col min="7430" max="7431" width="8.88671875" style="291"/>
    <col min="7432" max="7432" width="13.6640625" style="291" customWidth="1"/>
    <col min="7433" max="7433" width="14.109375" style="291" customWidth="1"/>
    <col min="7434" max="7435" width="8.88671875" style="291"/>
    <col min="7436" max="7436" width="13.33203125" style="291" customWidth="1"/>
    <col min="7437" max="7680" width="8.88671875" style="291"/>
    <col min="7681" max="7681" width="18.33203125" style="291" customWidth="1"/>
    <col min="7682" max="7682" width="11.6640625" style="291" customWidth="1"/>
    <col min="7683" max="7683" width="13.109375" style="291" customWidth="1"/>
    <col min="7684" max="7684" width="69.6640625" style="291" customWidth="1"/>
    <col min="7685" max="7685" width="13" style="291" customWidth="1"/>
    <col min="7686" max="7687" width="8.88671875" style="291"/>
    <col min="7688" max="7688" width="13.6640625" style="291" customWidth="1"/>
    <col min="7689" max="7689" width="14.109375" style="291" customWidth="1"/>
    <col min="7690" max="7691" width="8.88671875" style="291"/>
    <col min="7692" max="7692" width="13.33203125" style="291" customWidth="1"/>
    <col min="7693" max="7936" width="8.88671875" style="291"/>
    <col min="7937" max="7937" width="18.33203125" style="291" customWidth="1"/>
    <col min="7938" max="7938" width="11.6640625" style="291" customWidth="1"/>
    <col min="7939" max="7939" width="13.109375" style="291" customWidth="1"/>
    <col min="7940" max="7940" width="69.6640625" style="291" customWidth="1"/>
    <col min="7941" max="7941" width="13" style="291" customWidth="1"/>
    <col min="7942" max="7943" width="8.88671875" style="291"/>
    <col min="7944" max="7944" width="13.6640625" style="291" customWidth="1"/>
    <col min="7945" max="7945" width="14.109375" style="291" customWidth="1"/>
    <col min="7946" max="7947" width="8.88671875" style="291"/>
    <col min="7948" max="7948" width="13.33203125" style="291" customWidth="1"/>
    <col min="7949" max="8192" width="8.88671875" style="291"/>
    <col min="8193" max="8193" width="18.33203125" style="291" customWidth="1"/>
    <col min="8194" max="8194" width="11.6640625" style="291" customWidth="1"/>
    <col min="8195" max="8195" width="13.109375" style="291" customWidth="1"/>
    <col min="8196" max="8196" width="69.6640625" style="291" customWidth="1"/>
    <col min="8197" max="8197" width="13" style="291" customWidth="1"/>
    <col min="8198" max="8199" width="8.88671875" style="291"/>
    <col min="8200" max="8200" width="13.6640625" style="291" customWidth="1"/>
    <col min="8201" max="8201" width="14.109375" style="291" customWidth="1"/>
    <col min="8202" max="8203" width="8.88671875" style="291"/>
    <col min="8204" max="8204" width="13.33203125" style="291" customWidth="1"/>
    <col min="8205" max="8448" width="8.88671875" style="291"/>
    <col min="8449" max="8449" width="18.33203125" style="291" customWidth="1"/>
    <col min="8450" max="8450" width="11.6640625" style="291" customWidth="1"/>
    <col min="8451" max="8451" width="13.109375" style="291" customWidth="1"/>
    <col min="8452" max="8452" width="69.6640625" style="291" customWidth="1"/>
    <col min="8453" max="8453" width="13" style="291" customWidth="1"/>
    <col min="8454" max="8455" width="8.88671875" style="291"/>
    <col min="8456" max="8456" width="13.6640625" style="291" customWidth="1"/>
    <col min="8457" max="8457" width="14.109375" style="291" customWidth="1"/>
    <col min="8458" max="8459" width="8.88671875" style="291"/>
    <col min="8460" max="8460" width="13.33203125" style="291" customWidth="1"/>
    <col min="8461" max="8704" width="8.88671875" style="291"/>
    <col min="8705" max="8705" width="18.33203125" style="291" customWidth="1"/>
    <col min="8706" max="8706" width="11.6640625" style="291" customWidth="1"/>
    <col min="8707" max="8707" width="13.109375" style="291" customWidth="1"/>
    <col min="8708" max="8708" width="69.6640625" style="291" customWidth="1"/>
    <col min="8709" max="8709" width="13" style="291" customWidth="1"/>
    <col min="8710" max="8711" width="8.88671875" style="291"/>
    <col min="8712" max="8712" width="13.6640625" style="291" customWidth="1"/>
    <col min="8713" max="8713" width="14.109375" style="291" customWidth="1"/>
    <col min="8714" max="8715" width="8.88671875" style="291"/>
    <col min="8716" max="8716" width="13.33203125" style="291" customWidth="1"/>
    <col min="8717" max="8960" width="8.88671875" style="291"/>
    <col min="8961" max="8961" width="18.33203125" style="291" customWidth="1"/>
    <col min="8962" max="8962" width="11.6640625" style="291" customWidth="1"/>
    <col min="8963" max="8963" width="13.109375" style="291" customWidth="1"/>
    <col min="8964" max="8964" width="69.6640625" style="291" customWidth="1"/>
    <col min="8965" max="8965" width="13" style="291" customWidth="1"/>
    <col min="8966" max="8967" width="8.88671875" style="291"/>
    <col min="8968" max="8968" width="13.6640625" style="291" customWidth="1"/>
    <col min="8969" max="8969" width="14.109375" style="291" customWidth="1"/>
    <col min="8970" max="8971" width="8.88671875" style="291"/>
    <col min="8972" max="8972" width="13.33203125" style="291" customWidth="1"/>
    <col min="8973" max="9216" width="8.88671875" style="291"/>
    <col min="9217" max="9217" width="18.33203125" style="291" customWidth="1"/>
    <col min="9218" max="9218" width="11.6640625" style="291" customWidth="1"/>
    <col min="9219" max="9219" width="13.109375" style="291" customWidth="1"/>
    <col min="9220" max="9220" width="69.6640625" style="291" customWidth="1"/>
    <col min="9221" max="9221" width="13" style="291" customWidth="1"/>
    <col min="9222" max="9223" width="8.88671875" style="291"/>
    <col min="9224" max="9224" width="13.6640625" style="291" customWidth="1"/>
    <col min="9225" max="9225" width="14.109375" style="291" customWidth="1"/>
    <col min="9226" max="9227" width="8.88671875" style="291"/>
    <col min="9228" max="9228" width="13.33203125" style="291" customWidth="1"/>
    <col min="9229" max="9472" width="8.88671875" style="291"/>
    <col min="9473" max="9473" width="18.33203125" style="291" customWidth="1"/>
    <col min="9474" max="9474" width="11.6640625" style="291" customWidth="1"/>
    <col min="9475" max="9475" width="13.109375" style="291" customWidth="1"/>
    <col min="9476" max="9476" width="69.6640625" style="291" customWidth="1"/>
    <col min="9477" max="9477" width="13" style="291" customWidth="1"/>
    <col min="9478" max="9479" width="8.88671875" style="291"/>
    <col min="9480" max="9480" width="13.6640625" style="291" customWidth="1"/>
    <col min="9481" max="9481" width="14.109375" style="291" customWidth="1"/>
    <col min="9482" max="9483" width="8.88671875" style="291"/>
    <col min="9484" max="9484" width="13.33203125" style="291" customWidth="1"/>
    <col min="9485" max="9728" width="8.88671875" style="291"/>
    <col min="9729" max="9729" width="18.33203125" style="291" customWidth="1"/>
    <col min="9730" max="9730" width="11.6640625" style="291" customWidth="1"/>
    <col min="9731" max="9731" width="13.109375" style="291" customWidth="1"/>
    <col min="9732" max="9732" width="69.6640625" style="291" customWidth="1"/>
    <col min="9733" max="9733" width="13" style="291" customWidth="1"/>
    <col min="9734" max="9735" width="8.88671875" style="291"/>
    <col min="9736" max="9736" width="13.6640625" style="291" customWidth="1"/>
    <col min="9737" max="9737" width="14.109375" style="291" customWidth="1"/>
    <col min="9738" max="9739" width="8.88671875" style="291"/>
    <col min="9740" max="9740" width="13.33203125" style="291" customWidth="1"/>
    <col min="9741" max="9984" width="8.88671875" style="291"/>
    <col min="9985" max="9985" width="18.33203125" style="291" customWidth="1"/>
    <col min="9986" max="9986" width="11.6640625" style="291" customWidth="1"/>
    <col min="9987" max="9987" width="13.109375" style="291" customWidth="1"/>
    <col min="9988" max="9988" width="69.6640625" style="291" customWidth="1"/>
    <col min="9989" max="9989" width="13" style="291" customWidth="1"/>
    <col min="9990" max="9991" width="8.88671875" style="291"/>
    <col min="9992" max="9992" width="13.6640625" style="291" customWidth="1"/>
    <col min="9993" max="9993" width="14.109375" style="291" customWidth="1"/>
    <col min="9994" max="9995" width="8.88671875" style="291"/>
    <col min="9996" max="9996" width="13.33203125" style="291" customWidth="1"/>
    <col min="9997" max="10240" width="8.88671875" style="291"/>
    <col min="10241" max="10241" width="18.33203125" style="291" customWidth="1"/>
    <col min="10242" max="10242" width="11.6640625" style="291" customWidth="1"/>
    <col min="10243" max="10243" width="13.109375" style="291" customWidth="1"/>
    <col min="10244" max="10244" width="69.6640625" style="291" customWidth="1"/>
    <col min="10245" max="10245" width="13" style="291" customWidth="1"/>
    <col min="10246" max="10247" width="8.88671875" style="291"/>
    <col min="10248" max="10248" width="13.6640625" style="291" customWidth="1"/>
    <col min="10249" max="10249" width="14.109375" style="291" customWidth="1"/>
    <col min="10250" max="10251" width="8.88671875" style="291"/>
    <col min="10252" max="10252" width="13.33203125" style="291" customWidth="1"/>
    <col min="10253" max="10496" width="8.88671875" style="291"/>
    <col min="10497" max="10497" width="18.33203125" style="291" customWidth="1"/>
    <col min="10498" max="10498" width="11.6640625" style="291" customWidth="1"/>
    <col min="10499" max="10499" width="13.109375" style="291" customWidth="1"/>
    <col min="10500" max="10500" width="69.6640625" style="291" customWidth="1"/>
    <col min="10501" max="10501" width="13" style="291" customWidth="1"/>
    <col min="10502" max="10503" width="8.88671875" style="291"/>
    <col min="10504" max="10504" width="13.6640625" style="291" customWidth="1"/>
    <col min="10505" max="10505" width="14.109375" style="291" customWidth="1"/>
    <col min="10506" max="10507" width="8.88671875" style="291"/>
    <col min="10508" max="10508" width="13.33203125" style="291" customWidth="1"/>
    <col min="10509" max="10752" width="8.88671875" style="291"/>
    <col min="10753" max="10753" width="18.33203125" style="291" customWidth="1"/>
    <col min="10754" max="10754" width="11.6640625" style="291" customWidth="1"/>
    <col min="10755" max="10755" width="13.109375" style="291" customWidth="1"/>
    <col min="10756" max="10756" width="69.6640625" style="291" customWidth="1"/>
    <col min="10757" max="10757" width="13" style="291" customWidth="1"/>
    <col min="10758" max="10759" width="8.88671875" style="291"/>
    <col min="10760" max="10760" width="13.6640625" style="291" customWidth="1"/>
    <col min="10761" max="10761" width="14.109375" style="291" customWidth="1"/>
    <col min="10762" max="10763" width="8.88671875" style="291"/>
    <col min="10764" max="10764" width="13.33203125" style="291" customWidth="1"/>
    <col min="10765" max="11008" width="8.88671875" style="291"/>
    <col min="11009" max="11009" width="18.33203125" style="291" customWidth="1"/>
    <col min="11010" max="11010" width="11.6640625" style="291" customWidth="1"/>
    <col min="11011" max="11011" width="13.109375" style="291" customWidth="1"/>
    <col min="11012" max="11012" width="69.6640625" style="291" customWidth="1"/>
    <col min="11013" max="11013" width="13" style="291" customWidth="1"/>
    <col min="11014" max="11015" width="8.88671875" style="291"/>
    <col min="11016" max="11016" width="13.6640625" style="291" customWidth="1"/>
    <col min="11017" max="11017" width="14.109375" style="291" customWidth="1"/>
    <col min="11018" max="11019" width="8.88671875" style="291"/>
    <col min="11020" max="11020" width="13.33203125" style="291" customWidth="1"/>
    <col min="11021" max="11264" width="8.88671875" style="291"/>
    <col min="11265" max="11265" width="18.33203125" style="291" customWidth="1"/>
    <col min="11266" max="11266" width="11.6640625" style="291" customWidth="1"/>
    <col min="11267" max="11267" width="13.109375" style="291" customWidth="1"/>
    <col min="11268" max="11268" width="69.6640625" style="291" customWidth="1"/>
    <col min="11269" max="11269" width="13" style="291" customWidth="1"/>
    <col min="11270" max="11271" width="8.88671875" style="291"/>
    <col min="11272" max="11272" width="13.6640625" style="291" customWidth="1"/>
    <col min="11273" max="11273" width="14.109375" style="291" customWidth="1"/>
    <col min="11274" max="11275" width="8.88671875" style="291"/>
    <col min="11276" max="11276" width="13.33203125" style="291" customWidth="1"/>
    <col min="11277" max="11520" width="8.88671875" style="291"/>
    <col min="11521" max="11521" width="18.33203125" style="291" customWidth="1"/>
    <col min="11522" max="11522" width="11.6640625" style="291" customWidth="1"/>
    <col min="11523" max="11523" width="13.109375" style="291" customWidth="1"/>
    <col min="11524" max="11524" width="69.6640625" style="291" customWidth="1"/>
    <col min="11525" max="11525" width="13" style="291" customWidth="1"/>
    <col min="11526" max="11527" width="8.88671875" style="291"/>
    <col min="11528" max="11528" width="13.6640625" style="291" customWidth="1"/>
    <col min="11529" max="11529" width="14.109375" style="291" customWidth="1"/>
    <col min="11530" max="11531" width="8.88671875" style="291"/>
    <col min="11532" max="11532" width="13.33203125" style="291" customWidth="1"/>
    <col min="11533" max="11776" width="8.88671875" style="291"/>
    <col min="11777" max="11777" width="18.33203125" style="291" customWidth="1"/>
    <col min="11778" max="11778" width="11.6640625" style="291" customWidth="1"/>
    <col min="11779" max="11779" width="13.109375" style="291" customWidth="1"/>
    <col min="11780" max="11780" width="69.6640625" style="291" customWidth="1"/>
    <col min="11781" max="11781" width="13" style="291" customWidth="1"/>
    <col min="11782" max="11783" width="8.88671875" style="291"/>
    <col min="11784" max="11784" width="13.6640625" style="291" customWidth="1"/>
    <col min="11785" max="11785" width="14.109375" style="291" customWidth="1"/>
    <col min="11786" max="11787" width="8.88671875" style="291"/>
    <col min="11788" max="11788" width="13.33203125" style="291" customWidth="1"/>
    <col min="11789" max="12032" width="8.88671875" style="291"/>
    <col min="12033" max="12033" width="18.33203125" style="291" customWidth="1"/>
    <col min="12034" max="12034" width="11.6640625" style="291" customWidth="1"/>
    <col min="12035" max="12035" width="13.109375" style="291" customWidth="1"/>
    <col min="12036" max="12036" width="69.6640625" style="291" customWidth="1"/>
    <col min="12037" max="12037" width="13" style="291" customWidth="1"/>
    <col min="12038" max="12039" width="8.88671875" style="291"/>
    <col min="12040" max="12040" width="13.6640625" style="291" customWidth="1"/>
    <col min="12041" max="12041" width="14.109375" style="291" customWidth="1"/>
    <col min="12042" max="12043" width="8.88671875" style="291"/>
    <col min="12044" max="12044" width="13.33203125" style="291" customWidth="1"/>
    <col min="12045" max="12288" width="8.88671875" style="291"/>
    <col min="12289" max="12289" width="18.33203125" style="291" customWidth="1"/>
    <col min="12290" max="12290" width="11.6640625" style="291" customWidth="1"/>
    <col min="12291" max="12291" width="13.109375" style="291" customWidth="1"/>
    <col min="12292" max="12292" width="69.6640625" style="291" customWidth="1"/>
    <col min="12293" max="12293" width="13" style="291" customWidth="1"/>
    <col min="12294" max="12295" width="8.88671875" style="291"/>
    <col min="12296" max="12296" width="13.6640625" style="291" customWidth="1"/>
    <col min="12297" max="12297" width="14.109375" style="291" customWidth="1"/>
    <col min="12298" max="12299" width="8.88671875" style="291"/>
    <col min="12300" max="12300" width="13.33203125" style="291" customWidth="1"/>
    <col min="12301" max="12544" width="8.88671875" style="291"/>
    <col min="12545" max="12545" width="18.33203125" style="291" customWidth="1"/>
    <col min="12546" max="12546" width="11.6640625" style="291" customWidth="1"/>
    <col min="12547" max="12547" width="13.109375" style="291" customWidth="1"/>
    <col min="12548" max="12548" width="69.6640625" style="291" customWidth="1"/>
    <col min="12549" max="12549" width="13" style="291" customWidth="1"/>
    <col min="12550" max="12551" width="8.88671875" style="291"/>
    <col min="12552" max="12552" width="13.6640625" style="291" customWidth="1"/>
    <col min="12553" max="12553" width="14.109375" style="291" customWidth="1"/>
    <col min="12554" max="12555" width="8.88671875" style="291"/>
    <col min="12556" max="12556" width="13.33203125" style="291" customWidth="1"/>
    <col min="12557" max="12800" width="8.88671875" style="291"/>
    <col min="12801" max="12801" width="18.33203125" style="291" customWidth="1"/>
    <col min="12802" max="12802" width="11.6640625" style="291" customWidth="1"/>
    <col min="12803" max="12803" width="13.109375" style="291" customWidth="1"/>
    <col min="12804" max="12804" width="69.6640625" style="291" customWidth="1"/>
    <col min="12805" max="12805" width="13" style="291" customWidth="1"/>
    <col min="12806" max="12807" width="8.88671875" style="291"/>
    <col min="12808" max="12808" width="13.6640625" style="291" customWidth="1"/>
    <col min="12809" max="12809" width="14.109375" style="291" customWidth="1"/>
    <col min="12810" max="12811" width="8.88671875" style="291"/>
    <col min="12812" max="12812" width="13.33203125" style="291" customWidth="1"/>
    <col min="12813" max="13056" width="8.88671875" style="291"/>
    <col min="13057" max="13057" width="18.33203125" style="291" customWidth="1"/>
    <col min="13058" max="13058" width="11.6640625" style="291" customWidth="1"/>
    <col min="13059" max="13059" width="13.109375" style="291" customWidth="1"/>
    <col min="13060" max="13060" width="69.6640625" style="291" customWidth="1"/>
    <col min="13061" max="13061" width="13" style="291" customWidth="1"/>
    <col min="13062" max="13063" width="8.88671875" style="291"/>
    <col min="13064" max="13064" width="13.6640625" style="291" customWidth="1"/>
    <col min="13065" max="13065" width="14.109375" style="291" customWidth="1"/>
    <col min="13066" max="13067" width="8.88671875" style="291"/>
    <col min="13068" max="13068" width="13.33203125" style="291" customWidth="1"/>
    <col min="13069" max="13312" width="8.88671875" style="291"/>
    <col min="13313" max="13313" width="18.33203125" style="291" customWidth="1"/>
    <col min="13314" max="13314" width="11.6640625" style="291" customWidth="1"/>
    <col min="13315" max="13315" width="13.109375" style="291" customWidth="1"/>
    <col min="13316" max="13316" width="69.6640625" style="291" customWidth="1"/>
    <col min="13317" max="13317" width="13" style="291" customWidth="1"/>
    <col min="13318" max="13319" width="8.88671875" style="291"/>
    <col min="13320" max="13320" width="13.6640625" style="291" customWidth="1"/>
    <col min="13321" max="13321" width="14.109375" style="291" customWidth="1"/>
    <col min="13322" max="13323" width="8.88671875" style="291"/>
    <col min="13324" max="13324" width="13.33203125" style="291" customWidth="1"/>
    <col min="13325" max="13568" width="8.88671875" style="291"/>
    <col min="13569" max="13569" width="18.33203125" style="291" customWidth="1"/>
    <col min="13570" max="13570" width="11.6640625" style="291" customWidth="1"/>
    <col min="13571" max="13571" width="13.109375" style="291" customWidth="1"/>
    <col min="13572" max="13572" width="69.6640625" style="291" customWidth="1"/>
    <col min="13573" max="13573" width="13" style="291" customWidth="1"/>
    <col min="13574" max="13575" width="8.88671875" style="291"/>
    <col min="13576" max="13576" width="13.6640625" style="291" customWidth="1"/>
    <col min="13577" max="13577" width="14.109375" style="291" customWidth="1"/>
    <col min="13578" max="13579" width="8.88671875" style="291"/>
    <col min="13580" max="13580" width="13.33203125" style="291" customWidth="1"/>
    <col min="13581" max="13824" width="8.88671875" style="291"/>
    <col min="13825" max="13825" width="18.33203125" style="291" customWidth="1"/>
    <col min="13826" max="13826" width="11.6640625" style="291" customWidth="1"/>
    <col min="13827" max="13827" width="13.109375" style="291" customWidth="1"/>
    <col min="13828" max="13828" width="69.6640625" style="291" customWidth="1"/>
    <col min="13829" max="13829" width="13" style="291" customWidth="1"/>
    <col min="13830" max="13831" width="8.88671875" style="291"/>
    <col min="13832" max="13832" width="13.6640625" style="291" customWidth="1"/>
    <col min="13833" max="13833" width="14.109375" style="291" customWidth="1"/>
    <col min="13834" max="13835" width="8.88671875" style="291"/>
    <col min="13836" max="13836" width="13.33203125" style="291" customWidth="1"/>
    <col min="13837" max="14080" width="8.88671875" style="291"/>
    <col min="14081" max="14081" width="18.33203125" style="291" customWidth="1"/>
    <col min="14082" max="14082" width="11.6640625" style="291" customWidth="1"/>
    <col min="14083" max="14083" width="13.109375" style="291" customWidth="1"/>
    <col min="14084" max="14084" width="69.6640625" style="291" customWidth="1"/>
    <col min="14085" max="14085" width="13" style="291" customWidth="1"/>
    <col min="14086" max="14087" width="8.88671875" style="291"/>
    <col min="14088" max="14088" width="13.6640625" style="291" customWidth="1"/>
    <col min="14089" max="14089" width="14.109375" style="291" customWidth="1"/>
    <col min="14090" max="14091" width="8.88671875" style="291"/>
    <col min="14092" max="14092" width="13.33203125" style="291" customWidth="1"/>
    <col min="14093" max="14336" width="8.88671875" style="291"/>
    <col min="14337" max="14337" width="18.33203125" style="291" customWidth="1"/>
    <col min="14338" max="14338" width="11.6640625" style="291" customWidth="1"/>
    <col min="14339" max="14339" width="13.109375" style="291" customWidth="1"/>
    <col min="14340" max="14340" width="69.6640625" style="291" customWidth="1"/>
    <col min="14341" max="14341" width="13" style="291" customWidth="1"/>
    <col min="14342" max="14343" width="8.88671875" style="291"/>
    <col min="14344" max="14344" width="13.6640625" style="291" customWidth="1"/>
    <col min="14345" max="14345" width="14.109375" style="291" customWidth="1"/>
    <col min="14346" max="14347" width="8.88671875" style="291"/>
    <col min="14348" max="14348" width="13.33203125" style="291" customWidth="1"/>
    <col min="14349" max="14592" width="8.88671875" style="291"/>
    <col min="14593" max="14593" width="18.33203125" style="291" customWidth="1"/>
    <col min="14594" max="14594" width="11.6640625" style="291" customWidth="1"/>
    <col min="14595" max="14595" width="13.109375" style="291" customWidth="1"/>
    <col min="14596" max="14596" width="69.6640625" style="291" customWidth="1"/>
    <col min="14597" max="14597" width="13" style="291" customWidth="1"/>
    <col min="14598" max="14599" width="8.88671875" style="291"/>
    <col min="14600" max="14600" width="13.6640625" style="291" customWidth="1"/>
    <col min="14601" max="14601" width="14.109375" style="291" customWidth="1"/>
    <col min="14602" max="14603" width="8.88671875" style="291"/>
    <col min="14604" max="14604" width="13.33203125" style="291" customWidth="1"/>
    <col min="14605" max="14848" width="8.88671875" style="291"/>
    <col min="14849" max="14849" width="18.33203125" style="291" customWidth="1"/>
    <col min="14850" max="14850" width="11.6640625" style="291" customWidth="1"/>
    <col min="14851" max="14851" width="13.109375" style="291" customWidth="1"/>
    <col min="14852" max="14852" width="69.6640625" style="291" customWidth="1"/>
    <col min="14853" max="14853" width="13" style="291" customWidth="1"/>
    <col min="14854" max="14855" width="8.88671875" style="291"/>
    <col min="14856" max="14856" width="13.6640625" style="291" customWidth="1"/>
    <col min="14857" max="14857" width="14.109375" style="291" customWidth="1"/>
    <col min="14858" max="14859" width="8.88671875" style="291"/>
    <col min="14860" max="14860" width="13.33203125" style="291" customWidth="1"/>
    <col min="14861" max="15104" width="8.88671875" style="291"/>
    <col min="15105" max="15105" width="18.33203125" style="291" customWidth="1"/>
    <col min="15106" max="15106" width="11.6640625" style="291" customWidth="1"/>
    <col min="15107" max="15107" width="13.109375" style="291" customWidth="1"/>
    <col min="15108" max="15108" width="69.6640625" style="291" customWidth="1"/>
    <col min="15109" max="15109" width="13" style="291" customWidth="1"/>
    <col min="15110" max="15111" width="8.88671875" style="291"/>
    <col min="15112" max="15112" width="13.6640625" style="291" customWidth="1"/>
    <col min="15113" max="15113" width="14.109375" style="291" customWidth="1"/>
    <col min="15114" max="15115" width="8.88671875" style="291"/>
    <col min="15116" max="15116" width="13.33203125" style="291" customWidth="1"/>
    <col min="15117" max="15360" width="8.88671875" style="291"/>
    <col min="15361" max="15361" width="18.33203125" style="291" customWidth="1"/>
    <col min="15362" max="15362" width="11.6640625" style="291" customWidth="1"/>
    <col min="15363" max="15363" width="13.109375" style="291" customWidth="1"/>
    <col min="15364" max="15364" width="69.6640625" style="291" customWidth="1"/>
    <col min="15365" max="15365" width="13" style="291" customWidth="1"/>
    <col min="15366" max="15367" width="8.88671875" style="291"/>
    <col min="15368" max="15368" width="13.6640625" style="291" customWidth="1"/>
    <col min="15369" max="15369" width="14.109375" style="291" customWidth="1"/>
    <col min="15370" max="15371" width="8.88671875" style="291"/>
    <col min="15372" max="15372" width="13.33203125" style="291" customWidth="1"/>
    <col min="15373" max="15616" width="8.88671875" style="291"/>
    <col min="15617" max="15617" width="18.33203125" style="291" customWidth="1"/>
    <col min="15618" max="15618" width="11.6640625" style="291" customWidth="1"/>
    <col min="15619" max="15619" width="13.109375" style="291" customWidth="1"/>
    <col min="15620" max="15620" width="69.6640625" style="291" customWidth="1"/>
    <col min="15621" max="15621" width="13" style="291" customWidth="1"/>
    <col min="15622" max="15623" width="8.88671875" style="291"/>
    <col min="15624" max="15624" width="13.6640625" style="291" customWidth="1"/>
    <col min="15625" max="15625" width="14.109375" style="291" customWidth="1"/>
    <col min="15626" max="15627" width="8.88671875" style="291"/>
    <col min="15628" max="15628" width="13.33203125" style="291" customWidth="1"/>
    <col min="15629" max="15872" width="8.88671875" style="291"/>
    <col min="15873" max="15873" width="18.33203125" style="291" customWidth="1"/>
    <col min="15874" max="15874" width="11.6640625" style="291" customWidth="1"/>
    <col min="15875" max="15875" width="13.109375" style="291" customWidth="1"/>
    <col min="15876" max="15876" width="69.6640625" style="291" customWidth="1"/>
    <col min="15877" max="15877" width="13" style="291" customWidth="1"/>
    <col min="15878" max="15879" width="8.88671875" style="291"/>
    <col min="15880" max="15880" width="13.6640625" style="291" customWidth="1"/>
    <col min="15881" max="15881" width="14.109375" style="291" customWidth="1"/>
    <col min="15882" max="15883" width="8.88671875" style="291"/>
    <col min="15884" max="15884" width="13.33203125" style="291" customWidth="1"/>
    <col min="15885" max="16128" width="8.88671875" style="291"/>
    <col min="16129" max="16129" width="18.33203125" style="291" customWidth="1"/>
    <col min="16130" max="16130" width="11.6640625" style="291" customWidth="1"/>
    <col min="16131" max="16131" width="13.109375" style="291" customWidth="1"/>
    <col min="16132" max="16132" width="69.6640625" style="291" customWidth="1"/>
    <col min="16133" max="16133" width="13" style="291" customWidth="1"/>
    <col min="16134" max="16135" width="8.88671875" style="291"/>
    <col min="16136" max="16136" width="13.6640625" style="291" customWidth="1"/>
    <col min="16137" max="16137" width="14.109375" style="291" customWidth="1"/>
    <col min="16138" max="16139" width="8.88671875" style="291"/>
    <col min="16140" max="16140" width="13.33203125" style="291" customWidth="1"/>
    <col min="16141" max="16384" width="8.88671875" style="291"/>
  </cols>
  <sheetData>
    <row r="1" spans="1:12" ht="15.6" x14ac:dyDescent="0.25">
      <c r="G1" s="292" t="s">
        <v>486</v>
      </c>
      <c r="H1" s="293"/>
      <c r="I1" s="294"/>
    </row>
    <row r="2" spans="1:12" ht="15.6" x14ac:dyDescent="0.3">
      <c r="G2" s="295" t="s">
        <v>725</v>
      </c>
      <c r="H2" s="296"/>
      <c r="I2" s="293"/>
    </row>
    <row r="3" spans="1:12" ht="15.6" x14ac:dyDescent="0.3">
      <c r="G3" s="6" t="s">
        <v>736</v>
      </c>
      <c r="H3" s="6"/>
      <c r="I3" s="297"/>
    </row>
    <row r="4" spans="1:12" ht="15.6" x14ac:dyDescent="0.3">
      <c r="G4" s="1074" t="s">
        <v>737</v>
      </c>
      <c r="H4" s="1074"/>
      <c r="I4" s="298"/>
    </row>
    <row r="7" spans="1:12" ht="17.399999999999999" x14ac:dyDescent="0.25">
      <c r="C7" s="1121" t="s">
        <v>424</v>
      </c>
      <c r="D7" s="1121"/>
      <c r="E7" s="1121"/>
      <c r="F7" s="1121"/>
      <c r="G7" s="1121"/>
      <c r="H7" s="299"/>
      <c r="I7" s="299"/>
    </row>
    <row r="8" spans="1:12" ht="13.95" customHeight="1" x14ac:dyDescent="0.25">
      <c r="B8" s="1121" t="s">
        <v>497</v>
      </c>
      <c r="C8" s="1121"/>
      <c r="D8" s="1121"/>
      <c r="E8" s="1121"/>
      <c r="F8" s="1121"/>
      <c r="G8" s="1121"/>
      <c r="H8" s="1121"/>
      <c r="I8" s="299"/>
    </row>
    <row r="9" spans="1:12" ht="13.95" customHeight="1" x14ac:dyDescent="0.25">
      <c r="B9" s="300"/>
      <c r="C9" s="300"/>
      <c r="D9" s="300"/>
      <c r="E9" s="300"/>
      <c r="F9" s="300"/>
      <c r="G9" s="300"/>
      <c r="H9" s="300"/>
      <c r="I9" s="300"/>
    </row>
    <row r="10" spans="1:12" s="301" customFormat="1" ht="15.6" x14ac:dyDescent="0.3">
      <c r="A10" s="1122">
        <v>1559100000</v>
      </c>
      <c r="B10" s="1122"/>
    </row>
    <row r="11" spans="1:12" s="301" customFormat="1" ht="15.6" x14ac:dyDescent="0.3">
      <c r="A11" s="302" t="s">
        <v>0</v>
      </c>
      <c r="B11" s="302"/>
    </row>
    <row r="12" spans="1:12" ht="16.2" thickBot="1" x14ac:dyDescent="0.3">
      <c r="I12" s="294" t="s">
        <v>268</v>
      </c>
    </row>
    <row r="13" spans="1:12" ht="15.6" x14ac:dyDescent="0.25">
      <c r="A13" s="1123" t="s">
        <v>8</v>
      </c>
      <c r="B13" s="1126" t="s">
        <v>9</v>
      </c>
      <c r="C13" s="1126" t="s">
        <v>10</v>
      </c>
      <c r="D13" s="1129" t="s">
        <v>425</v>
      </c>
      <c r="E13" s="1132" t="s">
        <v>426</v>
      </c>
      <c r="F13" s="1133"/>
      <c r="G13" s="1133"/>
      <c r="H13" s="1133"/>
      <c r="I13" s="1133"/>
      <c r="J13" s="1133"/>
      <c r="K13" s="1133"/>
      <c r="L13" s="1134"/>
    </row>
    <row r="14" spans="1:12" ht="62.4" customHeight="1" x14ac:dyDescent="0.3">
      <c r="A14" s="1124"/>
      <c r="B14" s="1127"/>
      <c r="C14" s="1127"/>
      <c r="D14" s="1130"/>
      <c r="E14" s="1135" t="s">
        <v>487</v>
      </c>
      <c r="F14" s="1135"/>
      <c r="G14" s="1135"/>
      <c r="H14" s="1135"/>
      <c r="I14" s="1136" t="s">
        <v>640</v>
      </c>
      <c r="J14" s="1137"/>
      <c r="K14" s="1137"/>
      <c r="L14" s="1138"/>
    </row>
    <row r="15" spans="1:12" ht="31.2" customHeight="1" x14ac:dyDescent="0.25">
      <c r="A15" s="1124"/>
      <c r="B15" s="1127"/>
      <c r="C15" s="1127"/>
      <c r="D15" s="1130"/>
      <c r="E15" s="1140" t="s">
        <v>427</v>
      </c>
      <c r="F15" s="1117" t="s">
        <v>428</v>
      </c>
      <c r="G15" s="1118"/>
      <c r="H15" s="1140" t="s">
        <v>429</v>
      </c>
      <c r="I15" s="1140" t="s">
        <v>427</v>
      </c>
      <c r="J15" s="1117" t="s">
        <v>428</v>
      </c>
      <c r="K15" s="1118"/>
      <c r="L15" s="1119" t="s">
        <v>429</v>
      </c>
    </row>
    <row r="16" spans="1:12" ht="96.6" customHeight="1" thickBot="1" x14ac:dyDescent="0.3">
      <c r="A16" s="1125"/>
      <c r="B16" s="1128"/>
      <c r="C16" s="1128"/>
      <c r="D16" s="1131"/>
      <c r="E16" s="1141"/>
      <c r="F16" s="487" t="s">
        <v>4</v>
      </c>
      <c r="G16" s="487" t="s">
        <v>5</v>
      </c>
      <c r="H16" s="1141"/>
      <c r="I16" s="1141"/>
      <c r="J16" s="487" t="s">
        <v>4</v>
      </c>
      <c r="K16" s="487" t="s">
        <v>5</v>
      </c>
      <c r="L16" s="1120"/>
    </row>
    <row r="17" spans="1:12" ht="16.2" thickBot="1" x14ac:dyDescent="0.3">
      <c r="A17" s="303">
        <v>1</v>
      </c>
      <c r="B17" s="304">
        <v>2</v>
      </c>
      <c r="C17" s="304">
        <v>3</v>
      </c>
      <c r="D17" s="304">
        <v>4</v>
      </c>
      <c r="E17" s="304">
        <v>5</v>
      </c>
      <c r="F17" s="304">
        <v>6</v>
      </c>
      <c r="G17" s="304">
        <v>7</v>
      </c>
      <c r="H17" s="304">
        <v>8</v>
      </c>
      <c r="I17" s="305">
        <v>9</v>
      </c>
      <c r="J17" s="305">
        <v>10</v>
      </c>
      <c r="K17" s="305">
        <v>11</v>
      </c>
      <c r="L17" s="306">
        <v>12</v>
      </c>
    </row>
    <row r="18" spans="1:12" s="312" customFormat="1" ht="31.8" thickBot="1" x14ac:dyDescent="0.35">
      <c r="A18" s="307">
        <v>1200000</v>
      </c>
      <c r="B18" s="308"/>
      <c r="C18" s="308"/>
      <c r="D18" s="309" t="s">
        <v>126</v>
      </c>
      <c r="E18" s="310">
        <f t="shared" ref="E18:G19" si="0">E19</f>
        <v>-4000000</v>
      </c>
      <c r="F18" s="310">
        <f t="shared" si="0"/>
        <v>0</v>
      </c>
      <c r="G18" s="310">
        <f t="shared" si="0"/>
        <v>0</v>
      </c>
      <c r="H18" s="310">
        <f>E18</f>
        <v>-4000000</v>
      </c>
      <c r="I18" s="311">
        <f>I19</f>
        <v>-4000000</v>
      </c>
      <c r="J18" s="311">
        <f t="shared" ref="J18:K20" si="1">J19</f>
        <v>0</v>
      </c>
      <c r="K18" s="311">
        <f t="shared" si="1"/>
        <v>0</v>
      </c>
      <c r="L18" s="501">
        <f>I18</f>
        <v>-4000000</v>
      </c>
    </row>
    <row r="19" spans="1:12" s="318" customFormat="1" ht="45" customHeight="1" x14ac:dyDescent="0.3">
      <c r="A19" s="313">
        <v>1210000</v>
      </c>
      <c r="B19" s="314"/>
      <c r="C19" s="314"/>
      <c r="D19" s="315" t="s">
        <v>126</v>
      </c>
      <c r="E19" s="316">
        <f t="shared" si="0"/>
        <v>-4000000</v>
      </c>
      <c r="F19" s="316">
        <f t="shared" si="0"/>
        <v>0</v>
      </c>
      <c r="G19" s="316">
        <f t="shared" si="0"/>
        <v>0</v>
      </c>
      <c r="H19" s="316">
        <f>E19</f>
        <v>-4000000</v>
      </c>
      <c r="I19" s="317">
        <f>I20</f>
        <v>-4000000</v>
      </c>
      <c r="J19" s="317">
        <f t="shared" si="1"/>
        <v>0</v>
      </c>
      <c r="K19" s="317">
        <f t="shared" si="1"/>
        <v>0</v>
      </c>
      <c r="L19" s="502">
        <f>I19</f>
        <v>-4000000</v>
      </c>
    </row>
    <row r="20" spans="1:12" ht="25.2" customHeight="1" x14ac:dyDescent="0.25">
      <c r="A20" s="319">
        <v>1218860</v>
      </c>
      <c r="B20" s="320">
        <v>8860</v>
      </c>
      <c r="C20" s="320"/>
      <c r="D20" s="321" t="s">
        <v>430</v>
      </c>
      <c r="E20" s="322">
        <f>E21</f>
        <v>-4000000</v>
      </c>
      <c r="F20" s="323">
        <v>0</v>
      </c>
      <c r="G20" s="323">
        <v>0</v>
      </c>
      <c r="H20" s="322">
        <f>E20</f>
        <v>-4000000</v>
      </c>
      <c r="I20" s="324">
        <f>I21</f>
        <v>-4000000</v>
      </c>
      <c r="J20" s="324">
        <f t="shared" si="1"/>
        <v>0</v>
      </c>
      <c r="K20" s="324">
        <f t="shared" si="1"/>
        <v>0</v>
      </c>
      <c r="L20" s="503">
        <f>I20</f>
        <v>-4000000</v>
      </c>
    </row>
    <row r="21" spans="1:12" s="318" customFormat="1" ht="33" customHeight="1" thickBot="1" x14ac:dyDescent="0.35">
      <c r="A21" s="325">
        <v>1218862</v>
      </c>
      <c r="B21" s="326">
        <v>8862</v>
      </c>
      <c r="C21" s="327" t="s">
        <v>171</v>
      </c>
      <c r="D21" s="328" t="s">
        <v>431</v>
      </c>
      <c r="E21" s="329">
        <v>-4000000</v>
      </c>
      <c r="F21" s="330">
        <v>0</v>
      </c>
      <c r="G21" s="330">
        <v>0</v>
      </c>
      <c r="H21" s="329">
        <f>E21</f>
        <v>-4000000</v>
      </c>
      <c r="I21" s="331">
        <v>-4000000</v>
      </c>
      <c r="J21" s="331">
        <v>0</v>
      </c>
      <c r="K21" s="331">
        <v>0</v>
      </c>
      <c r="L21" s="504">
        <f>I21</f>
        <v>-4000000</v>
      </c>
    </row>
    <row r="22" spans="1:12" s="333" customFormat="1" ht="16.2" thickBot="1" x14ac:dyDescent="0.3">
      <c r="A22" s="307" t="s">
        <v>295</v>
      </c>
      <c r="B22" s="308" t="s">
        <v>295</v>
      </c>
      <c r="C22" s="308" t="s">
        <v>295</v>
      </c>
      <c r="D22" s="332" t="s">
        <v>148</v>
      </c>
      <c r="E22" s="310">
        <f t="shared" ref="E22:K22" si="2">E18</f>
        <v>-4000000</v>
      </c>
      <c r="F22" s="310">
        <f t="shared" si="2"/>
        <v>0</v>
      </c>
      <c r="G22" s="310">
        <f t="shared" si="2"/>
        <v>0</v>
      </c>
      <c r="H22" s="310">
        <f t="shared" si="2"/>
        <v>-4000000</v>
      </c>
      <c r="I22" s="311">
        <f t="shared" si="2"/>
        <v>-4000000</v>
      </c>
      <c r="J22" s="311">
        <f t="shared" si="2"/>
        <v>0</v>
      </c>
      <c r="K22" s="311">
        <f t="shared" si="2"/>
        <v>0</v>
      </c>
      <c r="L22" s="501">
        <f>I22</f>
        <v>-4000000</v>
      </c>
    </row>
    <row r="23" spans="1:12" ht="15.6" x14ac:dyDescent="0.25">
      <c r="A23" s="334"/>
      <c r="B23" s="334"/>
      <c r="C23" s="334"/>
      <c r="D23" s="335"/>
      <c r="E23" s="334"/>
      <c r="F23" s="334"/>
      <c r="G23" s="334"/>
      <c r="H23" s="334"/>
      <c r="I23" s="334"/>
    </row>
    <row r="25" spans="1:12" s="337" customFormat="1" ht="28.95" customHeight="1" x14ac:dyDescent="0.3">
      <c r="A25" s="1139" t="s">
        <v>649</v>
      </c>
      <c r="B25" s="1139"/>
      <c r="C25" s="1139"/>
      <c r="D25" s="1139"/>
      <c r="E25" s="336"/>
      <c r="F25" s="336"/>
      <c r="G25" s="336" t="s">
        <v>468</v>
      </c>
      <c r="H25" s="336"/>
      <c r="I25" s="336"/>
    </row>
  </sheetData>
  <mergeCells count="18">
    <mergeCell ref="A25:D25"/>
    <mergeCell ref="E15:E16"/>
    <mergeCell ref="F15:G15"/>
    <mergeCell ref="H15:H16"/>
    <mergeCell ref="I15:I16"/>
    <mergeCell ref="G4:H4"/>
    <mergeCell ref="J15:K15"/>
    <mergeCell ref="L15:L16"/>
    <mergeCell ref="C7:G7"/>
    <mergeCell ref="B8:H8"/>
    <mergeCell ref="A10:B10"/>
    <mergeCell ref="A13:A16"/>
    <mergeCell ref="B13:B16"/>
    <mergeCell ref="C13:C16"/>
    <mergeCell ref="D13:D16"/>
    <mergeCell ref="E13:L13"/>
    <mergeCell ref="E14:H14"/>
    <mergeCell ref="I14:L14"/>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5"/>
  <sheetViews>
    <sheetView view="pageBreakPreview" topLeftCell="A55" zoomScale="90" zoomScaleNormal="100" zoomScaleSheetLayoutView="90" workbookViewId="0">
      <selection activeCell="D4" sqref="D4:E5"/>
    </sheetView>
  </sheetViews>
  <sheetFormatPr defaultRowHeight="13.8" x14ac:dyDescent="0.3"/>
  <cols>
    <col min="1" max="1" width="23.5546875" customWidth="1"/>
    <col min="2" max="2" width="20.6640625" customWidth="1"/>
    <col min="3" max="3" width="59.5546875" customWidth="1"/>
    <col min="4" max="4" width="15.109375" customWidth="1"/>
    <col min="5" max="5" width="15.44140625" customWidth="1"/>
    <col min="6" max="6" width="13.33203125" customWidth="1"/>
  </cols>
  <sheetData>
    <row r="1" spans="1:6" x14ac:dyDescent="0.3">
      <c r="C1" s="479"/>
    </row>
    <row r="2" spans="1:6" ht="15.6" x14ac:dyDescent="0.3">
      <c r="C2" s="479"/>
      <c r="D2" s="295" t="s">
        <v>502</v>
      </c>
    </row>
    <row r="3" spans="1:6" ht="15.6" x14ac:dyDescent="0.3">
      <c r="A3" s="5"/>
      <c r="B3" s="5"/>
      <c r="C3" s="5"/>
      <c r="D3" s="295" t="s">
        <v>725</v>
      </c>
      <c r="E3" s="5"/>
    </row>
    <row r="4" spans="1:6" ht="15.6" x14ac:dyDescent="0.3">
      <c r="A4" s="5"/>
      <c r="B4" s="5"/>
      <c r="C4" s="5"/>
      <c r="D4" s="6" t="s">
        <v>736</v>
      </c>
      <c r="E4" s="6"/>
      <c r="F4" s="477"/>
    </row>
    <row r="5" spans="1:6" ht="15.6" x14ac:dyDescent="0.3">
      <c r="A5" s="5"/>
      <c r="B5" s="5"/>
      <c r="C5" s="5"/>
      <c r="D5" s="1074" t="s">
        <v>737</v>
      </c>
      <c r="E5" s="1074"/>
      <c r="F5" s="478"/>
    </row>
    <row r="6" spans="1:6" ht="15.6" x14ac:dyDescent="0.3">
      <c r="A6" s="5"/>
      <c r="B6" s="5"/>
      <c r="C6" s="73"/>
      <c r="D6" s="5"/>
      <c r="E6" s="5"/>
    </row>
    <row r="7" spans="1:6" ht="19.2" customHeight="1" x14ac:dyDescent="0.3">
      <c r="A7" s="5"/>
      <c r="B7" s="5"/>
      <c r="C7" s="5"/>
      <c r="D7" s="5"/>
      <c r="E7" s="5"/>
    </row>
    <row r="8" spans="1:6" ht="15.6" customHeight="1" x14ac:dyDescent="0.3">
      <c r="A8" s="5"/>
      <c r="B8" s="5"/>
      <c r="C8" s="5"/>
      <c r="D8" s="5"/>
      <c r="E8" s="5"/>
    </row>
    <row r="9" spans="1:6" ht="21" x14ac:dyDescent="0.4">
      <c r="A9" s="1087" t="s">
        <v>432</v>
      </c>
      <c r="B9" s="1088"/>
      <c r="C9" s="1088"/>
      <c r="D9" s="1088"/>
    </row>
    <row r="10" spans="1:6" ht="15.6" x14ac:dyDescent="0.3">
      <c r="A10" s="1059" t="s">
        <v>162</v>
      </c>
      <c r="B10" s="1173"/>
      <c r="C10" s="1173"/>
      <c r="D10" s="1173"/>
    </row>
    <row r="11" spans="1:6" ht="15.6" x14ac:dyDescent="0.3">
      <c r="A11" s="1173" t="s">
        <v>0</v>
      </c>
      <c r="B11" s="1173"/>
      <c r="C11" s="1173"/>
      <c r="D11" s="1173"/>
    </row>
    <row r="12" spans="1:6" ht="21.9" customHeight="1" x14ac:dyDescent="0.3">
      <c r="B12" s="1"/>
      <c r="C12" s="1"/>
      <c r="D12" s="1"/>
    </row>
    <row r="13" spans="1:6" ht="16.2" thickBot="1" x14ac:dyDescent="0.35">
      <c r="A13" s="567" t="s">
        <v>433</v>
      </c>
      <c r="B13" s="1"/>
      <c r="C13" s="1"/>
      <c r="D13" s="2" t="s">
        <v>268</v>
      </c>
    </row>
    <row r="14" spans="1:6" ht="61.2" customHeight="1" thickBot="1" x14ac:dyDescent="0.35">
      <c r="A14" s="452" t="s">
        <v>434</v>
      </c>
      <c r="B14" s="1174" t="s">
        <v>435</v>
      </c>
      <c r="C14" s="1175"/>
      <c r="D14" s="447" t="s">
        <v>500</v>
      </c>
      <c r="E14" s="448" t="s">
        <v>726</v>
      </c>
      <c r="F14" s="449" t="s">
        <v>456</v>
      </c>
    </row>
    <row r="15" spans="1:6" ht="14.4" x14ac:dyDescent="0.3">
      <c r="A15" s="731">
        <v>1</v>
      </c>
      <c r="B15" s="1176">
        <v>2</v>
      </c>
      <c r="C15" s="1177"/>
      <c r="D15" s="732">
        <v>3</v>
      </c>
      <c r="E15" s="733">
        <v>4</v>
      </c>
      <c r="F15" s="734">
        <v>5</v>
      </c>
    </row>
    <row r="16" spans="1:6" ht="15.6" x14ac:dyDescent="0.3">
      <c r="A16" s="1178" t="s">
        <v>498</v>
      </c>
      <c r="B16" s="1179"/>
      <c r="C16" s="1179"/>
      <c r="D16" s="1180"/>
      <c r="E16" s="443"/>
      <c r="F16" s="446"/>
    </row>
    <row r="17" spans="1:6" ht="76.95" customHeight="1" x14ac:dyDescent="0.3">
      <c r="A17" s="445">
        <v>41021400</v>
      </c>
      <c r="B17" s="1181" t="s">
        <v>392</v>
      </c>
      <c r="C17" s="1182"/>
      <c r="D17" s="454">
        <f>D18</f>
        <v>86943700</v>
      </c>
      <c r="E17" s="459">
        <f>E18</f>
        <v>86943700</v>
      </c>
      <c r="F17" s="532">
        <f>E17/D17*100</f>
        <v>100</v>
      </c>
    </row>
    <row r="18" spans="1:6" ht="22.95" customHeight="1" x14ac:dyDescent="0.3">
      <c r="A18" s="106" t="s">
        <v>436</v>
      </c>
      <c r="B18" s="1148" t="s">
        <v>437</v>
      </c>
      <c r="C18" s="1149"/>
      <c r="D18" s="436">
        <v>86943700</v>
      </c>
      <c r="E18" s="453">
        <v>86943700</v>
      </c>
      <c r="F18" s="470">
        <f t="shared" ref="F18:F46" si="0">E18/D18*100</f>
        <v>100</v>
      </c>
    </row>
    <row r="19" spans="1:6" ht="33" customHeight="1" x14ac:dyDescent="0.3">
      <c r="A19" s="122">
        <v>41033300</v>
      </c>
      <c r="B19" s="1146" t="s">
        <v>715</v>
      </c>
      <c r="C19" s="1147"/>
      <c r="D19" s="454">
        <f>D20</f>
        <v>2289800</v>
      </c>
      <c r="E19" s="459">
        <f>E20</f>
        <v>2050060.65</v>
      </c>
      <c r="F19" s="532">
        <f>E19/D19*100</f>
        <v>89.530118350947674</v>
      </c>
    </row>
    <row r="20" spans="1:6" ht="22.95" customHeight="1" x14ac:dyDescent="0.3">
      <c r="A20" s="106" t="s">
        <v>436</v>
      </c>
      <c r="B20" s="1148" t="s">
        <v>437</v>
      </c>
      <c r="C20" s="1149"/>
      <c r="D20" s="436">
        <v>2289800</v>
      </c>
      <c r="E20" s="453">
        <v>2050060.65</v>
      </c>
      <c r="F20" s="470">
        <f t="shared" si="0"/>
        <v>89.530118350947674</v>
      </c>
    </row>
    <row r="21" spans="1:6" ht="15.6" x14ac:dyDescent="0.3">
      <c r="A21" s="104" t="s">
        <v>395</v>
      </c>
      <c r="B21" s="1150" t="s">
        <v>396</v>
      </c>
      <c r="C21" s="1151"/>
      <c r="D21" s="437">
        <f>D22</f>
        <v>75510600</v>
      </c>
      <c r="E21" s="459">
        <f>E22</f>
        <v>75510600</v>
      </c>
      <c r="F21" s="532">
        <f t="shared" si="0"/>
        <v>100</v>
      </c>
    </row>
    <row r="22" spans="1:6" ht="22.2" customHeight="1" x14ac:dyDescent="0.3">
      <c r="A22" s="106" t="s">
        <v>436</v>
      </c>
      <c r="B22" s="1148" t="s">
        <v>437</v>
      </c>
      <c r="C22" s="1149"/>
      <c r="D22" s="455">
        <v>75510600</v>
      </c>
      <c r="E22" s="453">
        <v>75510600</v>
      </c>
      <c r="F22" s="470">
        <f t="shared" si="0"/>
        <v>100</v>
      </c>
    </row>
    <row r="23" spans="1:6" ht="22.2" customHeight="1" x14ac:dyDescent="0.3">
      <c r="A23" s="104">
        <v>41040400</v>
      </c>
      <c r="B23" s="1150" t="s">
        <v>547</v>
      </c>
      <c r="C23" s="1151"/>
      <c r="D23" s="437">
        <f>D24</f>
        <v>170895</v>
      </c>
      <c r="E23" s="459">
        <f>E24</f>
        <v>170895</v>
      </c>
      <c r="F23" s="532">
        <f>F24</f>
        <v>100</v>
      </c>
    </row>
    <row r="24" spans="1:6" ht="22.2" customHeight="1" x14ac:dyDescent="0.3">
      <c r="A24" s="109" t="s">
        <v>439</v>
      </c>
      <c r="B24" s="1144" t="s">
        <v>438</v>
      </c>
      <c r="C24" s="1145"/>
      <c r="D24" s="455">
        <v>170895</v>
      </c>
      <c r="E24" s="453">
        <v>170895</v>
      </c>
      <c r="F24" s="470">
        <f t="shared" si="0"/>
        <v>100</v>
      </c>
    </row>
    <row r="25" spans="1:6" ht="64.5" customHeight="1" x14ac:dyDescent="0.3">
      <c r="A25" s="615" t="s">
        <v>590</v>
      </c>
      <c r="B25" s="1142" t="s">
        <v>588</v>
      </c>
      <c r="C25" s="1143"/>
      <c r="D25" s="437">
        <f>D26</f>
        <v>3708133</v>
      </c>
      <c r="E25" s="459">
        <f>E26</f>
        <v>3682401.28</v>
      </c>
      <c r="F25" s="532">
        <f>E25/D25*100</f>
        <v>99.306073433719874</v>
      </c>
    </row>
    <row r="26" spans="1:6" ht="22.2" customHeight="1" x14ac:dyDescent="0.3">
      <c r="A26" s="106">
        <v>15100000000</v>
      </c>
      <c r="B26" s="1148" t="s">
        <v>438</v>
      </c>
      <c r="C26" s="1149"/>
      <c r="D26" s="455">
        <v>3708133</v>
      </c>
      <c r="E26" s="453">
        <v>3682401.28</v>
      </c>
      <c r="F26" s="470">
        <f>E26/D26*100</f>
        <v>99.306073433719874</v>
      </c>
    </row>
    <row r="27" spans="1:6" ht="39.6" customHeight="1" x14ac:dyDescent="0.3">
      <c r="A27" s="104" t="s">
        <v>397</v>
      </c>
      <c r="B27" s="1150" t="s">
        <v>398</v>
      </c>
      <c r="C27" s="1151"/>
      <c r="D27" s="437">
        <f>D28</f>
        <v>1766200</v>
      </c>
      <c r="E27" s="459">
        <f>E28</f>
        <v>1766200</v>
      </c>
      <c r="F27" s="470">
        <f t="shared" si="0"/>
        <v>100</v>
      </c>
    </row>
    <row r="28" spans="1:6" ht="25.2" customHeight="1" x14ac:dyDescent="0.3">
      <c r="A28" s="106">
        <v>15100000000</v>
      </c>
      <c r="B28" s="1148" t="s">
        <v>438</v>
      </c>
      <c r="C28" s="1149"/>
      <c r="D28" s="455">
        <v>1766200</v>
      </c>
      <c r="E28" s="453">
        <v>1766200</v>
      </c>
      <c r="F28" s="470">
        <f t="shared" si="0"/>
        <v>100</v>
      </c>
    </row>
    <row r="29" spans="1:6" ht="45.75" customHeight="1" x14ac:dyDescent="0.3">
      <c r="A29" s="104">
        <v>41051200</v>
      </c>
      <c r="B29" s="1150" t="s">
        <v>549</v>
      </c>
      <c r="C29" s="1151"/>
      <c r="D29" s="437">
        <f>D30</f>
        <v>401350</v>
      </c>
      <c r="E29" s="459">
        <f>E30</f>
        <v>401350</v>
      </c>
      <c r="F29" s="470">
        <f t="shared" si="0"/>
        <v>100</v>
      </c>
    </row>
    <row r="30" spans="1:6" ht="25.2" customHeight="1" x14ac:dyDescent="0.3">
      <c r="A30" s="106">
        <v>15100000000</v>
      </c>
      <c r="B30" s="1148" t="s">
        <v>438</v>
      </c>
      <c r="C30" s="1149"/>
      <c r="D30" s="455">
        <v>401350</v>
      </c>
      <c r="E30" s="453">
        <v>401350</v>
      </c>
      <c r="F30" s="470">
        <f t="shared" si="0"/>
        <v>100</v>
      </c>
    </row>
    <row r="31" spans="1:6" ht="48.75" customHeight="1" x14ac:dyDescent="0.3">
      <c r="A31" s="104">
        <v>41051400</v>
      </c>
      <c r="B31" s="1150" t="s">
        <v>589</v>
      </c>
      <c r="C31" s="1151"/>
      <c r="D31" s="437">
        <f>D32</f>
        <v>1037466</v>
      </c>
      <c r="E31" s="459">
        <f>E32</f>
        <v>1006458</v>
      </c>
      <c r="F31" s="470" t="str">
        <f>F32</f>
        <v>х</v>
      </c>
    </row>
    <row r="32" spans="1:6" ht="25.2" customHeight="1" x14ac:dyDescent="0.3">
      <c r="A32" s="106">
        <v>15100000000</v>
      </c>
      <c r="B32" s="1148" t="s">
        <v>438</v>
      </c>
      <c r="C32" s="1149"/>
      <c r="D32" s="455">
        <v>1037466</v>
      </c>
      <c r="E32" s="453">
        <v>1006458</v>
      </c>
      <c r="F32" s="470" t="s">
        <v>295</v>
      </c>
    </row>
    <row r="33" spans="1:6" ht="48.75" customHeight="1" x14ac:dyDescent="0.3">
      <c r="A33" s="104">
        <v>41051700</v>
      </c>
      <c r="B33" s="1150" t="s">
        <v>550</v>
      </c>
      <c r="C33" s="1151"/>
      <c r="D33" s="437">
        <f>D34</f>
        <v>323630</v>
      </c>
      <c r="E33" s="459">
        <f>E34</f>
        <v>323630</v>
      </c>
      <c r="F33" s="532">
        <v>100</v>
      </c>
    </row>
    <row r="34" spans="1:6" ht="25.2" customHeight="1" x14ac:dyDescent="0.3">
      <c r="A34" s="106">
        <v>15100000000</v>
      </c>
      <c r="B34" s="1148" t="s">
        <v>438</v>
      </c>
      <c r="C34" s="1149"/>
      <c r="D34" s="455">
        <v>323630</v>
      </c>
      <c r="E34" s="453">
        <v>323630</v>
      </c>
      <c r="F34" s="470">
        <v>100</v>
      </c>
    </row>
    <row r="35" spans="1:6" s="108" customFormat="1" ht="38.4" customHeight="1" x14ac:dyDescent="0.3">
      <c r="A35" s="107">
        <v>41053900</v>
      </c>
      <c r="B35" s="1152" t="s">
        <v>399</v>
      </c>
      <c r="C35" s="1153"/>
      <c r="D35" s="456">
        <f>D36</f>
        <v>57773</v>
      </c>
      <c r="E35" s="784">
        <f>E36</f>
        <v>49854.69</v>
      </c>
      <c r="F35" s="505">
        <f t="shared" si="0"/>
        <v>86.294099319751453</v>
      </c>
    </row>
    <row r="36" spans="1:6" s="108" customFormat="1" ht="15.6" x14ac:dyDescent="0.3">
      <c r="A36" s="109" t="s">
        <v>439</v>
      </c>
      <c r="B36" s="1144" t="s">
        <v>438</v>
      </c>
      <c r="C36" s="1145"/>
      <c r="D36" s="457">
        <v>57773</v>
      </c>
      <c r="E36" s="785">
        <v>49854.69</v>
      </c>
      <c r="F36" s="534">
        <f t="shared" si="0"/>
        <v>86.294099319751453</v>
      </c>
    </row>
    <row r="37" spans="1:6" s="108" customFormat="1" ht="35.4" customHeight="1" x14ac:dyDescent="0.3">
      <c r="A37" s="107">
        <v>41053900</v>
      </c>
      <c r="B37" s="1152" t="s">
        <v>400</v>
      </c>
      <c r="C37" s="1153"/>
      <c r="D37" s="458">
        <f>D38</f>
        <v>164690</v>
      </c>
      <c r="E37" s="784">
        <f>E38</f>
        <v>48100</v>
      </c>
      <c r="F37" s="505">
        <f t="shared" si="0"/>
        <v>29.206387758819602</v>
      </c>
    </row>
    <row r="38" spans="1:6" s="108" customFormat="1" ht="18.600000000000001" customHeight="1" x14ac:dyDescent="0.3">
      <c r="A38" s="109" t="s">
        <v>439</v>
      </c>
      <c r="B38" s="1171" t="s">
        <v>438</v>
      </c>
      <c r="C38" s="1172"/>
      <c r="D38" s="457">
        <v>164690</v>
      </c>
      <c r="E38" s="785">
        <v>48100</v>
      </c>
      <c r="F38" s="534">
        <f t="shared" si="0"/>
        <v>29.206387758819602</v>
      </c>
    </row>
    <row r="39" spans="1:6" s="108" customFormat="1" ht="52.95" customHeight="1" x14ac:dyDescent="0.3">
      <c r="A39" s="107">
        <v>41053900</v>
      </c>
      <c r="B39" s="1152" t="s">
        <v>401</v>
      </c>
      <c r="C39" s="1153"/>
      <c r="D39" s="458">
        <f>D40</f>
        <v>17623</v>
      </c>
      <c r="E39" s="784">
        <f>E40</f>
        <v>14532</v>
      </c>
      <c r="F39" s="505">
        <f t="shared" si="0"/>
        <v>82.460421040685475</v>
      </c>
    </row>
    <row r="40" spans="1:6" s="108" customFormat="1" ht="15.6" x14ac:dyDescent="0.3">
      <c r="A40" s="109" t="s">
        <v>439</v>
      </c>
      <c r="B40" s="1144" t="s">
        <v>438</v>
      </c>
      <c r="C40" s="1145"/>
      <c r="D40" s="535">
        <v>17623</v>
      </c>
      <c r="E40" s="785">
        <v>14532</v>
      </c>
      <c r="F40" s="534">
        <f t="shared" si="0"/>
        <v>82.460421040685475</v>
      </c>
    </row>
    <row r="41" spans="1:6" s="108" customFormat="1" ht="15.6" x14ac:dyDescent="0.3">
      <c r="A41" s="584" t="s">
        <v>720</v>
      </c>
      <c r="B41" s="1142" t="s">
        <v>721</v>
      </c>
      <c r="C41" s="1143"/>
      <c r="D41" s="458">
        <f>D42</f>
        <v>10000000</v>
      </c>
      <c r="E41" s="784">
        <f>E42</f>
        <v>10000000</v>
      </c>
      <c r="F41" s="505">
        <f t="shared" ref="F41:F44" si="1">E41/D41*100</f>
        <v>100</v>
      </c>
    </row>
    <row r="42" spans="1:6" s="108" customFormat="1" ht="15.6" x14ac:dyDescent="0.3">
      <c r="A42" s="109" t="s">
        <v>439</v>
      </c>
      <c r="B42" s="1144" t="s">
        <v>438</v>
      </c>
      <c r="C42" s="1145"/>
      <c r="D42" s="535">
        <v>10000000</v>
      </c>
      <c r="E42" s="785">
        <v>10000000</v>
      </c>
      <c r="F42" s="534">
        <f t="shared" si="1"/>
        <v>100</v>
      </c>
    </row>
    <row r="43" spans="1:6" s="108" customFormat="1" ht="46.5" customHeight="1" x14ac:dyDescent="0.3">
      <c r="A43" s="584" t="s">
        <v>720</v>
      </c>
      <c r="B43" s="1142" t="s">
        <v>722</v>
      </c>
      <c r="C43" s="1143"/>
      <c r="D43" s="458">
        <f>D44</f>
        <v>268034</v>
      </c>
      <c r="E43" s="784">
        <f>E44</f>
        <v>264229.26</v>
      </c>
      <c r="F43" s="505">
        <f t="shared" si="1"/>
        <v>98.580500981218805</v>
      </c>
    </row>
    <row r="44" spans="1:6" s="108" customFormat="1" ht="15.6" x14ac:dyDescent="0.3">
      <c r="A44" s="109" t="s">
        <v>439</v>
      </c>
      <c r="B44" s="1144" t="s">
        <v>438</v>
      </c>
      <c r="C44" s="1145"/>
      <c r="D44" s="535">
        <v>268034</v>
      </c>
      <c r="E44" s="785">
        <v>264229.26</v>
      </c>
      <c r="F44" s="534">
        <f t="shared" si="1"/>
        <v>98.580500981218805</v>
      </c>
    </row>
    <row r="45" spans="1:6" s="108" customFormat="1" ht="47.25" customHeight="1" x14ac:dyDescent="0.3">
      <c r="A45" s="584" t="s">
        <v>552</v>
      </c>
      <c r="B45" s="1158" t="s">
        <v>551</v>
      </c>
      <c r="C45" s="1158"/>
      <c r="D45" s="536">
        <f>D46</f>
        <v>166311</v>
      </c>
      <c r="E45" s="784">
        <f>E46</f>
        <v>155916</v>
      </c>
      <c r="F45" s="505">
        <f>F46</f>
        <v>93.749661778234753</v>
      </c>
    </row>
    <row r="46" spans="1:6" s="108" customFormat="1" ht="16.2" thickBot="1" x14ac:dyDescent="0.35">
      <c r="A46" s="585">
        <v>15100000000</v>
      </c>
      <c r="B46" s="1159" t="s">
        <v>438</v>
      </c>
      <c r="C46" s="1160"/>
      <c r="D46" s="537">
        <v>166311</v>
      </c>
      <c r="E46" s="786">
        <v>155916</v>
      </c>
      <c r="F46" s="586">
        <f t="shared" si="0"/>
        <v>93.749661778234753</v>
      </c>
    </row>
    <row r="47" spans="1:6" ht="16.2" thickBot="1" x14ac:dyDescent="0.35">
      <c r="A47" s="1161"/>
      <c r="B47" s="1162"/>
      <c r="C47" s="1162"/>
      <c r="D47" s="1162"/>
      <c r="E47" s="1162"/>
      <c r="F47" s="1163"/>
    </row>
    <row r="48" spans="1:6" ht="16.2" thickBot="1" x14ac:dyDescent="0.35">
      <c r="A48" s="1164" t="s">
        <v>499</v>
      </c>
      <c r="B48" s="1165"/>
      <c r="C48" s="1165"/>
      <c r="D48" s="1166"/>
      <c r="E48" s="735"/>
      <c r="F48" s="736"/>
    </row>
    <row r="49" spans="1:6" ht="15.6" x14ac:dyDescent="0.3">
      <c r="A49" s="122">
        <v>41033300</v>
      </c>
      <c r="B49" s="1146" t="s">
        <v>715</v>
      </c>
      <c r="C49" s="1147"/>
      <c r="D49" s="791">
        <f>D50</f>
        <v>3500600</v>
      </c>
      <c r="E49" s="792">
        <f>E50</f>
        <v>3500600</v>
      </c>
      <c r="F49" s="793">
        <f>F50</f>
        <v>100</v>
      </c>
    </row>
    <row r="50" spans="1:6" ht="15.6" x14ac:dyDescent="0.3">
      <c r="A50" s="106" t="s">
        <v>436</v>
      </c>
      <c r="B50" s="1148" t="s">
        <v>437</v>
      </c>
      <c r="C50" s="1149"/>
      <c r="D50" s="535">
        <v>3500600</v>
      </c>
      <c r="E50" s="785">
        <v>3500600</v>
      </c>
      <c r="F50" s="533">
        <f t="shared" ref="F50" si="2">E50/D50*100</f>
        <v>100</v>
      </c>
    </row>
    <row r="51" spans="1:6" s="110" customFormat="1" ht="36" customHeight="1" x14ac:dyDescent="0.3">
      <c r="A51" s="787">
        <v>41051100</v>
      </c>
      <c r="B51" s="1167" t="s">
        <v>494</v>
      </c>
      <c r="C51" s="1168"/>
      <c r="D51" s="788">
        <f>D52</f>
        <v>1620780</v>
      </c>
      <c r="E51" s="789">
        <f>E52</f>
        <v>1581830</v>
      </c>
      <c r="F51" s="790">
        <f t="shared" ref="F51:F52" si="3">E51/D51*100</f>
        <v>97.596836091264706</v>
      </c>
    </row>
    <row r="52" spans="1:6" s="110" customFormat="1" ht="18.600000000000001" customHeight="1" thickBot="1" x14ac:dyDescent="0.35">
      <c r="A52" s="568" t="s">
        <v>439</v>
      </c>
      <c r="B52" s="1169" t="s">
        <v>438</v>
      </c>
      <c r="C52" s="1170"/>
      <c r="D52" s="538">
        <v>1620780</v>
      </c>
      <c r="E52" s="461">
        <v>1581830</v>
      </c>
      <c r="F52" s="716">
        <f t="shared" si="3"/>
        <v>97.596836091264706</v>
      </c>
    </row>
    <row r="53" spans="1:6" ht="15.6" x14ac:dyDescent="0.3">
      <c r="A53" s="462" t="s">
        <v>6</v>
      </c>
      <c r="B53" s="463" t="s">
        <v>440</v>
      </c>
      <c r="C53" s="464"/>
      <c r="D53" s="460">
        <f>D54+D55</f>
        <v>187947585</v>
      </c>
      <c r="E53" s="460">
        <f>E54+E55</f>
        <v>187470356.88</v>
      </c>
      <c r="F53" s="468">
        <f t="shared" ref="F53:F55" si="4">E53/D53*100</f>
        <v>99.746084462857027</v>
      </c>
    </row>
    <row r="54" spans="1:6" ht="15.6" x14ac:dyDescent="0.3">
      <c r="A54" s="434" t="s">
        <v>6</v>
      </c>
      <c r="B54" s="111" t="s">
        <v>427</v>
      </c>
      <c r="C54" s="105"/>
      <c r="D54" s="459">
        <f>D17+D21+D27+D35+D37+D39+D45+D33+D23+D29+D25+D41+D43+D31+D19</f>
        <v>182826205</v>
      </c>
      <c r="E54" s="459">
        <f>E17+E21+E27+E35+E37+E39+E45+E33+E29+E23+E31+E25+E41+E43+E19</f>
        <v>182387926.88</v>
      </c>
      <c r="F54" s="470">
        <f t="shared" si="4"/>
        <v>99.760276093900217</v>
      </c>
    </row>
    <row r="55" spans="1:6" ht="16.2" thickBot="1" x14ac:dyDescent="0.35">
      <c r="A55" s="465" t="s">
        <v>6</v>
      </c>
      <c r="B55" s="125" t="s">
        <v>428</v>
      </c>
      <c r="C55" s="466"/>
      <c r="D55" s="539">
        <f>D51+D49</f>
        <v>5121380</v>
      </c>
      <c r="E55" s="467">
        <f>E51+E49</f>
        <v>5082430</v>
      </c>
      <c r="F55" s="469">
        <f t="shared" si="4"/>
        <v>99.23946280104191</v>
      </c>
    </row>
    <row r="56" spans="1:6" ht="21.9" customHeight="1" thickBot="1" x14ac:dyDescent="0.35">
      <c r="A56" s="112" t="s">
        <v>441</v>
      </c>
      <c r="B56" s="1"/>
      <c r="C56" s="1"/>
      <c r="D56" s="2" t="s">
        <v>268</v>
      </c>
      <c r="E56" s="721"/>
      <c r="F56" s="451"/>
    </row>
    <row r="57" spans="1:6" ht="85.5" customHeight="1" thickBot="1" x14ac:dyDescent="0.35">
      <c r="A57" s="722" t="s">
        <v>442</v>
      </c>
      <c r="B57" s="723" t="s">
        <v>443</v>
      </c>
      <c r="C57" s="724" t="s">
        <v>444</v>
      </c>
      <c r="D57" s="447" t="s">
        <v>500</v>
      </c>
      <c r="E57" s="448" t="s">
        <v>732</v>
      </c>
      <c r="F57" s="720" t="s">
        <v>456</v>
      </c>
    </row>
    <row r="58" spans="1:6" ht="15.6" x14ac:dyDescent="0.3">
      <c r="A58" s="725">
        <v>1</v>
      </c>
      <c r="B58" s="726">
        <v>2</v>
      </c>
      <c r="C58" s="726">
        <v>3</v>
      </c>
      <c r="D58" s="727">
        <v>4</v>
      </c>
      <c r="E58" s="728"/>
      <c r="F58" s="729"/>
    </row>
    <row r="59" spans="1:6" ht="15.75" customHeight="1" x14ac:dyDescent="0.3">
      <c r="A59" s="1154" t="s">
        <v>445</v>
      </c>
      <c r="B59" s="1155"/>
      <c r="C59" s="1156"/>
      <c r="D59" s="438"/>
      <c r="E59" s="443"/>
      <c r="F59" s="446"/>
    </row>
    <row r="60" spans="1:6" s="103" customFormat="1" ht="37.950000000000003" hidden="1" customHeight="1" x14ac:dyDescent="0.3">
      <c r="A60" s="113">
        <v>41053900</v>
      </c>
      <c r="B60" s="114">
        <v>9770</v>
      </c>
      <c r="C60" s="115" t="s">
        <v>446</v>
      </c>
      <c r="D60" s="438">
        <f>D61</f>
        <v>0</v>
      </c>
      <c r="E60" s="444"/>
      <c r="F60" s="450"/>
    </row>
    <row r="61" spans="1:6" ht="24" hidden="1" customHeight="1" x14ac:dyDescent="0.3">
      <c r="A61" s="106">
        <v>15327200000</v>
      </c>
      <c r="B61" s="433"/>
      <c r="C61" s="116" t="s">
        <v>447</v>
      </c>
      <c r="D61" s="439">
        <f>300000-300000</f>
        <v>0</v>
      </c>
      <c r="E61" s="443"/>
      <c r="F61" s="446"/>
    </row>
    <row r="62" spans="1:6" ht="46.8" x14ac:dyDescent="0.3">
      <c r="A62" s="117" t="s">
        <v>503</v>
      </c>
      <c r="B62" s="118">
        <v>9800</v>
      </c>
      <c r="C62" s="569" t="s">
        <v>504</v>
      </c>
      <c r="D62" s="440">
        <f>D63</f>
        <v>40892364</v>
      </c>
      <c r="E62" s="440">
        <f>E63</f>
        <v>40818430.039999999</v>
      </c>
      <c r="F62" s="506">
        <f>F63</f>
        <v>99.819198616152391</v>
      </c>
    </row>
    <row r="63" spans="1:6" ht="15.6" x14ac:dyDescent="0.3">
      <c r="A63" s="570" t="s">
        <v>436</v>
      </c>
      <c r="B63" s="571">
        <v>9800</v>
      </c>
      <c r="C63" s="572" t="s">
        <v>437</v>
      </c>
      <c r="D63" s="573">
        <v>40892364</v>
      </c>
      <c r="E63" s="573">
        <v>40818430.039999999</v>
      </c>
      <c r="F63" s="574">
        <f t="shared" ref="F63:F65" si="5">E63/D63*100</f>
        <v>99.819198616152391</v>
      </c>
    </row>
    <row r="64" spans="1:6" ht="15.6" x14ac:dyDescent="0.3">
      <c r="A64" s="117" t="s">
        <v>636</v>
      </c>
      <c r="B64" s="575">
        <v>9770</v>
      </c>
      <c r="C64" s="717" t="s">
        <v>446</v>
      </c>
      <c r="D64" s="486">
        <v>180000</v>
      </c>
      <c r="E64" s="486">
        <v>180000</v>
      </c>
      <c r="F64" s="718">
        <f t="shared" si="5"/>
        <v>100</v>
      </c>
    </row>
    <row r="65" spans="1:16" ht="19.95" customHeight="1" x14ac:dyDescent="0.3">
      <c r="A65" s="109" t="s">
        <v>637</v>
      </c>
      <c r="B65" s="119">
        <v>9770</v>
      </c>
      <c r="C65" s="120" t="s">
        <v>447</v>
      </c>
      <c r="D65" s="573">
        <v>180000</v>
      </c>
      <c r="E65" s="573">
        <v>180000</v>
      </c>
      <c r="F65" s="574">
        <f t="shared" si="5"/>
        <v>100</v>
      </c>
    </row>
    <row r="66" spans="1:16" ht="20.100000000000001" customHeight="1" x14ac:dyDescent="0.3">
      <c r="A66" s="1154" t="s">
        <v>448</v>
      </c>
      <c r="B66" s="1155"/>
      <c r="C66" s="1155"/>
      <c r="D66" s="1156"/>
      <c r="E66" s="443"/>
      <c r="F66" s="446"/>
    </row>
    <row r="67" spans="1:16" ht="46.8" x14ac:dyDescent="0.3">
      <c r="A67" s="117" t="s">
        <v>503</v>
      </c>
      <c r="B67" s="118">
        <v>9800</v>
      </c>
      <c r="C67" s="569" t="s">
        <v>504</v>
      </c>
      <c r="D67" s="576">
        <f>D68</f>
        <v>55278400</v>
      </c>
      <c r="E67" s="577">
        <f>E68</f>
        <v>47553142.350000001</v>
      </c>
      <c r="F67" s="578">
        <f>F68</f>
        <v>86.024816836232603</v>
      </c>
      <c r="M67" t="s">
        <v>733</v>
      </c>
    </row>
    <row r="68" spans="1:16" ht="20.100000000000001" customHeight="1" x14ac:dyDescent="0.3">
      <c r="A68" s="570" t="s">
        <v>436</v>
      </c>
      <c r="B68" s="571">
        <v>9800</v>
      </c>
      <c r="C68" s="579" t="s">
        <v>437</v>
      </c>
      <c r="D68" s="580">
        <v>55278400</v>
      </c>
      <c r="E68" s="581">
        <v>47553142.350000001</v>
      </c>
      <c r="F68" s="582">
        <f t="shared" ref="F68:F71" si="6">E68/D68*100</f>
        <v>86.024816836232603</v>
      </c>
    </row>
    <row r="69" spans="1:16" ht="15.6" x14ac:dyDescent="0.3">
      <c r="A69" s="121" t="s">
        <v>6</v>
      </c>
      <c r="B69" s="122" t="s">
        <v>6</v>
      </c>
      <c r="C69" s="111" t="s">
        <v>440</v>
      </c>
      <c r="D69" s="438">
        <f>D70+D71</f>
        <v>96350764</v>
      </c>
      <c r="E69" s="719">
        <f>E70+E71</f>
        <v>88551572.390000001</v>
      </c>
      <c r="F69" s="583">
        <f t="shared" si="6"/>
        <v>91.905417989212836</v>
      </c>
    </row>
    <row r="70" spans="1:16" ht="15.6" x14ac:dyDescent="0.3">
      <c r="A70" s="121" t="s">
        <v>6</v>
      </c>
      <c r="B70" s="122" t="s">
        <v>6</v>
      </c>
      <c r="C70" s="111" t="s">
        <v>427</v>
      </c>
      <c r="D70" s="441">
        <f>D62+D64</f>
        <v>41072364</v>
      </c>
      <c r="E70" s="719">
        <f>E62+E64</f>
        <v>40998430.039999999</v>
      </c>
      <c r="F70" s="583">
        <f t="shared" si="6"/>
        <v>99.819990979822819</v>
      </c>
    </row>
    <row r="71" spans="1:16" ht="16.2" thickBot="1" x14ac:dyDescent="0.35">
      <c r="A71" s="123" t="s">
        <v>6</v>
      </c>
      <c r="B71" s="124" t="s">
        <v>6</v>
      </c>
      <c r="C71" s="125" t="s">
        <v>428</v>
      </c>
      <c r="D71" s="442">
        <f>D67</f>
        <v>55278400</v>
      </c>
      <c r="E71" s="467">
        <f>E67</f>
        <v>47553142.350000001</v>
      </c>
      <c r="F71" s="730">
        <f t="shared" si="6"/>
        <v>86.024816836232603</v>
      </c>
    </row>
    <row r="72" spans="1:16" ht="15.6" x14ac:dyDescent="0.3">
      <c r="A72" s="1"/>
      <c r="B72" s="1"/>
      <c r="C72" s="1"/>
      <c r="D72" s="1"/>
    </row>
    <row r="73" spans="1:16" s="69" customFormat="1" ht="42.6" customHeight="1" x14ac:dyDescent="0.35">
      <c r="A73" s="1157" t="s">
        <v>734</v>
      </c>
      <c r="B73" s="1157"/>
      <c r="C73" s="1157"/>
      <c r="D73" s="1157"/>
      <c r="E73" s="1157"/>
      <c r="F73" s="1157"/>
      <c r="G73" s="126"/>
      <c r="H73" s="126"/>
      <c r="I73" s="126"/>
      <c r="K73" s="126"/>
      <c r="L73" s="127"/>
      <c r="M73" s="126"/>
      <c r="N73" s="128"/>
      <c r="O73" s="129"/>
      <c r="P73" s="130"/>
    </row>
    <row r="74" spans="1:16" s="133" customFormat="1" ht="20.399999999999999" customHeight="1" x14ac:dyDescent="0.35">
      <c r="A74" s="131"/>
      <c r="B74" s="132"/>
      <c r="C74" s="1"/>
      <c r="D74" s="132"/>
    </row>
    <row r="75" spans="1:16" ht="15.6" x14ac:dyDescent="0.3">
      <c r="A75" s="1"/>
      <c r="B75" s="1"/>
      <c r="D75" s="1"/>
    </row>
  </sheetData>
  <mergeCells count="46">
    <mergeCell ref="B23:C23"/>
    <mergeCell ref="A16:D16"/>
    <mergeCell ref="B17:C17"/>
    <mergeCell ref="B18:C18"/>
    <mergeCell ref="B21:C21"/>
    <mergeCell ref="B22:C22"/>
    <mergeCell ref="A9:D9"/>
    <mergeCell ref="A10:D10"/>
    <mergeCell ref="A11:D11"/>
    <mergeCell ref="B14:C14"/>
    <mergeCell ref="B15:C15"/>
    <mergeCell ref="B31:C31"/>
    <mergeCell ref="B32:C32"/>
    <mergeCell ref="B25:C25"/>
    <mergeCell ref="B26:C26"/>
    <mergeCell ref="B24:C24"/>
    <mergeCell ref="B37:C37"/>
    <mergeCell ref="A59:C59"/>
    <mergeCell ref="A66:D66"/>
    <mergeCell ref="A73:F73"/>
    <mergeCell ref="B45:C45"/>
    <mergeCell ref="B46:C46"/>
    <mergeCell ref="A47:F47"/>
    <mergeCell ref="A48:D48"/>
    <mergeCell ref="B51:C51"/>
    <mergeCell ref="B52:C52"/>
    <mergeCell ref="B49:C49"/>
    <mergeCell ref="B50:C50"/>
    <mergeCell ref="B38:C38"/>
    <mergeCell ref="B39:C39"/>
    <mergeCell ref="D5:E5"/>
    <mergeCell ref="B41:C41"/>
    <mergeCell ref="B42:C42"/>
    <mergeCell ref="B43:C43"/>
    <mergeCell ref="B44:C44"/>
    <mergeCell ref="B19:C19"/>
    <mergeCell ref="B20:C20"/>
    <mergeCell ref="B40:C40"/>
    <mergeCell ref="B27:C27"/>
    <mergeCell ref="B28:C28"/>
    <mergeCell ref="B29:C29"/>
    <mergeCell ref="B30:C30"/>
    <mergeCell ref="B33:C33"/>
    <mergeCell ref="B34:C34"/>
    <mergeCell ref="B35:C35"/>
    <mergeCell ref="B36:C36"/>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V128"/>
  <sheetViews>
    <sheetView view="pageBreakPreview" topLeftCell="A113" zoomScale="50" zoomScaleNormal="100" zoomScaleSheetLayoutView="50" workbookViewId="0">
      <selection activeCell="F49" sqref="F49:F50"/>
    </sheetView>
  </sheetViews>
  <sheetFormatPr defaultColWidth="8.88671875" defaultRowHeight="15.6" x14ac:dyDescent="0.3"/>
  <cols>
    <col min="1" max="1" width="12.109375" style="11" customWidth="1"/>
    <col min="2" max="2" width="7.5546875" style="11" customWidth="1"/>
    <col min="3" max="3" width="8.33203125" style="207" customWidth="1"/>
    <col min="4" max="4" width="31.5546875" style="11" customWidth="1"/>
    <col min="5" max="5" width="30.5546875" style="11" customWidth="1"/>
    <col min="6" max="6" width="30.88671875" style="5" customWidth="1"/>
    <col min="7" max="7" width="15.6640625" style="19" customWidth="1"/>
    <col min="8" max="8" width="16.44140625" style="208" customWidth="1"/>
    <col min="9" max="9" width="16.6640625" style="215" customWidth="1"/>
    <col min="10" max="10" width="16.109375" style="208" customWidth="1"/>
    <col min="11" max="11" width="17.88671875" style="208" customWidth="1"/>
    <col min="12" max="12" width="16" style="208" customWidth="1"/>
    <col min="13" max="13" width="16.5546875" style="208" customWidth="1"/>
    <col min="14" max="14" width="16.33203125" style="208" customWidth="1"/>
    <col min="15" max="15" width="11.44140625" style="210" customWidth="1"/>
    <col min="16" max="256" width="8.88671875" style="11"/>
    <col min="257" max="257" width="12.5546875" style="11" customWidth="1"/>
    <col min="258" max="258" width="9.88671875" style="11" customWidth="1"/>
    <col min="259" max="259" width="9.5546875" style="11" customWidth="1"/>
    <col min="260" max="260" width="30.5546875" style="11" customWidth="1"/>
    <col min="261" max="261" width="28.88671875" style="11" customWidth="1"/>
    <col min="262" max="262" width="21.44140625" style="11" customWidth="1"/>
    <col min="263" max="263" width="18" style="11" customWidth="1"/>
    <col min="264" max="264" width="15.88671875" style="11" customWidth="1"/>
    <col min="265" max="265" width="16.5546875" style="11" customWidth="1"/>
    <col min="266" max="266" width="18.88671875" style="11" customWidth="1"/>
    <col min="267" max="267" width="16.44140625" style="11" customWidth="1"/>
    <col min="268" max="268" width="16.109375" style="11" customWidth="1"/>
    <col min="269" max="269" width="19.6640625" style="11" customWidth="1"/>
    <col min="270" max="270" width="14.88671875" style="11" customWidth="1"/>
    <col min="271" max="271" width="11.5546875" style="11" customWidth="1"/>
    <col min="272" max="512" width="8.88671875" style="11"/>
    <col min="513" max="513" width="12.5546875" style="11" customWidth="1"/>
    <col min="514" max="514" width="9.88671875" style="11" customWidth="1"/>
    <col min="515" max="515" width="9.5546875" style="11" customWidth="1"/>
    <col min="516" max="516" width="30.5546875" style="11" customWidth="1"/>
    <col min="517" max="517" width="28.88671875" style="11" customWidth="1"/>
    <col min="518" max="518" width="21.44140625" style="11" customWidth="1"/>
    <col min="519" max="519" width="18" style="11" customWidth="1"/>
    <col min="520" max="520" width="15.88671875" style="11" customWidth="1"/>
    <col min="521" max="521" width="16.5546875" style="11" customWidth="1"/>
    <col min="522" max="522" width="18.88671875" style="11" customWidth="1"/>
    <col min="523" max="523" width="16.44140625" style="11" customWidth="1"/>
    <col min="524" max="524" width="16.109375" style="11" customWidth="1"/>
    <col min="525" max="525" width="19.6640625" style="11" customWidth="1"/>
    <col min="526" max="526" width="14.88671875" style="11" customWidth="1"/>
    <col min="527" max="527" width="11.5546875" style="11" customWidth="1"/>
    <col min="528" max="768" width="8.88671875" style="11"/>
    <col min="769" max="769" width="12.5546875" style="11" customWidth="1"/>
    <col min="770" max="770" width="9.88671875" style="11" customWidth="1"/>
    <col min="771" max="771" width="9.5546875" style="11" customWidth="1"/>
    <col min="772" max="772" width="30.5546875" style="11" customWidth="1"/>
    <col min="773" max="773" width="28.88671875" style="11" customWidth="1"/>
    <col min="774" max="774" width="21.44140625" style="11" customWidth="1"/>
    <col min="775" max="775" width="18" style="11" customWidth="1"/>
    <col min="776" max="776" width="15.88671875" style="11" customWidth="1"/>
    <col min="777" max="777" width="16.5546875" style="11" customWidth="1"/>
    <col min="778" max="778" width="18.88671875" style="11" customWidth="1"/>
    <col min="779" max="779" width="16.44140625" style="11" customWidth="1"/>
    <col min="780" max="780" width="16.109375" style="11" customWidth="1"/>
    <col min="781" max="781" width="19.6640625" style="11" customWidth="1"/>
    <col min="782" max="782" width="14.88671875" style="11" customWidth="1"/>
    <col min="783" max="783" width="11.5546875" style="11" customWidth="1"/>
    <col min="784" max="1024" width="8.88671875" style="11"/>
    <col min="1025" max="1025" width="12.5546875" style="11" customWidth="1"/>
    <col min="1026" max="1026" width="9.88671875" style="11" customWidth="1"/>
    <col min="1027" max="1027" width="9.5546875" style="11" customWidth="1"/>
    <col min="1028" max="1028" width="30.5546875" style="11" customWidth="1"/>
    <col min="1029" max="1029" width="28.88671875" style="11" customWidth="1"/>
    <col min="1030" max="1030" width="21.44140625" style="11" customWidth="1"/>
    <col min="1031" max="1031" width="18" style="11" customWidth="1"/>
    <col min="1032" max="1032" width="15.88671875" style="11" customWidth="1"/>
    <col min="1033" max="1033" width="16.5546875" style="11" customWidth="1"/>
    <col min="1034" max="1034" width="18.88671875" style="11" customWidth="1"/>
    <col min="1035" max="1035" width="16.44140625" style="11" customWidth="1"/>
    <col min="1036" max="1036" width="16.109375" style="11" customWidth="1"/>
    <col min="1037" max="1037" width="19.6640625" style="11" customWidth="1"/>
    <col min="1038" max="1038" width="14.88671875" style="11" customWidth="1"/>
    <col min="1039" max="1039" width="11.5546875" style="11" customWidth="1"/>
    <col min="1040" max="1280" width="8.88671875" style="11"/>
    <col min="1281" max="1281" width="12.5546875" style="11" customWidth="1"/>
    <col min="1282" max="1282" width="9.88671875" style="11" customWidth="1"/>
    <col min="1283" max="1283" width="9.5546875" style="11" customWidth="1"/>
    <col min="1284" max="1284" width="30.5546875" style="11" customWidth="1"/>
    <col min="1285" max="1285" width="28.88671875" style="11" customWidth="1"/>
    <col min="1286" max="1286" width="21.44140625" style="11" customWidth="1"/>
    <col min="1287" max="1287" width="18" style="11" customWidth="1"/>
    <col min="1288" max="1288" width="15.88671875" style="11" customWidth="1"/>
    <col min="1289" max="1289" width="16.5546875" style="11" customWidth="1"/>
    <col min="1290" max="1290" width="18.88671875" style="11" customWidth="1"/>
    <col min="1291" max="1291" width="16.44140625" style="11" customWidth="1"/>
    <col min="1292" max="1292" width="16.109375" style="11" customWidth="1"/>
    <col min="1293" max="1293" width="19.6640625" style="11" customWidth="1"/>
    <col min="1294" max="1294" width="14.88671875" style="11" customWidth="1"/>
    <col min="1295" max="1295" width="11.5546875" style="11" customWidth="1"/>
    <col min="1296" max="1536" width="8.88671875" style="11"/>
    <col min="1537" max="1537" width="12.5546875" style="11" customWidth="1"/>
    <col min="1538" max="1538" width="9.88671875" style="11" customWidth="1"/>
    <col min="1539" max="1539" width="9.5546875" style="11" customWidth="1"/>
    <col min="1540" max="1540" width="30.5546875" style="11" customWidth="1"/>
    <col min="1541" max="1541" width="28.88671875" style="11" customWidth="1"/>
    <col min="1542" max="1542" width="21.44140625" style="11" customWidth="1"/>
    <col min="1543" max="1543" width="18" style="11" customWidth="1"/>
    <col min="1544" max="1544" width="15.88671875" style="11" customWidth="1"/>
    <col min="1545" max="1545" width="16.5546875" style="11" customWidth="1"/>
    <col min="1546" max="1546" width="18.88671875" style="11" customWidth="1"/>
    <col min="1547" max="1547" width="16.44140625" style="11" customWidth="1"/>
    <col min="1548" max="1548" width="16.109375" style="11" customWidth="1"/>
    <col min="1549" max="1549" width="19.6640625" style="11" customWidth="1"/>
    <col min="1550" max="1550" width="14.88671875" style="11" customWidth="1"/>
    <col min="1551" max="1551" width="11.5546875" style="11" customWidth="1"/>
    <col min="1552" max="1792" width="8.88671875" style="11"/>
    <col min="1793" max="1793" width="12.5546875" style="11" customWidth="1"/>
    <col min="1794" max="1794" width="9.88671875" style="11" customWidth="1"/>
    <col min="1795" max="1795" width="9.5546875" style="11" customWidth="1"/>
    <col min="1796" max="1796" width="30.5546875" style="11" customWidth="1"/>
    <col min="1797" max="1797" width="28.88671875" style="11" customWidth="1"/>
    <col min="1798" max="1798" width="21.44140625" style="11" customWidth="1"/>
    <col min="1799" max="1799" width="18" style="11" customWidth="1"/>
    <col min="1800" max="1800" width="15.88671875" style="11" customWidth="1"/>
    <col min="1801" max="1801" width="16.5546875" style="11" customWidth="1"/>
    <col min="1802" max="1802" width="18.88671875" style="11" customWidth="1"/>
    <col min="1803" max="1803" width="16.44140625" style="11" customWidth="1"/>
    <col min="1804" max="1804" width="16.109375" style="11" customWidth="1"/>
    <col min="1805" max="1805" width="19.6640625" style="11" customWidth="1"/>
    <col min="1806" max="1806" width="14.88671875" style="11" customWidth="1"/>
    <col min="1807" max="1807" width="11.5546875" style="11" customWidth="1"/>
    <col min="1808" max="2048" width="8.88671875" style="11"/>
    <col min="2049" max="2049" width="12.5546875" style="11" customWidth="1"/>
    <col min="2050" max="2050" width="9.88671875" style="11" customWidth="1"/>
    <col min="2051" max="2051" width="9.5546875" style="11" customWidth="1"/>
    <col min="2052" max="2052" width="30.5546875" style="11" customWidth="1"/>
    <col min="2053" max="2053" width="28.88671875" style="11" customWidth="1"/>
    <col min="2054" max="2054" width="21.44140625" style="11" customWidth="1"/>
    <col min="2055" max="2055" width="18" style="11" customWidth="1"/>
    <col min="2056" max="2056" width="15.88671875" style="11" customWidth="1"/>
    <col min="2057" max="2057" width="16.5546875" style="11" customWidth="1"/>
    <col min="2058" max="2058" width="18.88671875" style="11" customWidth="1"/>
    <col min="2059" max="2059" width="16.44140625" style="11" customWidth="1"/>
    <col min="2060" max="2060" width="16.109375" style="11" customWidth="1"/>
    <col min="2061" max="2061" width="19.6640625" style="11" customWidth="1"/>
    <col min="2062" max="2062" width="14.88671875" style="11" customWidth="1"/>
    <col min="2063" max="2063" width="11.5546875" style="11" customWidth="1"/>
    <col min="2064" max="2304" width="8.88671875" style="11"/>
    <col min="2305" max="2305" width="12.5546875" style="11" customWidth="1"/>
    <col min="2306" max="2306" width="9.88671875" style="11" customWidth="1"/>
    <col min="2307" max="2307" width="9.5546875" style="11" customWidth="1"/>
    <col min="2308" max="2308" width="30.5546875" style="11" customWidth="1"/>
    <col min="2309" max="2309" width="28.88671875" style="11" customWidth="1"/>
    <col min="2310" max="2310" width="21.44140625" style="11" customWidth="1"/>
    <col min="2311" max="2311" width="18" style="11" customWidth="1"/>
    <col min="2312" max="2312" width="15.88671875" style="11" customWidth="1"/>
    <col min="2313" max="2313" width="16.5546875" style="11" customWidth="1"/>
    <col min="2314" max="2314" width="18.88671875" style="11" customWidth="1"/>
    <col min="2315" max="2315" width="16.44140625" style="11" customWidth="1"/>
    <col min="2316" max="2316" width="16.109375" style="11" customWidth="1"/>
    <col min="2317" max="2317" width="19.6640625" style="11" customWidth="1"/>
    <col min="2318" max="2318" width="14.88671875" style="11" customWidth="1"/>
    <col min="2319" max="2319" width="11.5546875" style="11" customWidth="1"/>
    <col min="2320" max="2560" width="8.88671875" style="11"/>
    <col min="2561" max="2561" width="12.5546875" style="11" customWidth="1"/>
    <col min="2562" max="2562" width="9.88671875" style="11" customWidth="1"/>
    <col min="2563" max="2563" width="9.5546875" style="11" customWidth="1"/>
    <col min="2564" max="2564" width="30.5546875" style="11" customWidth="1"/>
    <col min="2565" max="2565" width="28.88671875" style="11" customWidth="1"/>
    <col min="2566" max="2566" width="21.44140625" style="11" customWidth="1"/>
    <col min="2567" max="2567" width="18" style="11" customWidth="1"/>
    <col min="2568" max="2568" width="15.88671875" style="11" customWidth="1"/>
    <col min="2569" max="2569" width="16.5546875" style="11" customWidth="1"/>
    <col min="2570" max="2570" width="18.88671875" style="11" customWidth="1"/>
    <col min="2571" max="2571" width="16.44140625" style="11" customWidth="1"/>
    <col min="2572" max="2572" width="16.109375" style="11" customWidth="1"/>
    <col min="2573" max="2573" width="19.6640625" style="11" customWidth="1"/>
    <col min="2574" max="2574" width="14.88671875" style="11" customWidth="1"/>
    <col min="2575" max="2575" width="11.5546875" style="11" customWidth="1"/>
    <col min="2576" max="2816" width="8.88671875" style="11"/>
    <col min="2817" max="2817" width="12.5546875" style="11" customWidth="1"/>
    <col min="2818" max="2818" width="9.88671875" style="11" customWidth="1"/>
    <col min="2819" max="2819" width="9.5546875" style="11" customWidth="1"/>
    <col min="2820" max="2820" width="30.5546875" style="11" customWidth="1"/>
    <col min="2821" max="2821" width="28.88671875" style="11" customWidth="1"/>
    <col min="2822" max="2822" width="21.44140625" style="11" customWidth="1"/>
    <col min="2823" max="2823" width="18" style="11" customWidth="1"/>
    <col min="2824" max="2824" width="15.88671875" style="11" customWidth="1"/>
    <col min="2825" max="2825" width="16.5546875" style="11" customWidth="1"/>
    <col min="2826" max="2826" width="18.88671875" style="11" customWidth="1"/>
    <col min="2827" max="2827" width="16.44140625" style="11" customWidth="1"/>
    <col min="2828" max="2828" width="16.109375" style="11" customWidth="1"/>
    <col min="2829" max="2829" width="19.6640625" style="11" customWidth="1"/>
    <col min="2830" max="2830" width="14.88671875" style="11" customWidth="1"/>
    <col min="2831" max="2831" width="11.5546875" style="11" customWidth="1"/>
    <col min="2832" max="3072" width="8.88671875" style="11"/>
    <col min="3073" max="3073" width="12.5546875" style="11" customWidth="1"/>
    <col min="3074" max="3074" width="9.88671875" style="11" customWidth="1"/>
    <col min="3075" max="3075" width="9.5546875" style="11" customWidth="1"/>
    <col min="3076" max="3076" width="30.5546875" style="11" customWidth="1"/>
    <col min="3077" max="3077" width="28.88671875" style="11" customWidth="1"/>
    <col min="3078" max="3078" width="21.44140625" style="11" customWidth="1"/>
    <col min="3079" max="3079" width="18" style="11" customWidth="1"/>
    <col min="3080" max="3080" width="15.88671875" style="11" customWidth="1"/>
    <col min="3081" max="3081" width="16.5546875" style="11" customWidth="1"/>
    <col min="3082" max="3082" width="18.88671875" style="11" customWidth="1"/>
    <col min="3083" max="3083" width="16.44140625" style="11" customWidth="1"/>
    <col min="3084" max="3084" width="16.109375" style="11" customWidth="1"/>
    <col min="3085" max="3085" width="19.6640625" style="11" customWidth="1"/>
    <col min="3086" max="3086" width="14.88671875" style="11" customWidth="1"/>
    <col min="3087" max="3087" width="11.5546875" style="11" customWidth="1"/>
    <col min="3088" max="3328" width="8.88671875" style="11"/>
    <col min="3329" max="3329" width="12.5546875" style="11" customWidth="1"/>
    <col min="3330" max="3330" width="9.88671875" style="11" customWidth="1"/>
    <col min="3331" max="3331" width="9.5546875" style="11" customWidth="1"/>
    <col min="3332" max="3332" width="30.5546875" style="11" customWidth="1"/>
    <col min="3333" max="3333" width="28.88671875" style="11" customWidth="1"/>
    <col min="3334" max="3334" width="21.44140625" style="11" customWidth="1"/>
    <col min="3335" max="3335" width="18" style="11" customWidth="1"/>
    <col min="3336" max="3336" width="15.88671875" style="11" customWidth="1"/>
    <col min="3337" max="3337" width="16.5546875" style="11" customWidth="1"/>
    <col min="3338" max="3338" width="18.88671875" style="11" customWidth="1"/>
    <col min="3339" max="3339" width="16.44140625" style="11" customWidth="1"/>
    <col min="3340" max="3340" width="16.109375" style="11" customWidth="1"/>
    <col min="3341" max="3341" width="19.6640625" style="11" customWidth="1"/>
    <col min="3342" max="3342" width="14.88671875" style="11" customWidth="1"/>
    <col min="3343" max="3343" width="11.5546875" style="11" customWidth="1"/>
    <col min="3344" max="3584" width="8.88671875" style="11"/>
    <col min="3585" max="3585" width="12.5546875" style="11" customWidth="1"/>
    <col min="3586" max="3586" width="9.88671875" style="11" customWidth="1"/>
    <col min="3587" max="3587" width="9.5546875" style="11" customWidth="1"/>
    <col min="3588" max="3588" width="30.5546875" style="11" customWidth="1"/>
    <col min="3589" max="3589" width="28.88671875" style="11" customWidth="1"/>
    <col min="3590" max="3590" width="21.44140625" style="11" customWidth="1"/>
    <col min="3591" max="3591" width="18" style="11" customWidth="1"/>
    <col min="3592" max="3592" width="15.88671875" style="11" customWidth="1"/>
    <col min="3593" max="3593" width="16.5546875" style="11" customWidth="1"/>
    <col min="3594" max="3594" width="18.88671875" style="11" customWidth="1"/>
    <col min="3595" max="3595" width="16.44140625" style="11" customWidth="1"/>
    <col min="3596" max="3596" width="16.109375" style="11" customWidth="1"/>
    <col min="3597" max="3597" width="19.6640625" style="11" customWidth="1"/>
    <col min="3598" max="3598" width="14.88671875" style="11" customWidth="1"/>
    <col min="3599" max="3599" width="11.5546875" style="11" customWidth="1"/>
    <col min="3600" max="3840" width="8.88671875" style="11"/>
    <col min="3841" max="3841" width="12.5546875" style="11" customWidth="1"/>
    <col min="3842" max="3842" width="9.88671875" style="11" customWidth="1"/>
    <col min="3843" max="3843" width="9.5546875" style="11" customWidth="1"/>
    <col min="3844" max="3844" width="30.5546875" style="11" customWidth="1"/>
    <col min="3845" max="3845" width="28.88671875" style="11" customWidth="1"/>
    <col min="3846" max="3846" width="21.44140625" style="11" customWidth="1"/>
    <col min="3847" max="3847" width="18" style="11" customWidth="1"/>
    <col min="3848" max="3848" width="15.88671875" style="11" customWidth="1"/>
    <col min="3849" max="3849" width="16.5546875" style="11" customWidth="1"/>
    <col min="3850" max="3850" width="18.88671875" style="11" customWidth="1"/>
    <col min="3851" max="3851" width="16.44140625" style="11" customWidth="1"/>
    <col min="3852" max="3852" width="16.109375" style="11" customWidth="1"/>
    <col min="3853" max="3853" width="19.6640625" style="11" customWidth="1"/>
    <col min="3854" max="3854" width="14.88671875" style="11" customWidth="1"/>
    <col min="3855" max="3855" width="11.5546875" style="11" customWidth="1"/>
    <col min="3856" max="4096" width="8.88671875" style="11"/>
    <col min="4097" max="4097" width="12.5546875" style="11" customWidth="1"/>
    <col min="4098" max="4098" width="9.88671875" style="11" customWidth="1"/>
    <col min="4099" max="4099" width="9.5546875" style="11" customWidth="1"/>
    <col min="4100" max="4100" width="30.5546875" style="11" customWidth="1"/>
    <col min="4101" max="4101" width="28.88671875" style="11" customWidth="1"/>
    <col min="4102" max="4102" width="21.44140625" style="11" customWidth="1"/>
    <col min="4103" max="4103" width="18" style="11" customWidth="1"/>
    <col min="4104" max="4104" width="15.88671875" style="11" customWidth="1"/>
    <col min="4105" max="4105" width="16.5546875" style="11" customWidth="1"/>
    <col min="4106" max="4106" width="18.88671875" style="11" customWidth="1"/>
    <col min="4107" max="4107" width="16.44140625" style="11" customWidth="1"/>
    <col min="4108" max="4108" width="16.109375" style="11" customWidth="1"/>
    <col min="4109" max="4109" width="19.6640625" style="11" customWidth="1"/>
    <col min="4110" max="4110" width="14.88671875" style="11" customWidth="1"/>
    <col min="4111" max="4111" width="11.5546875" style="11" customWidth="1"/>
    <col min="4112" max="4352" width="8.88671875" style="11"/>
    <col min="4353" max="4353" width="12.5546875" style="11" customWidth="1"/>
    <col min="4354" max="4354" width="9.88671875" style="11" customWidth="1"/>
    <col min="4355" max="4355" width="9.5546875" style="11" customWidth="1"/>
    <col min="4356" max="4356" width="30.5546875" style="11" customWidth="1"/>
    <col min="4357" max="4357" width="28.88671875" style="11" customWidth="1"/>
    <col min="4358" max="4358" width="21.44140625" style="11" customWidth="1"/>
    <col min="4359" max="4359" width="18" style="11" customWidth="1"/>
    <col min="4360" max="4360" width="15.88671875" style="11" customWidth="1"/>
    <col min="4361" max="4361" width="16.5546875" style="11" customWidth="1"/>
    <col min="4362" max="4362" width="18.88671875" style="11" customWidth="1"/>
    <col min="4363" max="4363" width="16.44140625" style="11" customWidth="1"/>
    <col min="4364" max="4364" width="16.109375" style="11" customWidth="1"/>
    <col min="4365" max="4365" width="19.6640625" style="11" customWidth="1"/>
    <col min="4366" max="4366" width="14.88671875" style="11" customWidth="1"/>
    <col min="4367" max="4367" width="11.5546875" style="11" customWidth="1"/>
    <col min="4368" max="4608" width="8.88671875" style="11"/>
    <col min="4609" max="4609" width="12.5546875" style="11" customWidth="1"/>
    <col min="4610" max="4610" width="9.88671875" style="11" customWidth="1"/>
    <col min="4611" max="4611" width="9.5546875" style="11" customWidth="1"/>
    <col min="4612" max="4612" width="30.5546875" style="11" customWidth="1"/>
    <col min="4613" max="4613" width="28.88671875" style="11" customWidth="1"/>
    <col min="4614" max="4614" width="21.44140625" style="11" customWidth="1"/>
    <col min="4615" max="4615" width="18" style="11" customWidth="1"/>
    <col min="4616" max="4616" width="15.88671875" style="11" customWidth="1"/>
    <col min="4617" max="4617" width="16.5546875" style="11" customWidth="1"/>
    <col min="4618" max="4618" width="18.88671875" style="11" customWidth="1"/>
    <col min="4619" max="4619" width="16.44140625" style="11" customWidth="1"/>
    <col min="4620" max="4620" width="16.109375" style="11" customWidth="1"/>
    <col min="4621" max="4621" width="19.6640625" style="11" customWidth="1"/>
    <col min="4622" max="4622" width="14.88671875" style="11" customWidth="1"/>
    <col min="4623" max="4623" width="11.5546875" style="11" customWidth="1"/>
    <col min="4624" max="4864" width="8.88671875" style="11"/>
    <col min="4865" max="4865" width="12.5546875" style="11" customWidth="1"/>
    <col min="4866" max="4866" width="9.88671875" style="11" customWidth="1"/>
    <col min="4867" max="4867" width="9.5546875" style="11" customWidth="1"/>
    <col min="4868" max="4868" width="30.5546875" style="11" customWidth="1"/>
    <col min="4869" max="4869" width="28.88671875" style="11" customWidth="1"/>
    <col min="4870" max="4870" width="21.44140625" style="11" customWidth="1"/>
    <col min="4871" max="4871" width="18" style="11" customWidth="1"/>
    <col min="4872" max="4872" width="15.88671875" style="11" customWidth="1"/>
    <col min="4873" max="4873" width="16.5546875" style="11" customWidth="1"/>
    <col min="4874" max="4874" width="18.88671875" style="11" customWidth="1"/>
    <col min="4875" max="4875" width="16.44140625" style="11" customWidth="1"/>
    <col min="4876" max="4876" width="16.109375" style="11" customWidth="1"/>
    <col min="4877" max="4877" width="19.6640625" style="11" customWidth="1"/>
    <col min="4878" max="4878" width="14.88671875" style="11" customWidth="1"/>
    <col min="4879" max="4879" width="11.5546875" style="11" customWidth="1"/>
    <col min="4880" max="5120" width="8.88671875" style="11"/>
    <col min="5121" max="5121" width="12.5546875" style="11" customWidth="1"/>
    <col min="5122" max="5122" width="9.88671875" style="11" customWidth="1"/>
    <col min="5123" max="5123" width="9.5546875" style="11" customWidth="1"/>
    <col min="5124" max="5124" width="30.5546875" style="11" customWidth="1"/>
    <col min="5125" max="5125" width="28.88671875" style="11" customWidth="1"/>
    <col min="5126" max="5126" width="21.44140625" style="11" customWidth="1"/>
    <col min="5127" max="5127" width="18" style="11" customWidth="1"/>
    <col min="5128" max="5128" width="15.88671875" style="11" customWidth="1"/>
    <col min="5129" max="5129" width="16.5546875" style="11" customWidth="1"/>
    <col min="5130" max="5130" width="18.88671875" style="11" customWidth="1"/>
    <col min="5131" max="5131" width="16.44140625" style="11" customWidth="1"/>
    <col min="5132" max="5132" width="16.109375" style="11" customWidth="1"/>
    <col min="5133" max="5133" width="19.6640625" style="11" customWidth="1"/>
    <col min="5134" max="5134" width="14.88671875" style="11" customWidth="1"/>
    <col min="5135" max="5135" width="11.5546875" style="11" customWidth="1"/>
    <col min="5136" max="5376" width="8.88671875" style="11"/>
    <col min="5377" max="5377" width="12.5546875" style="11" customWidth="1"/>
    <col min="5378" max="5378" width="9.88671875" style="11" customWidth="1"/>
    <col min="5379" max="5379" width="9.5546875" style="11" customWidth="1"/>
    <col min="5380" max="5380" width="30.5546875" style="11" customWidth="1"/>
    <col min="5381" max="5381" width="28.88671875" style="11" customWidth="1"/>
    <col min="5382" max="5382" width="21.44140625" style="11" customWidth="1"/>
    <col min="5383" max="5383" width="18" style="11" customWidth="1"/>
    <col min="5384" max="5384" width="15.88671875" style="11" customWidth="1"/>
    <col min="5385" max="5385" width="16.5546875" style="11" customWidth="1"/>
    <col min="5386" max="5386" width="18.88671875" style="11" customWidth="1"/>
    <col min="5387" max="5387" width="16.44140625" style="11" customWidth="1"/>
    <col min="5388" max="5388" width="16.109375" style="11" customWidth="1"/>
    <col min="5389" max="5389" width="19.6640625" style="11" customWidth="1"/>
    <col min="5390" max="5390" width="14.88671875" style="11" customWidth="1"/>
    <col min="5391" max="5391" width="11.5546875" style="11" customWidth="1"/>
    <col min="5392" max="5632" width="8.88671875" style="11"/>
    <col min="5633" max="5633" width="12.5546875" style="11" customWidth="1"/>
    <col min="5634" max="5634" width="9.88671875" style="11" customWidth="1"/>
    <col min="5635" max="5635" width="9.5546875" style="11" customWidth="1"/>
    <col min="5636" max="5636" width="30.5546875" style="11" customWidth="1"/>
    <col min="5637" max="5637" width="28.88671875" style="11" customWidth="1"/>
    <col min="5638" max="5638" width="21.44140625" style="11" customWidth="1"/>
    <col min="5639" max="5639" width="18" style="11" customWidth="1"/>
    <col min="5640" max="5640" width="15.88671875" style="11" customWidth="1"/>
    <col min="5641" max="5641" width="16.5546875" style="11" customWidth="1"/>
    <col min="5642" max="5642" width="18.88671875" style="11" customWidth="1"/>
    <col min="5643" max="5643" width="16.44140625" style="11" customWidth="1"/>
    <col min="5644" max="5644" width="16.109375" style="11" customWidth="1"/>
    <col min="5645" max="5645" width="19.6640625" style="11" customWidth="1"/>
    <col min="5646" max="5646" width="14.88671875" style="11" customWidth="1"/>
    <col min="5647" max="5647" width="11.5546875" style="11" customWidth="1"/>
    <col min="5648" max="5888" width="8.88671875" style="11"/>
    <col min="5889" max="5889" width="12.5546875" style="11" customWidth="1"/>
    <col min="5890" max="5890" width="9.88671875" style="11" customWidth="1"/>
    <col min="5891" max="5891" width="9.5546875" style="11" customWidth="1"/>
    <col min="5892" max="5892" width="30.5546875" style="11" customWidth="1"/>
    <col min="5893" max="5893" width="28.88671875" style="11" customWidth="1"/>
    <col min="5894" max="5894" width="21.44140625" style="11" customWidth="1"/>
    <col min="5895" max="5895" width="18" style="11" customWidth="1"/>
    <col min="5896" max="5896" width="15.88671875" style="11" customWidth="1"/>
    <col min="5897" max="5897" width="16.5546875" style="11" customWidth="1"/>
    <col min="5898" max="5898" width="18.88671875" style="11" customWidth="1"/>
    <col min="5899" max="5899" width="16.44140625" style="11" customWidth="1"/>
    <col min="5900" max="5900" width="16.109375" style="11" customWidth="1"/>
    <col min="5901" max="5901" width="19.6640625" style="11" customWidth="1"/>
    <col min="5902" max="5902" width="14.88671875" style="11" customWidth="1"/>
    <col min="5903" max="5903" width="11.5546875" style="11" customWidth="1"/>
    <col min="5904" max="6144" width="8.88671875" style="11"/>
    <col min="6145" max="6145" width="12.5546875" style="11" customWidth="1"/>
    <col min="6146" max="6146" width="9.88671875" style="11" customWidth="1"/>
    <col min="6147" max="6147" width="9.5546875" style="11" customWidth="1"/>
    <col min="6148" max="6148" width="30.5546875" style="11" customWidth="1"/>
    <col min="6149" max="6149" width="28.88671875" style="11" customWidth="1"/>
    <col min="6150" max="6150" width="21.44140625" style="11" customWidth="1"/>
    <col min="6151" max="6151" width="18" style="11" customWidth="1"/>
    <col min="6152" max="6152" width="15.88671875" style="11" customWidth="1"/>
    <col min="6153" max="6153" width="16.5546875" style="11" customWidth="1"/>
    <col min="6154" max="6154" width="18.88671875" style="11" customWidth="1"/>
    <col min="6155" max="6155" width="16.44140625" style="11" customWidth="1"/>
    <col min="6156" max="6156" width="16.109375" style="11" customWidth="1"/>
    <col min="6157" max="6157" width="19.6640625" style="11" customWidth="1"/>
    <col min="6158" max="6158" width="14.88671875" style="11" customWidth="1"/>
    <col min="6159" max="6159" width="11.5546875" style="11" customWidth="1"/>
    <col min="6160" max="6400" width="8.88671875" style="11"/>
    <col min="6401" max="6401" width="12.5546875" style="11" customWidth="1"/>
    <col min="6402" max="6402" width="9.88671875" style="11" customWidth="1"/>
    <col min="6403" max="6403" width="9.5546875" style="11" customWidth="1"/>
    <col min="6404" max="6404" width="30.5546875" style="11" customWidth="1"/>
    <col min="6405" max="6405" width="28.88671875" style="11" customWidth="1"/>
    <col min="6406" max="6406" width="21.44140625" style="11" customWidth="1"/>
    <col min="6407" max="6407" width="18" style="11" customWidth="1"/>
    <col min="6408" max="6408" width="15.88671875" style="11" customWidth="1"/>
    <col min="6409" max="6409" width="16.5546875" style="11" customWidth="1"/>
    <col min="6410" max="6410" width="18.88671875" style="11" customWidth="1"/>
    <col min="6411" max="6411" width="16.44140625" style="11" customWidth="1"/>
    <col min="6412" max="6412" width="16.109375" style="11" customWidth="1"/>
    <col min="6413" max="6413" width="19.6640625" style="11" customWidth="1"/>
    <col min="6414" max="6414" width="14.88671875" style="11" customWidth="1"/>
    <col min="6415" max="6415" width="11.5546875" style="11" customWidth="1"/>
    <col min="6416" max="6656" width="8.88671875" style="11"/>
    <col min="6657" max="6657" width="12.5546875" style="11" customWidth="1"/>
    <col min="6658" max="6658" width="9.88671875" style="11" customWidth="1"/>
    <col min="6659" max="6659" width="9.5546875" style="11" customWidth="1"/>
    <col min="6660" max="6660" width="30.5546875" style="11" customWidth="1"/>
    <col min="6661" max="6661" width="28.88671875" style="11" customWidth="1"/>
    <col min="6662" max="6662" width="21.44140625" style="11" customWidth="1"/>
    <col min="6663" max="6663" width="18" style="11" customWidth="1"/>
    <col min="6664" max="6664" width="15.88671875" style="11" customWidth="1"/>
    <col min="6665" max="6665" width="16.5546875" style="11" customWidth="1"/>
    <col min="6666" max="6666" width="18.88671875" style="11" customWidth="1"/>
    <col min="6667" max="6667" width="16.44140625" style="11" customWidth="1"/>
    <col min="6668" max="6668" width="16.109375" style="11" customWidth="1"/>
    <col min="6669" max="6669" width="19.6640625" style="11" customWidth="1"/>
    <col min="6670" max="6670" width="14.88671875" style="11" customWidth="1"/>
    <col min="6671" max="6671" width="11.5546875" style="11" customWidth="1"/>
    <col min="6672" max="6912" width="8.88671875" style="11"/>
    <col min="6913" max="6913" width="12.5546875" style="11" customWidth="1"/>
    <col min="6914" max="6914" width="9.88671875" style="11" customWidth="1"/>
    <col min="6915" max="6915" width="9.5546875" style="11" customWidth="1"/>
    <col min="6916" max="6916" width="30.5546875" style="11" customWidth="1"/>
    <col min="6917" max="6917" width="28.88671875" style="11" customWidth="1"/>
    <col min="6918" max="6918" width="21.44140625" style="11" customWidth="1"/>
    <col min="6919" max="6919" width="18" style="11" customWidth="1"/>
    <col min="6920" max="6920" width="15.88671875" style="11" customWidth="1"/>
    <col min="6921" max="6921" width="16.5546875" style="11" customWidth="1"/>
    <col min="6922" max="6922" width="18.88671875" style="11" customWidth="1"/>
    <col min="6923" max="6923" width="16.44140625" style="11" customWidth="1"/>
    <col min="6924" max="6924" width="16.109375" style="11" customWidth="1"/>
    <col min="6925" max="6925" width="19.6640625" style="11" customWidth="1"/>
    <col min="6926" max="6926" width="14.88671875" style="11" customWidth="1"/>
    <col min="6927" max="6927" width="11.5546875" style="11" customWidth="1"/>
    <col min="6928" max="7168" width="8.88671875" style="11"/>
    <col min="7169" max="7169" width="12.5546875" style="11" customWidth="1"/>
    <col min="7170" max="7170" width="9.88671875" style="11" customWidth="1"/>
    <col min="7171" max="7171" width="9.5546875" style="11" customWidth="1"/>
    <col min="7172" max="7172" width="30.5546875" style="11" customWidth="1"/>
    <col min="7173" max="7173" width="28.88671875" style="11" customWidth="1"/>
    <col min="7174" max="7174" width="21.44140625" style="11" customWidth="1"/>
    <col min="7175" max="7175" width="18" style="11" customWidth="1"/>
    <col min="7176" max="7176" width="15.88671875" style="11" customWidth="1"/>
    <col min="7177" max="7177" width="16.5546875" style="11" customWidth="1"/>
    <col min="7178" max="7178" width="18.88671875" style="11" customWidth="1"/>
    <col min="7179" max="7179" width="16.44140625" style="11" customWidth="1"/>
    <col min="7180" max="7180" width="16.109375" style="11" customWidth="1"/>
    <col min="7181" max="7181" width="19.6640625" style="11" customWidth="1"/>
    <col min="7182" max="7182" width="14.88671875" style="11" customWidth="1"/>
    <col min="7183" max="7183" width="11.5546875" style="11" customWidth="1"/>
    <col min="7184" max="7424" width="8.88671875" style="11"/>
    <col min="7425" max="7425" width="12.5546875" style="11" customWidth="1"/>
    <col min="7426" max="7426" width="9.88671875" style="11" customWidth="1"/>
    <col min="7427" max="7427" width="9.5546875" style="11" customWidth="1"/>
    <col min="7428" max="7428" width="30.5546875" style="11" customWidth="1"/>
    <col min="7429" max="7429" width="28.88671875" style="11" customWidth="1"/>
    <col min="7430" max="7430" width="21.44140625" style="11" customWidth="1"/>
    <col min="7431" max="7431" width="18" style="11" customWidth="1"/>
    <col min="7432" max="7432" width="15.88671875" style="11" customWidth="1"/>
    <col min="7433" max="7433" width="16.5546875" style="11" customWidth="1"/>
    <col min="7434" max="7434" width="18.88671875" style="11" customWidth="1"/>
    <col min="7435" max="7435" width="16.44140625" style="11" customWidth="1"/>
    <col min="7436" max="7436" width="16.109375" style="11" customWidth="1"/>
    <col min="7437" max="7437" width="19.6640625" style="11" customWidth="1"/>
    <col min="7438" max="7438" width="14.88671875" style="11" customWidth="1"/>
    <col min="7439" max="7439" width="11.5546875" style="11" customWidth="1"/>
    <col min="7440" max="7680" width="8.88671875" style="11"/>
    <col min="7681" max="7681" width="12.5546875" style="11" customWidth="1"/>
    <col min="7682" max="7682" width="9.88671875" style="11" customWidth="1"/>
    <col min="7683" max="7683" width="9.5546875" style="11" customWidth="1"/>
    <col min="7684" max="7684" width="30.5546875" style="11" customWidth="1"/>
    <col min="7685" max="7685" width="28.88671875" style="11" customWidth="1"/>
    <col min="7686" max="7686" width="21.44140625" style="11" customWidth="1"/>
    <col min="7687" max="7687" width="18" style="11" customWidth="1"/>
    <col min="7688" max="7688" width="15.88671875" style="11" customWidth="1"/>
    <col min="7689" max="7689" width="16.5546875" style="11" customWidth="1"/>
    <col min="7690" max="7690" width="18.88671875" style="11" customWidth="1"/>
    <col min="7691" max="7691" width="16.44140625" style="11" customWidth="1"/>
    <col min="7692" max="7692" width="16.109375" style="11" customWidth="1"/>
    <col min="7693" max="7693" width="19.6640625" style="11" customWidth="1"/>
    <col min="7694" max="7694" width="14.88671875" style="11" customWidth="1"/>
    <col min="7695" max="7695" width="11.5546875" style="11" customWidth="1"/>
    <col min="7696" max="7936" width="8.88671875" style="11"/>
    <col min="7937" max="7937" width="12.5546875" style="11" customWidth="1"/>
    <col min="7938" max="7938" width="9.88671875" style="11" customWidth="1"/>
    <col min="7939" max="7939" width="9.5546875" style="11" customWidth="1"/>
    <col min="7940" max="7940" width="30.5546875" style="11" customWidth="1"/>
    <col min="7941" max="7941" width="28.88671875" style="11" customWidth="1"/>
    <col min="7942" max="7942" width="21.44140625" style="11" customWidth="1"/>
    <col min="7943" max="7943" width="18" style="11" customWidth="1"/>
    <col min="7944" max="7944" width="15.88671875" style="11" customWidth="1"/>
    <col min="7945" max="7945" width="16.5546875" style="11" customWidth="1"/>
    <col min="7946" max="7946" width="18.88671875" style="11" customWidth="1"/>
    <col min="7947" max="7947" width="16.44140625" style="11" customWidth="1"/>
    <col min="7948" max="7948" width="16.109375" style="11" customWidth="1"/>
    <col min="7949" max="7949" width="19.6640625" style="11" customWidth="1"/>
    <col min="7950" max="7950" width="14.88671875" style="11" customWidth="1"/>
    <col min="7951" max="7951" width="11.5546875" style="11" customWidth="1"/>
    <col min="7952" max="8192" width="8.88671875" style="11"/>
    <col min="8193" max="8193" width="12.5546875" style="11" customWidth="1"/>
    <col min="8194" max="8194" width="9.88671875" style="11" customWidth="1"/>
    <col min="8195" max="8195" width="9.5546875" style="11" customWidth="1"/>
    <col min="8196" max="8196" width="30.5546875" style="11" customWidth="1"/>
    <col min="8197" max="8197" width="28.88671875" style="11" customWidth="1"/>
    <col min="8198" max="8198" width="21.44140625" style="11" customWidth="1"/>
    <col min="8199" max="8199" width="18" style="11" customWidth="1"/>
    <col min="8200" max="8200" width="15.88671875" style="11" customWidth="1"/>
    <col min="8201" max="8201" width="16.5546875" style="11" customWidth="1"/>
    <col min="8202" max="8202" width="18.88671875" style="11" customWidth="1"/>
    <col min="8203" max="8203" width="16.44140625" style="11" customWidth="1"/>
    <col min="8204" max="8204" width="16.109375" style="11" customWidth="1"/>
    <col min="8205" max="8205" width="19.6640625" style="11" customWidth="1"/>
    <col min="8206" max="8206" width="14.88671875" style="11" customWidth="1"/>
    <col min="8207" max="8207" width="11.5546875" style="11" customWidth="1"/>
    <col min="8208" max="8448" width="8.88671875" style="11"/>
    <col min="8449" max="8449" width="12.5546875" style="11" customWidth="1"/>
    <col min="8450" max="8450" width="9.88671875" style="11" customWidth="1"/>
    <col min="8451" max="8451" width="9.5546875" style="11" customWidth="1"/>
    <col min="8452" max="8452" width="30.5546875" style="11" customWidth="1"/>
    <col min="8453" max="8453" width="28.88671875" style="11" customWidth="1"/>
    <col min="8454" max="8454" width="21.44140625" style="11" customWidth="1"/>
    <col min="8455" max="8455" width="18" style="11" customWidth="1"/>
    <col min="8456" max="8456" width="15.88671875" style="11" customWidth="1"/>
    <col min="8457" max="8457" width="16.5546875" style="11" customWidth="1"/>
    <col min="8458" max="8458" width="18.88671875" style="11" customWidth="1"/>
    <col min="8459" max="8459" width="16.44140625" style="11" customWidth="1"/>
    <col min="8460" max="8460" width="16.109375" style="11" customWidth="1"/>
    <col min="8461" max="8461" width="19.6640625" style="11" customWidth="1"/>
    <col min="8462" max="8462" width="14.88671875" style="11" customWidth="1"/>
    <col min="8463" max="8463" width="11.5546875" style="11" customWidth="1"/>
    <col min="8464" max="8704" width="8.88671875" style="11"/>
    <col min="8705" max="8705" width="12.5546875" style="11" customWidth="1"/>
    <col min="8706" max="8706" width="9.88671875" style="11" customWidth="1"/>
    <col min="8707" max="8707" width="9.5546875" style="11" customWidth="1"/>
    <col min="8708" max="8708" width="30.5546875" style="11" customWidth="1"/>
    <col min="8709" max="8709" width="28.88671875" style="11" customWidth="1"/>
    <col min="8710" max="8710" width="21.44140625" style="11" customWidth="1"/>
    <col min="8711" max="8711" width="18" style="11" customWidth="1"/>
    <col min="8712" max="8712" width="15.88671875" style="11" customWidth="1"/>
    <col min="8713" max="8713" width="16.5546875" style="11" customWidth="1"/>
    <col min="8714" max="8714" width="18.88671875" style="11" customWidth="1"/>
    <col min="8715" max="8715" width="16.44140625" style="11" customWidth="1"/>
    <col min="8716" max="8716" width="16.109375" style="11" customWidth="1"/>
    <col min="8717" max="8717" width="19.6640625" style="11" customWidth="1"/>
    <col min="8718" max="8718" width="14.88671875" style="11" customWidth="1"/>
    <col min="8719" max="8719" width="11.5546875" style="11" customWidth="1"/>
    <col min="8720" max="8960" width="8.88671875" style="11"/>
    <col min="8961" max="8961" width="12.5546875" style="11" customWidth="1"/>
    <col min="8962" max="8962" width="9.88671875" style="11" customWidth="1"/>
    <col min="8963" max="8963" width="9.5546875" style="11" customWidth="1"/>
    <col min="8964" max="8964" width="30.5546875" style="11" customWidth="1"/>
    <col min="8965" max="8965" width="28.88671875" style="11" customWidth="1"/>
    <col min="8966" max="8966" width="21.44140625" style="11" customWidth="1"/>
    <col min="8967" max="8967" width="18" style="11" customWidth="1"/>
    <col min="8968" max="8968" width="15.88671875" style="11" customWidth="1"/>
    <col min="8969" max="8969" width="16.5546875" style="11" customWidth="1"/>
    <col min="8970" max="8970" width="18.88671875" style="11" customWidth="1"/>
    <col min="8971" max="8971" width="16.44140625" style="11" customWidth="1"/>
    <col min="8972" max="8972" width="16.109375" style="11" customWidth="1"/>
    <col min="8973" max="8973" width="19.6640625" style="11" customWidth="1"/>
    <col min="8974" max="8974" width="14.88671875" style="11" customWidth="1"/>
    <col min="8975" max="8975" width="11.5546875" style="11" customWidth="1"/>
    <col min="8976" max="9216" width="8.88671875" style="11"/>
    <col min="9217" max="9217" width="12.5546875" style="11" customWidth="1"/>
    <col min="9218" max="9218" width="9.88671875" style="11" customWidth="1"/>
    <col min="9219" max="9219" width="9.5546875" style="11" customWidth="1"/>
    <col min="9220" max="9220" width="30.5546875" style="11" customWidth="1"/>
    <col min="9221" max="9221" width="28.88671875" style="11" customWidth="1"/>
    <col min="9222" max="9222" width="21.44140625" style="11" customWidth="1"/>
    <col min="9223" max="9223" width="18" style="11" customWidth="1"/>
    <col min="9224" max="9224" width="15.88671875" style="11" customWidth="1"/>
    <col min="9225" max="9225" width="16.5546875" style="11" customWidth="1"/>
    <col min="9226" max="9226" width="18.88671875" style="11" customWidth="1"/>
    <col min="9227" max="9227" width="16.44140625" style="11" customWidth="1"/>
    <col min="9228" max="9228" width="16.109375" style="11" customWidth="1"/>
    <col min="9229" max="9229" width="19.6640625" style="11" customWidth="1"/>
    <col min="9230" max="9230" width="14.88671875" style="11" customWidth="1"/>
    <col min="9231" max="9231" width="11.5546875" style="11" customWidth="1"/>
    <col min="9232" max="9472" width="8.88671875" style="11"/>
    <col min="9473" max="9473" width="12.5546875" style="11" customWidth="1"/>
    <col min="9474" max="9474" width="9.88671875" style="11" customWidth="1"/>
    <col min="9475" max="9475" width="9.5546875" style="11" customWidth="1"/>
    <col min="9476" max="9476" width="30.5546875" style="11" customWidth="1"/>
    <col min="9477" max="9477" width="28.88671875" style="11" customWidth="1"/>
    <col min="9478" max="9478" width="21.44140625" style="11" customWidth="1"/>
    <col min="9479" max="9479" width="18" style="11" customWidth="1"/>
    <col min="9480" max="9480" width="15.88671875" style="11" customWidth="1"/>
    <col min="9481" max="9481" width="16.5546875" style="11" customWidth="1"/>
    <col min="9482" max="9482" width="18.88671875" style="11" customWidth="1"/>
    <col min="9483" max="9483" width="16.44140625" style="11" customWidth="1"/>
    <col min="9484" max="9484" width="16.109375" style="11" customWidth="1"/>
    <col min="9485" max="9485" width="19.6640625" style="11" customWidth="1"/>
    <col min="9486" max="9486" width="14.88671875" style="11" customWidth="1"/>
    <col min="9487" max="9487" width="11.5546875" style="11" customWidth="1"/>
    <col min="9488" max="9728" width="8.88671875" style="11"/>
    <col min="9729" max="9729" width="12.5546875" style="11" customWidth="1"/>
    <col min="9730" max="9730" width="9.88671875" style="11" customWidth="1"/>
    <col min="9731" max="9731" width="9.5546875" style="11" customWidth="1"/>
    <col min="9732" max="9732" width="30.5546875" style="11" customWidth="1"/>
    <col min="9733" max="9733" width="28.88671875" style="11" customWidth="1"/>
    <col min="9734" max="9734" width="21.44140625" style="11" customWidth="1"/>
    <col min="9735" max="9735" width="18" style="11" customWidth="1"/>
    <col min="9736" max="9736" width="15.88671875" style="11" customWidth="1"/>
    <col min="9737" max="9737" width="16.5546875" style="11" customWidth="1"/>
    <col min="9738" max="9738" width="18.88671875" style="11" customWidth="1"/>
    <col min="9739" max="9739" width="16.44140625" style="11" customWidth="1"/>
    <col min="9740" max="9740" width="16.109375" style="11" customWidth="1"/>
    <col min="9741" max="9741" width="19.6640625" style="11" customWidth="1"/>
    <col min="9742" max="9742" width="14.88671875" style="11" customWidth="1"/>
    <col min="9743" max="9743" width="11.5546875" style="11" customWidth="1"/>
    <col min="9744" max="9984" width="8.88671875" style="11"/>
    <col min="9985" max="9985" width="12.5546875" style="11" customWidth="1"/>
    <col min="9986" max="9986" width="9.88671875" style="11" customWidth="1"/>
    <col min="9987" max="9987" width="9.5546875" style="11" customWidth="1"/>
    <col min="9988" max="9988" width="30.5546875" style="11" customWidth="1"/>
    <col min="9989" max="9989" width="28.88671875" style="11" customWidth="1"/>
    <col min="9990" max="9990" width="21.44140625" style="11" customWidth="1"/>
    <col min="9991" max="9991" width="18" style="11" customWidth="1"/>
    <col min="9992" max="9992" width="15.88671875" style="11" customWidth="1"/>
    <col min="9993" max="9993" width="16.5546875" style="11" customWidth="1"/>
    <col min="9994" max="9994" width="18.88671875" style="11" customWidth="1"/>
    <col min="9995" max="9995" width="16.44140625" style="11" customWidth="1"/>
    <col min="9996" max="9996" width="16.109375" style="11" customWidth="1"/>
    <col min="9997" max="9997" width="19.6640625" style="11" customWidth="1"/>
    <col min="9998" max="9998" width="14.88671875" style="11" customWidth="1"/>
    <col min="9999" max="9999" width="11.5546875" style="11" customWidth="1"/>
    <col min="10000" max="10240" width="8.88671875" style="11"/>
    <col min="10241" max="10241" width="12.5546875" style="11" customWidth="1"/>
    <col min="10242" max="10242" width="9.88671875" style="11" customWidth="1"/>
    <col min="10243" max="10243" width="9.5546875" style="11" customWidth="1"/>
    <col min="10244" max="10244" width="30.5546875" style="11" customWidth="1"/>
    <col min="10245" max="10245" width="28.88671875" style="11" customWidth="1"/>
    <col min="10246" max="10246" width="21.44140625" style="11" customWidth="1"/>
    <col min="10247" max="10247" width="18" style="11" customWidth="1"/>
    <col min="10248" max="10248" width="15.88671875" style="11" customWidth="1"/>
    <col min="10249" max="10249" width="16.5546875" style="11" customWidth="1"/>
    <col min="10250" max="10250" width="18.88671875" style="11" customWidth="1"/>
    <col min="10251" max="10251" width="16.44140625" style="11" customWidth="1"/>
    <col min="10252" max="10252" width="16.109375" style="11" customWidth="1"/>
    <col min="10253" max="10253" width="19.6640625" style="11" customWidth="1"/>
    <col min="10254" max="10254" width="14.88671875" style="11" customWidth="1"/>
    <col min="10255" max="10255" width="11.5546875" style="11" customWidth="1"/>
    <col min="10256" max="10496" width="8.88671875" style="11"/>
    <col min="10497" max="10497" width="12.5546875" style="11" customWidth="1"/>
    <col min="10498" max="10498" width="9.88671875" style="11" customWidth="1"/>
    <col min="10499" max="10499" width="9.5546875" style="11" customWidth="1"/>
    <col min="10500" max="10500" width="30.5546875" style="11" customWidth="1"/>
    <col min="10501" max="10501" width="28.88671875" style="11" customWidth="1"/>
    <col min="10502" max="10502" width="21.44140625" style="11" customWidth="1"/>
    <col min="10503" max="10503" width="18" style="11" customWidth="1"/>
    <col min="10504" max="10504" width="15.88671875" style="11" customWidth="1"/>
    <col min="10505" max="10505" width="16.5546875" style="11" customWidth="1"/>
    <col min="10506" max="10506" width="18.88671875" style="11" customWidth="1"/>
    <col min="10507" max="10507" width="16.44140625" style="11" customWidth="1"/>
    <col min="10508" max="10508" width="16.109375" style="11" customWidth="1"/>
    <col min="10509" max="10509" width="19.6640625" style="11" customWidth="1"/>
    <col min="10510" max="10510" width="14.88671875" style="11" customWidth="1"/>
    <col min="10511" max="10511" width="11.5546875" style="11" customWidth="1"/>
    <col min="10512" max="10752" width="8.88671875" style="11"/>
    <col min="10753" max="10753" width="12.5546875" style="11" customWidth="1"/>
    <col min="10754" max="10754" width="9.88671875" style="11" customWidth="1"/>
    <col min="10755" max="10755" width="9.5546875" style="11" customWidth="1"/>
    <col min="10756" max="10756" width="30.5546875" style="11" customWidth="1"/>
    <col min="10757" max="10757" width="28.88671875" style="11" customWidth="1"/>
    <col min="10758" max="10758" width="21.44140625" style="11" customWidth="1"/>
    <col min="10759" max="10759" width="18" style="11" customWidth="1"/>
    <col min="10760" max="10760" width="15.88671875" style="11" customWidth="1"/>
    <col min="10761" max="10761" width="16.5546875" style="11" customWidth="1"/>
    <col min="10762" max="10762" width="18.88671875" style="11" customWidth="1"/>
    <col min="10763" max="10763" width="16.44140625" style="11" customWidth="1"/>
    <col min="10764" max="10764" width="16.109375" style="11" customWidth="1"/>
    <col min="10765" max="10765" width="19.6640625" style="11" customWidth="1"/>
    <col min="10766" max="10766" width="14.88671875" style="11" customWidth="1"/>
    <col min="10767" max="10767" width="11.5546875" style="11" customWidth="1"/>
    <col min="10768" max="11008" width="8.88671875" style="11"/>
    <col min="11009" max="11009" width="12.5546875" style="11" customWidth="1"/>
    <col min="11010" max="11010" width="9.88671875" style="11" customWidth="1"/>
    <col min="11011" max="11011" width="9.5546875" style="11" customWidth="1"/>
    <col min="11012" max="11012" width="30.5546875" style="11" customWidth="1"/>
    <col min="11013" max="11013" width="28.88671875" style="11" customWidth="1"/>
    <col min="11014" max="11014" width="21.44140625" style="11" customWidth="1"/>
    <col min="11015" max="11015" width="18" style="11" customWidth="1"/>
    <col min="11016" max="11016" width="15.88671875" style="11" customWidth="1"/>
    <col min="11017" max="11017" width="16.5546875" style="11" customWidth="1"/>
    <col min="11018" max="11018" width="18.88671875" style="11" customWidth="1"/>
    <col min="11019" max="11019" width="16.44140625" style="11" customWidth="1"/>
    <col min="11020" max="11020" width="16.109375" style="11" customWidth="1"/>
    <col min="11021" max="11021" width="19.6640625" style="11" customWidth="1"/>
    <col min="11022" max="11022" width="14.88671875" style="11" customWidth="1"/>
    <col min="11023" max="11023" width="11.5546875" style="11" customWidth="1"/>
    <col min="11024" max="11264" width="8.88671875" style="11"/>
    <col min="11265" max="11265" width="12.5546875" style="11" customWidth="1"/>
    <col min="11266" max="11266" width="9.88671875" style="11" customWidth="1"/>
    <col min="11267" max="11267" width="9.5546875" style="11" customWidth="1"/>
    <col min="11268" max="11268" width="30.5546875" style="11" customWidth="1"/>
    <col min="11269" max="11269" width="28.88671875" style="11" customWidth="1"/>
    <col min="11270" max="11270" width="21.44140625" style="11" customWidth="1"/>
    <col min="11271" max="11271" width="18" style="11" customWidth="1"/>
    <col min="11272" max="11272" width="15.88671875" style="11" customWidth="1"/>
    <col min="11273" max="11273" width="16.5546875" style="11" customWidth="1"/>
    <col min="11274" max="11274" width="18.88671875" style="11" customWidth="1"/>
    <col min="11275" max="11275" width="16.44140625" style="11" customWidth="1"/>
    <col min="11276" max="11276" width="16.109375" style="11" customWidth="1"/>
    <col min="11277" max="11277" width="19.6640625" style="11" customWidth="1"/>
    <col min="11278" max="11278" width="14.88671875" style="11" customWidth="1"/>
    <col min="11279" max="11279" width="11.5546875" style="11" customWidth="1"/>
    <col min="11280" max="11520" width="8.88671875" style="11"/>
    <col min="11521" max="11521" width="12.5546875" style="11" customWidth="1"/>
    <col min="11522" max="11522" width="9.88671875" style="11" customWidth="1"/>
    <col min="11523" max="11523" width="9.5546875" style="11" customWidth="1"/>
    <col min="11524" max="11524" width="30.5546875" style="11" customWidth="1"/>
    <col min="11525" max="11525" width="28.88671875" style="11" customWidth="1"/>
    <col min="11526" max="11526" width="21.44140625" style="11" customWidth="1"/>
    <col min="11527" max="11527" width="18" style="11" customWidth="1"/>
    <col min="11528" max="11528" width="15.88671875" style="11" customWidth="1"/>
    <col min="11529" max="11529" width="16.5546875" style="11" customWidth="1"/>
    <col min="11530" max="11530" width="18.88671875" style="11" customWidth="1"/>
    <col min="11531" max="11531" width="16.44140625" style="11" customWidth="1"/>
    <col min="11532" max="11532" width="16.109375" style="11" customWidth="1"/>
    <col min="11533" max="11533" width="19.6640625" style="11" customWidth="1"/>
    <col min="11534" max="11534" width="14.88671875" style="11" customWidth="1"/>
    <col min="11535" max="11535" width="11.5546875" style="11" customWidth="1"/>
    <col min="11536" max="11776" width="8.88671875" style="11"/>
    <col min="11777" max="11777" width="12.5546875" style="11" customWidth="1"/>
    <col min="11778" max="11778" width="9.88671875" style="11" customWidth="1"/>
    <col min="11779" max="11779" width="9.5546875" style="11" customWidth="1"/>
    <col min="11780" max="11780" width="30.5546875" style="11" customWidth="1"/>
    <col min="11781" max="11781" width="28.88671875" style="11" customWidth="1"/>
    <col min="11782" max="11782" width="21.44140625" style="11" customWidth="1"/>
    <col min="11783" max="11783" width="18" style="11" customWidth="1"/>
    <col min="11784" max="11784" width="15.88671875" style="11" customWidth="1"/>
    <col min="11785" max="11785" width="16.5546875" style="11" customWidth="1"/>
    <col min="11786" max="11786" width="18.88671875" style="11" customWidth="1"/>
    <col min="11787" max="11787" width="16.44140625" style="11" customWidth="1"/>
    <col min="11788" max="11788" width="16.109375" style="11" customWidth="1"/>
    <col min="11789" max="11789" width="19.6640625" style="11" customWidth="1"/>
    <col min="11790" max="11790" width="14.88671875" style="11" customWidth="1"/>
    <col min="11791" max="11791" width="11.5546875" style="11" customWidth="1"/>
    <col min="11792" max="12032" width="8.88671875" style="11"/>
    <col min="12033" max="12033" width="12.5546875" style="11" customWidth="1"/>
    <col min="12034" max="12034" width="9.88671875" style="11" customWidth="1"/>
    <col min="12035" max="12035" width="9.5546875" style="11" customWidth="1"/>
    <col min="12036" max="12036" width="30.5546875" style="11" customWidth="1"/>
    <col min="12037" max="12037" width="28.88671875" style="11" customWidth="1"/>
    <col min="12038" max="12038" width="21.44140625" style="11" customWidth="1"/>
    <col min="12039" max="12039" width="18" style="11" customWidth="1"/>
    <col min="12040" max="12040" width="15.88671875" style="11" customWidth="1"/>
    <col min="12041" max="12041" width="16.5546875" style="11" customWidth="1"/>
    <col min="12042" max="12042" width="18.88671875" style="11" customWidth="1"/>
    <col min="12043" max="12043" width="16.44140625" style="11" customWidth="1"/>
    <col min="12044" max="12044" width="16.109375" style="11" customWidth="1"/>
    <col min="12045" max="12045" width="19.6640625" style="11" customWidth="1"/>
    <col min="12046" max="12046" width="14.88671875" style="11" customWidth="1"/>
    <col min="12047" max="12047" width="11.5546875" style="11" customWidth="1"/>
    <col min="12048" max="12288" width="8.88671875" style="11"/>
    <col min="12289" max="12289" width="12.5546875" style="11" customWidth="1"/>
    <col min="12290" max="12290" width="9.88671875" style="11" customWidth="1"/>
    <col min="12291" max="12291" width="9.5546875" style="11" customWidth="1"/>
    <col min="12292" max="12292" width="30.5546875" style="11" customWidth="1"/>
    <col min="12293" max="12293" width="28.88671875" style="11" customWidth="1"/>
    <col min="12294" max="12294" width="21.44140625" style="11" customWidth="1"/>
    <col min="12295" max="12295" width="18" style="11" customWidth="1"/>
    <col min="12296" max="12296" width="15.88671875" style="11" customWidth="1"/>
    <col min="12297" max="12297" width="16.5546875" style="11" customWidth="1"/>
    <col min="12298" max="12298" width="18.88671875" style="11" customWidth="1"/>
    <col min="12299" max="12299" width="16.44140625" style="11" customWidth="1"/>
    <col min="12300" max="12300" width="16.109375" style="11" customWidth="1"/>
    <col min="12301" max="12301" width="19.6640625" style="11" customWidth="1"/>
    <col min="12302" max="12302" width="14.88671875" style="11" customWidth="1"/>
    <col min="12303" max="12303" width="11.5546875" style="11" customWidth="1"/>
    <col min="12304" max="12544" width="8.88671875" style="11"/>
    <col min="12545" max="12545" width="12.5546875" style="11" customWidth="1"/>
    <col min="12546" max="12546" width="9.88671875" style="11" customWidth="1"/>
    <col min="12547" max="12547" width="9.5546875" style="11" customWidth="1"/>
    <col min="12548" max="12548" width="30.5546875" style="11" customWidth="1"/>
    <col min="12549" max="12549" width="28.88671875" style="11" customWidth="1"/>
    <col min="12550" max="12550" width="21.44140625" style="11" customWidth="1"/>
    <col min="12551" max="12551" width="18" style="11" customWidth="1"/>
    <col min="12552" max="12552" width="15.88671875" style="11" customWidth="1"/>
    <col min="12553" max="12553" width="16.5546875" style="11" customWidth="1"/>
    <col min="12554" max="12554" width="18.88671875" style="11" customWidth="1"/>
    <col min="12555" max="12555" width="16.44140625" style="11" customWidth="1"/>
    <col min="12556" max="12556" width="16.109375" style="11" customWidth="1"/>
    <col min="12557" max="12557" width="19.6640625" style="11" customWidth="1"/>
    <col min="12558" max="12558" width="14.88671875" style="11" customWidth="1"/>
    <col min="12559" max="12559" width="11.5546875" style="11" customWidth="1"/>
    <col min="12560" max="12800" width="8.88671875" style="11"/>
    <col min="12801" max="12801" width="12.5546875" style="11" customWidth="1"/>
    <col min="12802" max="12802" width="9.88671875" style="11" customWidth="1"/>
    <col min="12803" max="12803" width="9.5546875" style="11" customWidth="1"/>
    <col min="12804" max="12804" width="30.5546875" style="11" customWidth="1"/>
    <col min="12805" max="12805" width="28.88671875" style="11" customWidth="1"/>
    <col min="12806" max="12806" width="21.44140625" style="11" customWidth="1"/>
    <col min="12807" max="12807" width="18" style="11" customWidth="1"/>
    <col min="12808" max="12808" width="15.88671875" style="11" customWidth="1"/>
    <col min="12809" max="12809" width="16.5546875" style="11" customWidth="1"/>
    <col min="12810" max="12810" width="18.88671875" style="11" customWidth="1"/>
    <col min="12811" max="12811" width="16.44140625" style="11" customWidth="1"/>
    <col min="12812" max="12812" width="16.109375" style="11" customWidth="1"/>
    <col min="12813" max="12813" width="19.6640625" style="11" customWidth="1"/>
    <col min="12814" max="12814" width="14.88671875" style="11" customWidth="1"/>
    <col min="12815" max="12815" width="11.5546875" style="11" customWidth="1"/>
    <col min="12816" max="13056" width="8.88671875" style="11"/>
    <col min="13057" max="13057" width="12.5546875" style="11" customWidth="1"/>
    <col min="13058" max="13058" width="9.88671875" style="11" customWidth="1"/>
    <col min="13059" max="13059" width="9.5546875" style="11" customWidth="1"/>
    <col min="13060" max="13060" width="30.5546875" style="11" customWidth="1"/>
    <col min="13061" max="13061" width="28.88671875" style="11" customWidth="1"/>
    <col min="13062" max="13062" width="21.44140625" style="11" customWidth="1"/>
    <col min="13063" max="13063" width="18" style="11" customWidth="1"/>
    <col min="13064" max="13064" width="15.88671875" style="11" customWidth="1"/>
    <col min="13065" max="13065" width="16.5546875" style="11" customWidth="1"/>
    <col min="13066" max="13066" width="18.88671875" style="11" customWidth="1"/>
    <col min="13067" max="13067" width="16.44140625" style="11" customWidth="1"/>
    <col min="13068" max="13068" width="16.109375" style="11" customWidth="1"/>
    <col min="13069" max="13069" width="19.6640625" style="11" customWidth="1"/>
    <col min="13070" max="13070" width="14.88671875" style="11" customWidth="1"/>
    <col min="13071" max="13071" width="11.5546875" style="11" customWidth="1"/>
    <col min="13072" max="13312" width="8.88671875" style="11"/>
    <col min="13313" max="13313" width="12.5546875" style="11" customWidth="1"/>
    <col min="13314" max="13314" width="9.88671875" style="11" customWidth="1"/>
    <col min="13315" max="13315" width="9.5546875" style="11" customWidth="1"/>
    <col min="13316" max="13316" width="30.5546875" style="11" customWidth="1"/>
    <col min="13317" max="13317" width="28.88671875" style="11" customWidth="1"/>
    <col min="13318" max="13318" width="21.44140625" style="11" customWidth="1"/>
    <col min="13319" max="13319" width="18" style="11" customWidth="1"/>
    <col min="13320" max="13320" width="15.88671875" style="11" customWidth="1"/>
    <col min="13321" max="13321" width="16.5546875" style="11" customWidth="1"/>
    <col min="13322" max="13322" width="18.88671875" style="11" customWidth="1"/>
    <col min="13323" max="13323" width="16.44140625" style="11" customWidth="1"/>
    <col min="13324" max="13324" width="16.109375" style="11" customWidth="1"/>
    <col min="13325" max="13325" width="19.6640625" style="11" customWidth="1"/>
    <col min="13326" max="13326" width="14.88671875" style="11" customWidth="1"/>
    <col min="13327" max="13327" width="11.5546875" style="11" customWidth="1"/>
    <col min="13328" max="13568" width="8.88671875" style="11"/>
    <col min="13569" max="13569" width="12.5546875" style="11" customWidth="1"/>
    <col min="13570" max="13570" width="9.88671875" style="11" customWidth="1"/>
    <col min="13571" max="13571" width="9.5546875" style="11" customWidth="1"/>
    <col min="13572" max="13572" width="30.5546875" style="11" customWidth="1"/>
    <col min="13573" max="13573" width="28.88671875" style="11" customWidth="1"/>
    <col min="13574" max="13574" width="21.44140625" style="11" customWidth="1"/>
    <col min="13575" max="13575" width="18" style="11" customWidth="1"/>
    <col min="13576" max="13576" width="15.88671875" style="11" customWidth="1"/>
    <col min="13577" max="13577" width="16.5546875" style="11" customWidth="1"/>
    <col min="13578" max="13578" width="18.88671875" style="11" customWidth="1"/>
    <col min="13579" max="13579" width="16.44140625" style="11" customWidth="1"/>
    <col min="13580" max="13580" width="16.109375" style="11" customWidth="1"/>
    <col min="13581" max="13581" width="19.6640625" style="11" customWidth="1"/>
    <col min="13582" max="13582" width="14.88671875" style="11" customWidth="1"/>
    <col min="13583" max="13583" width="11.5546875" style="11" customWidth="1"/>
    <col min="13584" max="13824" width="8.88671875" style="11"/>
    <col min="13825" max="13825" width="12.5546875" style="11" customWidth="1"/>
    <col min="13826" max="13826" width="9.88671875" style="11" customWidth="1"/>
    <col min="13827" max="13827" width="9.5546875" style="11" customWidth="1"/>
    <col min="13828" max="13828" width="30.5546875" style="11" customWidth="1"/>
    <col min="13829" max="13829" width="28.88671875" style="11" customWidth="1"/>
    <col min="13830" max="13830" width="21.44140625" style="11" customWidth="1"/>
    <col min="13831" max="13831" width="18" style="11" customWidth="1"/>
    <col min="13832" max="13832" width="15.88671875" style="11" customWidth="1"/>
    <col min="13833" max="13833" width="16.5546875" style="11" customWidth="1"/>
    <col min="13834" max="13834" width="18.88671875" style="11" customWidth="1"/>
    <col min="13835" max="13835" width="16.44140625" style="11" customWidth="1"/>
    <col min="13836" max="13836" width="16.109375" style="11" customWidth="1"/>
    <col min="13837" max="13837" width="19.6640625" style="11" customWidth="1"/>
    <col min="13838" max="13838" width="14.88671875" style="11" customWidth="1"/>
    <col min="13839" max="13839" width="11.5546875" style="11" customWidth="1"/>
    <col min="13840" max="14080" width="8.88671875" style="11"/>
    <col min="14081" max="14081" width="12.5546875" style="11" customWidth="1"/>
    <col min="14082" max="14082" width="9.88671875" style="11" customWidth="1"/>
    <col min="14083" max="14083" width="9.5546875" style="11" customWidth="1"/>
    <col min="14084" max="14084" width="30.5546875" style="11" customWidth="1"/>
    <col min="14085" max="14085" width="28.88671875" style="11" customWidth="1"/>
    <col min="14086" max="14086" width="21.44140625" style="11" customWidth="1"/>
    <col min="14087" max="14087" width="18" style="11" customWidth="1"/>
    <col min="14088" max="14088" width="15.88671875" style="11" customWidth="1"/>
    <col min="14089" max="14089" width="16.5546875" style="11" customWidth="1"/>
    <col min="14090" max="14090" width="18.88671875" style="11" customWidth="1"/>
    <col min="14091" max="14091" width="16.44140625" style="11" customWidth="1"/>
    <col min="14092" max="14092" width="16.109375" style="11" customWidth="1"/>
    <col min="14093" max="14093" width="19.6640625" style="11" customWidth="1"/>
    <col min="14094" max="14094" width="14.88671875" style="11" customWidth="1"/>
    <col min="14095" max="14095" width="11.5546875" style="11" customWidth="1"/>
    <col min="14096" max="14336" width="8.88671875" style="11"/>
    <col min="14337" max="14337" width="12.5546875" style="11" customWidth="1"/>
    <col min="14338" max="14338" width="9.88671875" style="11" customWidth="1"/>
    <col min="14339" max="14339" width="9.5546875" style="11" customWidth="1"/>
    <col min="14340" max="14340" width="30.5546875" style="11" customWidth="1"/>
    <col min="14341" max="14341" width="28.88671875" style="11" customWidth="1"/>
    <col min="14342" max="14342" width="21.44140625" style="11" customWidth="1"/>
    <col min="14343" max="14343" width="18" style="11" customWidth="1"/>
    <col min="14344" max="14344" width="15.88671875" style="11" customWidth="1"/>
    <col min="14345" max="14345" width="16.5546875" style="11" customWidth="1"/>
    <col min="14346" max="14346" width="18.88671875" style="11" customWidth="1"/>
    <col min="14347" max="14347" width="16.44140625" style="11" customWidth="1"/>
    <col min="14348" max="14348" width="16.109375" style="11" customWidth="1"/>
    <col min="14349" max="14349" width="19.6640625" style="11" customWidth="1"/>
    <col min="14350" max="14350" width="14.88671875" style="11" customWidth="1"/>
    <col min="14351" max="14351" width="11.5546875" style="11" customWidth="1"/>
    <col min="14352" max="14592" width="8.88671875" style="11"/>
    <col min="14593" max="14593" width="12.5546875" style="11" customWidth="1"/>
    <col min="14594" max="14594" width="9.88671875" style="11" customWidth="1"/>
    <col min="14595" max="14595" width="9.5546875" style="11" customWidth="1"/>
    <col min="14596" max="14596" width="30.5546875" style="11" customWidth="1"/>
    <col min="14597" max="14597" width="28.88671875" style="11" customWidth="1"/>
    <col min="14598" max="14598" width="21.44140625" style="11" customWidth="1"/>
    <col min="14599" max="14599" width="18" style="11" customWidth="1"/>
    <col min="14600" max="14600" width="15.88671875" style="11" customWidth="1"/>
    <col min="14601" max="14601" width="16.5546875" style="11" customWidth="1"/>
    <col min="14602" max="14602" width="18.88671875" style="11" customWidth="1"/>
    <col min="14603" max="14603" width="16.44140625" style="11" customWidth="1"/>
    <col min="14604" max="14604" width="16.109375" style="11" customWidth="1"/>
    <col min="14605" max="14605" width="19.6640625" style="11" customWidth="1"/>
    <col min="14606" max="14606" width="14.88671875" style="11" customWidth="1"/>
    <col min="14607" max="14607" width="11.5546875" style="11" customWidth="1"/>
    <col min="14608" max="14848" width="8.88671875" style="11"/>
    <col min="14849" max="14849" width="12.5546875" style="11" customWidth="1"/>
    <col min="14850" max="14850" width="9.88671875" style="11" customWidth="1"/>
    <col min="14851" max="14851" width="9.5546875" style="11" customWidth="1"/>
    <col min="14852" max="14852" width="30.5546875" style="11" customWidth="1"/>
    <col min="14853" max="14853" width="28.88671875" style="11" customWidth="1"/>
    <col min="14854" max="14854" width="21.44140625" style="11" customWidth="1"/>
    <col min="14855" max="14855" width="18" style="11" customWidth="1"/>
    <col min="14856" max="14856" width="15.88671875" style="11" customWidth="1"/>
    <col min="14857" max="14857" width="16.5546875" style="11" customWidth="1"/>
    <col min="14858" max="14858" width="18.88671875" style="11" customWidth="1"/>
    <col min="14859" max="14859" width="16.44140625" style="11" customWidth="1"/>
    <col min="14860" max="14860" width="16.109375" style="11" customWidth="1"/>
    <col min="14861" max="14861" width="19.6640625" style="11" customWidth="1"/>
    <col min="14862" max="14862" width="14.88671875" style="11" customWidth="1"/>
    <col min="14863" max="14863" width="11.5546875" style="11" customWidth="1"/>
    <col min="14864" max="15104" width="8.88671875" style="11"/>
    <col min="15105" max="15105" width="12.5546875" style="11" customWidth="1"/>
    <col min="15106" max="15106" width="9.88671875" style="11" customWidth="1"/>
    <col min="15107" max="15107" width="9.5546875" style="11" customWidth="1"/>
    <col min="15108" max="15108" width="30.5546875" style="11" customWidth="1"/>
    <col min="15109" max="15109" width="28.88671875" style="11" customWidth="1"/>
    <col min="15110" max="15110" width="21.44140625" style="11" customWidth="1"/>
    <col min="15111" max="15111" width="18" style="11" customWidth="1"/>
    <col min="15112" max="15112" width="15.88671875" style="11" customWidth="1"/>
    <col min="15113" max="15113" width="16.5546875" style="11" customWidth="1"/>
    <col min="15114" max="15114" width="18.88671875" style="11" customWidth="1"/>
    <col min="15115" max="15115" width="16.44140625" style="11" customWidth="1"/>
    <col min="15116" max="15116" width="16.109375" style="11" customWidth="1"/>
    <col min="15117" max="15117" width="19.6640625" style="11" customWidth="1"/>
    <col min="15118" max="15118" width="14.88671875" style="11" customWidth="1"/>
    <col min="15119" max="15119" width="11.5546875" style="11" customWidth="1"/>
    <col min="15120" max="15360" width="8.88671875" style="11"/>
    <col min="15361" max="15361" width="12.5546875" style="11" customWidth="1"/>
    <col min="15362" max="15362" width="9.88671875" style="11" customWidth="1"/>
    <col min="15363" max="15363" width="9.5546875" style="11" customWidth="1"/>
    <col min="15364" max="15364" width="30.5546875" style="11" customWidth="1"/>
    <col min="15365" max="15365" width="28.88671875" style="11" customWidth="1"/>
    <col min="15366" max="15366" width="21.44140625" style="11" customWidth="1"/>
    <col min="15367" max="15367" width="18" style="11" customWidth="1"/>
    <col min="15368" max="15368" width="15.88671875" style="11" customWidth="1"/>
    <col min="15369" max="15369" width="16.5546875" style="11" customWidth="1"/>
    <col min="15370" max="15370" width="18.88671875" style="11" customWidth="1"/>
    <col min="15371" max="15371" width="16.44140625" style="11" customWidth="1"/>
    <col min="15372" max="15372" width="16.109375" style="11" customWidth="1"/>
    <col min="15373" max="15373" width="19.6640625" style="11" customWidth="1"/>
    <col min="15374" max="15374" width="14.88671875" style="11" customWidth="1"/>
    <col min="15375" max="15375" width="11.5546875" style="11" customWidth="1"/>
    <col min="15376" max="15616" width="8.88671875" style="11"/>
    <col min="15617" max="15617" width="12.5546875" style="11" customWidth="1"/>
    <col min="15618" max="15618" width="9.88671875" style="11" customWidth="1"/>
    <col min="15619" max="15619" width="9.5546875" style="11" customWidth="1"/>
    <col min="15620" max="15620" width="30.5546875" style="11" customWidth="1"/>
    <col min="15621" max="15621" width="28.88671875" style="11" customWidth="1"/>
    <col min="15622" max="15622" width="21.44140625" style="11" customWidth="1"/>
    <col min="15623" max="15623" width="18" style="11" customWidth="1"/>
    <col min="15624" max="15624" width="15.88671875" style="11" customWidth="1"/>
    <col min="15625" max="15625" width="16.5546875" style="11" customWidth="1"/>
    <col min="15626" max="15626" width="18.88671875" style="11" customWidth="1"/>
    <col min="15627" max="15627" width="16.44140625" style="11" customWidth="1"/>
    <col min="15628" max="15628" width="16.109375" style="11" customWidth="1"/>
    <col min="15629" max="15629" width="19.6640625" style="11" customWidth="1"/>
    <col min="15630" max="15630" width="14.88671875" style="11" customWidth="1"/>
    <col min="15631" max="15631" width="11.5546875" style="11" customWidth="1"/>
    <col min="15632" max="15872" width="8.88671875" style="11"/>
    <col min="15873" max="15873" width="12.5546875" style="11" customWidth="1"/>
    <col min="15874" max="15874" width="9.88671875" style="11" customWidth="1"/>
    <col min="15875" max="15875" width="9.5546875" style="11" customWidth="1"/>
    <col min="15876" max="15876" width="30.5546875" style="11" customWidth="1"/>
    <col min="15877" max="15877" width="28.88671875" style="11" customWidth="1"/>
    <col min="15878" max="15878" width="21.44140625" style="11" customWidth="1"/>
    <col min="15879" max="15879" width="18" style="11" customWidth="1"/>
    <col min="15880" max="15880" width="15.88671875" style="11" customWidth="1"/>
    <col min="15881" max="15881" width="16.5546875" style="11" customWidth="1"/>
    <col min="15882" max="15882" width="18.88671875" style="11" customWidth="1"/>
    <col min="15883" max="15883" width="16.44140625" style="11" customWidth="1"/>
    <col min="15884" max="15884" width="16.109375" style="11" customWidth="1"/>
    <col min="15885" max="15885" width="19.6640625" style="11" customWidth="1"/>
    <col min="15886" max="15886" width="14.88671875" style="11" customWidth="1"/>
    <col min="15887" max="15887" width="11.5546875" style="11" customWidth="1"/>
    <col min="15888" max="16128" width="8.88671875" style="11"/>
    <col min="16129" max="16129" width="12.5546875" style="11" customWidth="1"/>
    <col min="16130" max="16130" width="9.88671875" style="11" customWidth="1"/>
    <col min="16131" max="16131" width="9.5546875" style="11" customWidth="1"/>
    <col min="16132" max="16132" width="30.5546875" style="11" customWidth="1"/>
    <col min="16133" max="16133" width="28.88671875" style="11" customWidth="1"/>
    <col min="16134" max="16134" width="21.44140625" style="11" customWidth="1"/>
    <col min="16135" max="16135" width="18" style="11" customWidth="1"/>
    <col min="16136" max="16136" width="15.88671875" style="11" customWidth="1"/>
    <col min="16137" max="16137" width="16.5546875" style="11" customWidth="1"/>
    <col min="16138" max="16138" width="18.88671875" style="11" customWidth="1"/>
    <col min="16139" max="16139" width="16.44140625" style="11" customWidth="1"/>
    <col min="16140" max="16140" width="16.109375" style="11" customWidth="1"/>
    <col min="16141" max="16141" width="19.6640625" style="11" customWidth="1"/>
    <col min="16142" max="16142" width="14.88671875" style="11" customWidth="1"/>
    <col min="16143" max="16143" width="11.5546875" style="11" customWidth="1"/>
    <col min="16144" max="16384" width="8.88671875" style="11"/>
  </cols>
  <sheetData>
    <row r="1" spans="1:15" hidden="1" x14ac:dyDescent="0.3">
      <c r="I1" s="209" t="s">
        <v>469</v>
      </c>
      <c r="J1" s="209"/>
    </row>
    <row r="2" spans="1:15" hidden="1" x14ac:dyDescent="0.3">
      <c r="I2" s="19" t="s">
        <v>470</v>
      </c>
      <c r="J2" s="209"/>
    </row>
    <row r="3" spans="1:15" hidden="1" x14ac:dyDescent="0.3">
      <c r="I3" s="211" t="s">
        <v>471</v>
      </c>
      <c r="J3" s="212"/>
    </row>
    <row r="4" spans="1:15" hidden="1" x14ac:dyDescent="0.3">
      <c r="I4" s="213" t="s">
        <v>472</v>
      </c>
      <c r="J4" s="214"/>
    </row>
    <row r="5" spans="1:15" hidden="1" x14ac:dyDescent="0.3">
      <c r="I5" s="208"/>
      <c r="J5" s="215"/>
    </row>
    <row r="6" spans="1:15" x14ac:dyDescent="0.3">
      <c r="I6" s="208"/>
      <c r="L6" s="1060" t="s">
        <v>473</v>
      </c>
      <c r="M6" s="1060"/>
      <c r="N6" s="216"/>
    </row>
    <row r="7" spans="1:15" x14ac:dyDescent="0.3">
      <c r="I7" s="208"/>
      <c r="L7" s="64" t="s">
        <v>638</v>
      </c>
      <c r="M7" s="64"/>
      <c r="N7" s="216"/>
    </row>
    <row r="8" spans="1:15" x14ac:dyDescent="0.3">
      <c r="I8" s="208"/>
      <c r="L8" s="6" t="s">
        <v>736</v>
      </c>
      <c r="M8" s="6"/>
      <c r="N8" s="217"/>
    </row>
    <row r="9" spans="1:15" x14ac:dyDescent="0.3">
      <c r="I9" s="208"/>
      <c r="L9" s="1074" t="s">
        <v>737</v>
      </c>
      <c r="M9" s="1074"/>
      <c r="N9" s="218"/>
    </row>
    <row r="10" spans="1:15" ht="21" customHeight="1" x14ac:dyDescent="0.3">
      <c r="G10" s="1189"/>
      <c r="H10" s="1189"/>
      <c r="I10" s="1189"/>
    </row>
    <row r="11" spans="1:15" ht="36.75" customHeight="1" x14ac:dyDescent="0.3">
      <c r="I11" s="208"/>
    </row>
    <row r="12" spans="1:15" s="219" customFormat="1" ht="25.5" customHeight="1" x14ac:dyDescent="0.3">
      <c r="C12" s="25" t="s">
        <v>709</v>
      </c>
      <c r="D12" s="25"/>
      <c r="E12" s="25"/>
      <c r="F12" s="25"/>
      <c r="G12" s="84"/>
      <c r="H12" s="84"/>
      <c r="I12" s="84"/>
      <c r="J12" s="84"/>
      <c r="K12" s="84"/>
      <c r="L12" s="84"/>
      <c r="M12" s="220"/>
      <c r="N12" s="220"/>
      <c r="O12" s="221"/>
    </row>
    <row r="13" spans="1:15" s="219" customFormat="1" ht="21.75" customHeight="1" x14ac:dyDescent="0.3">
      <c r="A13" s="1190">
        <v>15591000000</v>
      </c>
      <c r="B13" s="1190"/>
      <c r="C13" s="1190"/>
      <c r="D13" s="149"/>
      <c r="E13" s="149"/>
      <c r="F13" s="149"/>
      <c r="G13" s="222"/>
      <c r="H13" s="84"/>
      <c r="I13" s="84"/>
      <c r="J13" s="84"/>
      <c r="K13" s="84"/>
      <c r="L13" s="220"/>
      <c r="M13" s="220"/>
      <c r="N13" s="220"/>
      <c r="O13" s="221"/>
    </row>
    <row r="14" spans="1:15" s="219" customFormat="1" ht="22.5" customHeight="1" thickBot="1" x14ac:dyDescent="0.35">
      <c r="A14" s="1191" t="s">
        <v>0</v>
      </c>
      <c r="B14" s="1191"/>
      <c r="C14" s="1191"/>
      <c r="D14" s="149"/>
      <c r="E14" s="149"/>
      <c r="F14" s="149"/>
      <c r="G14" s="222"/>
      <c r="H14" s="84"/>
      <c r="I14" s="84"/>
      <c r="J14" s="84"/>
      <c r="K14" s="84"/>
      <c r="L14" s="220"/>
      <c r="M14" s="220"/>
      <c r="N14" s="220" t="s">
        <v>268</v>
      </c>
      <c r="O14" s="221"/>
    </row>
    <row r="15" spans="1:15" s="219" customFormat="1" ht="21.75" customHeight="1" x14ac:dyDescent="0.3">
      <c r="A15" s="1192" t="s">
        <v>8</v>
      </c>
      <c r="B15" s="1194" t="s">
        <v>9</v>
      </c>
      <c r="C15" s="1196" t="s">
        <v>269</v>
      </c>
      <c r="D15" s="1198" t="s">
        <v>474</v>
      </c>
      <c r="E15" s="1198" t="s">
        <v>475</v>
      </c>
      <c r="F15" s="1198" t="s">
        <v>476</v>
      </c>
      <c r="G15" s="1200" t="s">
        <v>477</v>
      </c>
      <c r="H15" s="1201"/>
      <c r="I15" s="1183" t="s">
        <v>3</v>
      </c>
      <c r="J15" s="1184"/>
      <c r="K15" s="1184"/>
      <c r="L15" s="1185"/>
      <c r="M15" s="1186" t="s">
        <v>478</v>
      </c>
      <c r="N15" s="1186"/>
      <c r="O15" s="1187"/>
    </row>
    <row r="16" spans="1:15" s="219" customFormat="1" ht="176.25" customHeight="1" thickBot="1" x14ac:dyDescent="0.35">
      <c r="A16" s="1193"/>
      <c r="B16" s="1195"/>
      <c r="C16" s="1197"/>
      <c r="D16" s="1199"/>
      <c r="E16" s="1199"/>
      <c r="F16" s="1199"/>
      <c r="G16" s="588" t="s">
        <v>479</v>
      </c>
      <c r="H16" s="223" t="s">
        <v>651</v>
      </c>
      <c r="I16" s="588" t="s">
        <v>479</v>
      </c>
      <c r="J16" s="587" t="s">
        <v>5</v>
      </c>
      <c r="K16" s="223" t="s">
        <v>651</v>
      </c>
      <c r="L16" s="587" t="s">
        <v>5</v>
      </c>
      <c r="M16" s="588" t="s">
        <v>479</v>
      </c>
      <c r="N16" s="223" t="s">
        <v>650</v>
      </c>
      <c r="O16" s="224" t="s">
        <v>456</v>
      </c>
    </row>
    <row r="17" spans="1:15" s="219" customFormat="1" ht="13.5" customHeight="1" thickBot="1" x14ac:dyDescent="0.35">
      <c r="A17" s="1023">
        <v>1</v>
      </c>
      <c r="B17" s="1024">
        <v>2</v>
      </c>
      <c r="C17" s="1025" t="s">
        <v>279</v>
      </c>
      <c r="D17" s="1024">
        <v>4</v>
      </c>
      <c r="E17" s="1024">
        <v>5</v>
      </c>
      <c r="F17" s="1024">
        <v>6</v>
      </c>
      <c r="G17" s="1024">
        <v>7</v>
      </c>
      <c r="H17" s="1024">
        <v>8</v>
      </c>
      <c r="I17" s="1026">
        <v>9</v>
      </c>
      <c r="J17" s="1027">
        <v>10</v>
      </c>
      <c r="K17" s="1028">
        <v>11</v>
      </c>
      <c r="L17" s="1028">
        <v>12</v>
      </c>
      <c r="M17" s="1028">
        <v>13</v>
      </c>
      <c r="N17" s="1028">
        <v>14</v>
      </c>
      <c r="O17" s="1029">
        <v>15</v>
      </c>
    </row>
    <row r="18" spans="1:15" s="219" customFormat="1" ht="79.5" customHeight="1" thickBot="1" x14ac:dyDescent="0.35">
      <c r="A18" s="226" t="s">
        <v>13</v>
      </c>
      <c r="B18" s="227"/>
      <c r="C18" s="227"/>
      <c r="D18" s="228" t="s">
        <v>480</v>
      </c>
      <c r="E18" s="229"/>
      <c r="F18" s="229"/>
      <c r="G18" s="230">
        <f t="shared" ref="G18:L18" si="0">G19</f>
        <v>96435502</v>
      </c>
      <c r="H18" s="230">
        <f t="shared" si="0"/>
        <v>93117552.269999996</v>
      </c>
      <c r="I18" s="230">
        <f t="shared" si="0"/>
        <v>58777764</v>
      </c>
      <c r="J18" s="230">
        <f t="shared" si="0"/>
        <v>58777764</v>
      </c>
      <c r="K18" s="230">
        <f t="shared" si="0"/>
        <v>51030917.280000001</v>
      </c>
      <c r="L18" s="230">
        <f t="shared" si="0"/>
        <v>51030917.280000001</v>
      </c>
      <c r="M18" s="230">
        <f>G18+I18</f>
        <v>155213266</v>
      </c>
      <c r="N18" s="230">
        <f>H18+K18</f>
        <v>144148469.55000001</v>
      </c>
      <c r="O18" s="231">
        <f>N18/M18</f>
        <v>0.92871230188532994</v>
      </c>
    </row>
    <row r="19" spans="1:15" s="219" customFormat="1" ht="75.75" customHeight="1" thickBot="1" x14ac:dyDescent="0.35">
      <c r="A19" s="232" t="s">
        <v>16</v>
      </c>
      <c r="B19" s="233"/>
      <c r="C19" s="233"/>
      <c r="D19" s="234" t="s">
        <v>285</v>
      </c>
      <c r="E19" s="235"/>
      <c r="F19" s="235"/>
      <c r="G19" s="236">
        <f>SUM(G20:G36)</f>
        <v>96435502</v>
      </c>
      <c r="H19" s="236">
        <f>SUM(H20:H36)</f>
        <v>93117552.269999996</v>
      </c>
      <c r="I19" s="236">
        <f t="shared" ref="I19" si="1">SUM(I20:I36)</f>
        <v>58777764</v>
      </c>
      <c r="J19" s="236">
        <f>SUM(J20:J36)</f>
        <v>58777764</v>
      </c>
      <c r="K19" s="236">
        <f>SUM(K20:K36)</f>
        <v>51030917.280000001</v>
      </c>
      <c r="L19" s="236">
        <f>SUM(L20:L36)</f>
        <v>51030917.280000001</v>
      </c>
      <c r="M19" s="236">
        <f>SUM(M20:M36)</f>
        <v>155213266</v>
      </c>
      <c r="N19" s="236">
        <f>SUM(N20:N36)</f>
        <v>144148469.55000001</v>
      </c>
      <c r="O19" s="237">
        <f>N19/M19</f>
        <v>0.92871230188532994</v>
      </c>
    </row>
    <row r="20" spans="1:15" s="219" customFormat="1" ht="166.5" customHeight="1" thickBot="1" x14ac:dyDescent="0.35">
      <c r="A20" s="687" t="s">
        <v>166</v>
      </c>
      <c r="B20" s="688" t="s">
        <v>167</v>
      </c>
      <c r="C20" s="688" t="s">
        <v>17</v>
      </c>
      <c r="D20" s="671" t="s">
        <v>168</v>
      </c>
      <c r="E20" s="671" t="s">
        <v>253</v>
      </c>
      <c r="F20" s="689" t="s">
        <v>304</v>
      </c>
      <c r="G20" s="341">
        <v>227652</v>
      </c>
      <c r="H20" s="341">
        <v>227652</v>
      </c>
      <c r="I20" s="341">
        <v>0</v>
      </c>
      <c r="J20" s="341">
        <f>I20</f>
        <v>0</v>
      </c>
      <c r="K20" s="275">
        <v>0</v>
      </c>
      <c r="L20" s="341">
        <v>0</v>
      </c>
      <c r="M20" s="341">
        <f>G20+I20</f>
        <v>227652</v>
      </c>
      <c r="N20" s="341">
        <f>H20+K20</f>
        <v>227652</v>
      </c>
      <c r="O20" s="690">
        <f>N20/M20</f>
        <v>1</v>
      </c>
    </row>
    <row r="21" spans="1:15" s="219" customFormat="1" ht="260.25" customHeight="1" x14ac:dyDescent="0.3">
      <c r="A21" s="646">
        <v>210180</v>
      </c>
      <c r="B21" s="681" t="s">
        <v>219</v>
      </c>
      <c r="C21" s="681" t="s">
        <v>217</v>
      </c>
      <c r="D21" s="686" t="s">
        <v>220</v>
      </c>
      <c r="E21" s="650" t="s">
        <v>221</v>
      </c>
      <c r="F21" s="606" t="s">
        <v>578</v>
      </c>
      <c r="G21" s="239">
        <v>109000</v>
      </c>
      <c r="H21" s="239">
        <v>18000</v>
      </c>
      <c r="I21" s="239">
        <v>0</v>
      </c>
      <c r="J21" s="239">
        <f>I21</f>
        <v>0</v>
      </c>
      <c r="K21" s="607">
        <v>0</v>
      </c>
      <c r="L21" s="239">
        <v>0</v>
      </c>
      <c r="M21" s="239">
        <f>G21+I21</f>
        <v>109000</v>
      </c>
      <c r="N21" s="239">
        <f>H21+K21</f>
        <v>18000</v>
      </c>
      <c r="O21" s="240">
        <f>N21/M21</f>
        <v>0.16513761467889909</v>
      </c>
    </row>
    <row r="22" spans="1:15" s="5" customFormat="1" ht="127.5" customHeight="1" x14ac:dyDescent="0.3">
      <c r="A22" s="242" t="s">
        <v>18</v>
      </c>
      <c r="B22" s="243" t="s">
        <v>19</v>
      </c>
      <c r="C22" s="243" t="s">
        <v>20</v>
      </c>
      <c r="D22" s="605" t="s">
        <v>21</v>
      </c>
      <c r="E22" s="238" t="s">
        <v>159</v>
      </c>
      <c r="F22" s="605" t="s">
        <v>689</v>
      </c>
      <c r="G22" s="244">
        <v>12904176</v>
      </c>
      <c r="H22" s="244">
        <v>12271749.01</v>
      </c>
      <c r="I22" s="338">
        <v>2173600</v>
      </c>
      <c r="J22" s="338">
        <f>I22</f>
        <v>2173600</v>
      </c>
      <c r="K22" s="244">
        <v>2152033.9300000002</v>
      </c>
      <c r="L22" s="244">
        <v>2152033.9300000002</v>
      </c>
      <c r="M22" s="244">
        <f>G22+I22</f>
        <v>15077776</v>
      </c>
      <c r="N22" s="244">
        <f>H22+K22</f>
        <v>14423782.939999999</v>
      </c>
      <c r="O22" s="248">
        <f t="shared" ref="O22:O118" si="2">N22/M22</f>
        <v>0.95662536305089019</v>
      </c>
    </row>
    <row r="23" spans="1:15" s="245" customFormat="1" ht="146.25" customHeight="1" x14ac:dyDescent="0.3">
      <c r="A23" s="242" t="s">
        <v>18</v>
      </c>
      <c r="B23" s="243" t="s">
        <v>19</v>
      </c>
      <c r="C23" s="243" t="s">
        <v>20</v>
      </c>
      <c r="D23" s="605" t="s">
        <v>21</v>
      </c>
      <c r="E23" s="642" t="s">
        <v>158</v>
      </c>
      <c r="F23" s="794" t="s">
        <v>723</v>
      </c>
      <c r="G23" s="244">
        <v>14427648</v>
      </c>
      <c r="H23" s="244">
        <v>14427648</v>
      </c>
      <c r="I23" s="244">
        <v>0</v>
      </c>
      <c r="J23" s="244">
        <f>I23</f>
        <v>0</v>
      </c>
      <c r="K23" s="244">
        <v>0</v>
      </c>
      <c r="L23" s="244">
        <v>0</v>
      </c>
      <c r="M23" s="244">
        <f t="shared" ref="M23:M30" si="3">G23+I23</f>
        <v>14427648</v>
      </c>
      <c r="N23" s="244">
        <f t="shared" ref="N23:N36" si="4">H23+K23</f>
        <v>14427648</v>
      </c>
      <c r="O23" s="248">
        <f t="shared" si="2"/>
        <v>1</v>
      </c>
    </row>
    <row r="24" spans="1:15" s="245" customFormat="1" ht="132.75" customHeight="1" x14ac:dyDescent="0.3">
      <c r="A24" s="242" t="s">
        <v>22</v>
      </c>
      <c r="B24" s="243" t="s">
        <v>23</v>
      </c>
      <c r="C24" s="243" t="s">
        <v>24</v>
      </c>
      <c r="D24" s="605" t="s">
        <v>25</v>
      </c>
      <c r="E24" s="605" t="s">
        <v>222</v>
      </c>
      <c r="F24" s="605" t="s">
        <v>690</v>
      </c>
      <c r="G24" s="244">
        <v>619449</v>
      </c>
      <c r="H24" s="244">
        <v>537424.72</v>
      </c>
      <c r="I24" s="338">
        <v>372400</v>
      </c>
      <c r="J24" s="244">
        <f>I24</f>
        <v>372400</v>
      </c>
      <c r="K24" s="244">
        <v>372377</v>
      </c>
      <c r="L24" s="244">
        <f>K24</f>
        <v>372377</v>
      </c>
      <c r="M24" s="244">
        <f t="shared" si="3"/>
        <v>991849</v>
      </c>
      <c r="N24" s="244">
        <f t="shared" si="4"/>
        <v>909801.72</v>
      </c>
      <c r="O24" s="248">
        <f t="shared" si="2"/>
        <v>0.91727845670056629</v>
      </c>
    </row>
    <row r="25" spans="1:15" s="245" customFormat="1" ht="132.75" customHeight="1" x14ac:dyDescent="0.3">
      <c r="A25" s="643" t="s">
        <v>228</v>
      </c>
      <c r="B25" s="625">
        <v>2152</v>
      </c>
      <c r="C25" s="626" t="s">
        <v>229</v>
      </c>
      <c r="D25" s="605" t="s">
        <v>25</v>
      </c>
      <c r="E25" s="605" t="s">
        <v>223</v>
      </c>
      <c r="F25" s="605" t="s">
        <v>691</v>
      </c>
      <c r="G25" s="244">
        <v>3407103</v>
      </c>
      <c r="H25" s="244">
        <v>2467936.4900000002</v>
      </c>
      <c r="I25" s="338">
        <v>0</v>
      </c>
      <c r="J25" s="244">
        <f t="shared" ref="J25:J36" si="5">I25</f>
        <v>0</v>
      </c>
      <c r="K25" s="244">
        <v>0</v>
      </c>
      <c r="L25" s="244">
        <f t="shared" ref="L25:L36" si="6">K25</f>
        <v>0</v>
      </c>
      <c r="M25" s="244">
        <f t="shared" si="3"/>
        <v>3407103</v>
      </c>
      <c r="N25" s="244">
        <f t="shared" si="4"/>
        <v>2467936.4900000002</v>
      </c>
      <c r="O25" s="248">
        <f t="shared" si="2"/>
        <v>0.72435042028374264</v>
      </c>
    </row>
    <row r="26" spans="1:15" s="245" customFormat="1" ht="111" customHeight="1" x14ac:dyDescent="0.3">
      <c r="A26" s="646" t="s">
        <v>29</v>
      </c>
      <c r="B26" s="647" t="s">
        <v>30</v>
      </c>
      <c r="C26" s="647" t="s">
        <v>31</v>
      </c>
      <c r="D26" s="628" t="s">
        <v>32</v>
      </c>
      <c r="E26" s="628" t="s">
        <v>224</v>
      </c>
      <c r="F26" s="628" t="s">
        <v>692</v>
      </c>
      <c r="G26" s="239">
        <v>356546</v>
      </c>
      <c r="H26" s="239">
        <v>293030.84000000003</v>
      </c>
      <c r="I26" s="691">
        <v>53364</v>
      </c>
      <c r="J26" s="239">
        <f t="shared" si="5"/>
        <v>53364</v>
      </c>
      <c r="K26" s="239">
        <v>53364</v>
      </c>
      <c r="L26" s="239">
        <f t="shared" si="6"/>
        <v>53364</v>
      </c>
      <c r="M26" s="239">
        <f t="shared" si="3"/>
        <v>409910</v>
      </c>
      <c r="N26" s="239">
        <f t="shared" si="4"/>
        <v>346394.84</v>
      </c>
      <c r="O26" s="246">
        <f t="shared" si="2"/>
        <v>0.845050962406382</v>
      </c>
    </row>
    <row r="27" spans="1:15" s="245" customFormat="1" ht="169.95" customHeight="1" x14ac:dyDescent="0.3">
      <c r="A27" s="643" t="s">
        <v>591</v>
      </c>
      <c r="B27" s="625">
        <v>8110</v>
      </c>
      <c r="C27" s="626" t="s">
        <v>231</v>
      </c>
      <c r="D27" s="627" t="s">
        <v>232</v>
      </c>
      <c r="E27" s="605" t="s">
        <v>596</v>
      </c>
      <c r="F27" s="605" t="s">
        <v>693</v>
      </c>
      <c r="G27" s="244">
        <v>1789685</v>
      </c>
      <c r="H27" s="244">
        <v>1450560</v>
      </c>
      <c r="I27" s="338">
        <v>0</v>
      </c>
      <c r="J27" s="244">
        <f t="shared" si="5"/>
        <v>0</v>
      </c>
      <c r="K27" s="244">
        <v>0</v>
      </c>
      <c r="L27" s="244">
        <f t="shared" si="6"/>
        <v>0</v>
      </c>
      <c r="M27" s="244">
        <f t="shared" si="3"/>
        <v>1789685</v>
      </c>
      <c r="N27" s="244">
        <f t="shared" si="4"/>
        <v>1450560</v>
      </c>
      <c r="O27" s="257">
        <f t="shared" si="2"/>
        <v>0.81051134696888005</v>
      </c>
    </row>
    <row r="28" spans="1:15" s="245" customFormat="1" ht="114" customHeight="1" x14ac:dyDescent="0.3">
      <c r="A28" s="639" t="s">
        <v>33</v>
      </c>
      <c r="B28" s="625" t="s">
        <v>34</v>
      </c>
      <c r="C28" s="625" t="s">
        <v>35</v>
      </c>
      <c r="D28" s="605" t="s">
        <v>36</v>
      </c>
      <c r="E28" s="605" t="s">
        <v>149</v>
      </c>
      <c r="F28" s="605" t="s">
        <v>583</v>
      </c>
      <c r="G28" s="244">
        <v>6000</v>
      </c>
      <c r="H28" s="244">
        <v>5606.09</v>
      </c>
      <c r="I28" s="338">
        <v>0</v>
      </c>
      <c r="J28" s="244">
        <f t="shared" si="5"/>
        <v>0</v>
      </c>
      <c r="K28" s="244">
        <v>0</v>
      </c>
      <c r="L28" s="244">
        <f t="shared" si="6"/>
        <v>0</v>
      </c>
      <c r="M28" s="244">
        <f t="shared" si="3"/>
        <v>6000</v>
      </c>
      <c r="N28" s="244">
        <f t="shared" si="4"/>
        <v>5606.09</v>
      </c>
      <c r="O28" s="257">
        <f t="shared" si="2"/>
        <v>0.93434833333333334</v>
      </c>
    </row>
    <row r="29" spans="1:15" s="5" customFormat="1" ht="126" customHeight="1" x14ac:dyDescent="0.3">
      <c r="A29" s="247" t="s">
        <v>155</v>
      </c>
      <c r="B29" s="514">
        <v>8230</v>
      </c>
      <c r="C29" s="625" t="s">
        <v>35</v>
      </c>
      <c r="D29" s="238" t="s">
        <v>156</v>
      </c>
      <c r="E29" s="238" t="s">
        <v>160</v>
      </c>
      <c r="F29" s="605" t="s">
        <v>597</v>
      </c>
      <c r="G29" s="244">
        <v>18132201</v>
      </c>
      <c r="H29" s="244">
        <v>17079170.640000001</v>
      </c>
      <c r="I29" s="244">
        <v>900000</v>
      </c>
      <c r="J29" s="244">
        <f t="shared" si="5"/>
        <v>900000</v>
      </c>
      <c r="K29" s="244">
        <v>900000</v>
      </c>
      <c r="L29" s="244">
        <f t="shared" si="6"/>
        <v>900000</v>
      </c>
      <c r="M29" s="244">
        <f t="shared" si="3"/>
        <v>19032201</v>
      </c>
      <c r="N29" s="244">
        <f t="shared" si="4"/>
        <v>17979170.640000001</v>
      </c>
      <c r="O29" s="248">
        <f t="shared" si="2"/>
        <v>0.94467112027663014</v>
      </c>
    </row>
    <row r="30" spans="1:15" s="5" customFormat="1" ht="219" customHeight="1" x14ac:dyDescent="0.3">
      <c r="A30" s="746" t="s">
        <v>652</v>
      </c>
      <c r="B30" s="649">
        <v>8240</v>
      </c>
      <c r="C30" s="661" t="s">
        <v>35</v>
      </c>
      <c r="D30" s="747" t="s">
        <v>641</v>
      </c>
      <c r="E30" s="748" t="s">
        <v>569</v>
      </c>
      <c r="F30" s="623" t="s">
        <v>694</v>
      </c>
      <c r="G30" s="244">
        <v>183976</v>
      </c>
      <c r="H30" s="244">
        <v>183792.22</v>
      </c>
      <c r="I30" s="244">
        <v>0</v>
      </c>
      <c r="J30" s="244">
        <v>0</v>
      </c>
      <c r="K30" s="244">
        <v>0</v>
      </c>
      <c r="L30" s="244">
        <v>0</v>
      </c>
      <c r="M30" s="244">
        <f t="shared" si="3"/>
        <v>183976</v>
      </c>
      <c r="N30" s="244">
        <f t="shared" si="4"/>
        <v>183792.22</v>
      </c>
      <c r="O30" s="248">
        <f t="shared" si="2"/>
        <v>0.9990010653563508</v>
      </c>
    </row>
    <row r="31" spans="1:15" s="5" customFormat="1" ht="205.5" customHeight="1" x14ac:dyDescent="0.3">
      <c r="A31" s="639" t="s">
        <v>37</v>
      </c>
      <c r="B31" s="625" t="s">
        <v>38</v>
      </c>
      <c r="C31" s="625" t="s">
        <v>39</v>
      </c>
      <c r="D31" s="605" t="s">
        <v>40</v>
      </c>
      <c r="E31" s="641" t="s">
        <v>225</v>
      </c>
      <c r="F31" s="605" t="s">
        <v>695</v>
      </c>
      <c r="G31" s="244">
        <v>3379702</v>
      </c>
      <c r="H31" s="244">
        <v>3336552.22</v>
      </c>
      <c r="I31" s="244">
        <v>0</v>
      </c>
      <c r="J31" s="244">
        <f t="shared" si="5"/>
        <v>0</v>
      </c>
      <c r="K31" s="244">
        <v>0</v>
      </c>
      <c r="L31" s="244">
        <f t="shared" si="6"/>
        <v>0</v>
      </c>
      <c r="M31" s="244">
        <f>G31+I31</f>
        <v>3379702</v>
      </c>
      <c r="N31" s="244">
        <f t="shared" si="4"/>
        <v>3336552.22</v>
      </c>
      <c r="O31" s="248">
        <f t="shared" si="2"/>
        <v>0.98723266725882941</v>
      </c>
    </row>
    <row r="32" spans="1:15" s="5" customFormat="1" ht="224.4" customHeight="1" x14ac:dyDescent="0.3">
      <c r="A32" s="643" t="s">
        <v>503</v>
      </c>
      <c r="B32" s="625">
        <v>9800</v>
      </c>
      <c r="C32" s="626" t="s">
        <v>219</v>
      </c>
      <c r="D32" s="238" t="s">
        <v>504</v>
      </c>
      <c r="E32" s="605" t="s">
        <v>569</v>
      </c>
      <c r="F32" s="623" t="s">
        <v>694</v>
      </c>
      <c r="G32" s="244">
        <v>32041000</v>
      </c>
      <c r="H32" s="244">
        <v>31970276.379999999</v>
      </c>
      <c r="I32" s="244">
        <v>36459000</v>
      </c>
      <c r="J32" s="244">
        <f t="shared" si="5"/>
        <v>36459000</v>
      </c>
      <c r="K32" s="244">
        <v>28734430.350000001</v>
      </c>
      <c r="L32" s="244">
        <f t="shared" si="6"/>
        <v>28734430.350000001</v>
      </c>
      <c r="M32" s="244">
        <f t="shared" ref="M32:M36" si="7">G32+I32</f>
        <v>68500000</v>
      </c>
      <c r="N32" s="244">
        <f t="shared" si="4"/>
        <v>60704706.730000004</v>
      </c>
      <c r="O32" s="248">
        <f t="shared" si="2"/>
        <v>0.88620009824817525</v>
      </c>
    </row>
    <row r="33" spans="1:15" s="5" customFormat="1" ht="156" customHeight="1" x14ac:dyDescent="0.3">
      <c r="A33" s="643" t="s">
        <v>503</v>
      </c>
      <c r="B33" s="625">
        <v>9800</v>
      </c>
      <c r="C33" s="626" t="s">
        <v>219</v>
      </c>
      <c r="D33" s="238" t="s">
        <v>504</v>
      </c>
      <c r="E33" s="605" t="s">
        <v>696</v>
      </c>
      <c r="F33" s="238" t="s">
        <v>697</v>
      </c>
      <c r="G33" s="244">
        <v>521164</v>
      </c>
      <c r="H33" s="244">
        <v>518555.7</v>
      </c>
      <c r="I33" s="244">
        <v>1393400</v>
      </c>
      <c r="J33" s="244">
        <f t="shared" si="5"/>
        <v>1393400</v>
      </c>
      <c r="K33" s="244">
        <v>1393214</v>
      </c>
      <c r="L33" s="244">
        <f t="shared" si="6"/>
        <v>1393214</v>
      </c>
      <c r="M33" s="244">
        <f t="shared" si="7"/>
        <v>1914564</v>
      </c>
      <c r="N33" s="244">
        <f t="shared" si="4"/>
        <v>1911769.7</v>
      </c>
      <c r="O33" s="248">
        <f t="shared" si="2"/>
        <v>0.99854050321639809</v>
      </c>
    </row>
    <row r="34" spans="1:15" s="5" customFormat="1" ht="130.5" customHeight="1" x14ac:dyDescent="0.3">
      <c r="A34" s="643" t="s">
        <v>503</v>
      </c>
      <c r="B34" s="625">
        <v>9800</v>
      </c>
      <c r="C34" s="626" t="s">
        <v>219</v>
      </c>
      <c r="D34" s="238" t="s">
        <v>504</v>
      </c>
      <c r="E34" s="605" t="s">
        <v>570</v>
      </c>
      <c r="F34" s="238" t="s">
        <v>571</v>
      </c>
      <c r="G34" s="244">
        <v>30300</v>
      </c>
      <c r="H34" s="244">
        <v>29697.96</v>
      </c>
      <c r="I34" s="244">
        <v>26000</v>
      </c>
      <c r="J34" s="244">
        <f t="shared" si="5"/>
        <v>26000</v>
      </c>
      <c r="K34" s="244">
        <v>25998</v>
      </c>
      <c r="L34" s="244">
        <f t="shared" si="6"/>
        <v>25998</v>
      </c>
      <c r="M34" s="244">
        <f t="shared" si="7"/>
        <v>56300</v>
      </c>
      <c r="N34" s="244">
        <f t="shared" si="4"/>
        <v>55695.96</v>
      </c>
      <c r="O34" s="248">
        <f t="shared" si="2"/>
        <v>0.9892710479573712</v>
      </c>
    </row>
    <row r="35" spans="1:15" s="5" customFormat="1" ht="151.94999999999999" customHeight="1" x14ac:dyDescent="0.3">
      <c r="A35" s="643" t="s">
        <v>503</v>
      </c>
      <c r="B35" s="625">
        <v>9800</v>
      </c>
      <c r="C35" s="626" t="s">
        <v>219</v>
      </c>
      <c r="D35" s="238" t="s">
        <v>504</v>
      </c>
      <c r="E35" s="605" t="s">
        <v>572</v>
      </c>
      <c r="F35" s="628" t="s">
        <v>598</v>
      </c>
      <c r="G35" s="244">
        <v>5000000</v>
      </c>
      <c r="H35" s="244">
        <v>5000000</v>
      </c>
      <c r="I35" s="244">
        <v>14000000</v>
      </c>
      <c r="J35" s="244">
        <f t="shared" si="5"/>
        <v>14000000</v>
      </c>
      <c r="K35" s="244">
        <v>14000000</v>
      </c>
      <c r="L35" s="244">
        <f t="shared" si="6"/>
        <v>14000000</v>
      </c>
      <c r="M35" s="244">
        <f t="shared" si="7"/>
        <v>19000000</v>
      </c>
      <c r="N35" s="244">
        <f t="shared" si="4"/>
        <v>19000000</v>
      </c>
      <c r="O35" s="248">
        <f t="shared" si="2"/>
        <v>1</v>
      </c>
    </row>
    <row r="36" spans="1:15" s="5" customFormat="1" ht="132" customHeight="1" thickBot="1" x14ac:dyDescent="0.35">
      <c r="A36" s="643" t="s">
        <v>503</v>
      </c>
      <c r="B36" s="625">
        <v>9800</v>
      </c>
      <c r="C36" s="626" t="s">
        <v>219</v>
      </c>
      <c r="D36" s="238" t="s">
        <v>504</v>
      </c>
      <c r="E36" s="605" t="s">
        <v>595</v>
      </c>
      <c r="F36" s="605" t="s">
        <v>698</v>
      </c>
      <c r="G36" s="589">
        <v>3299900</v>
      </c>
      <c r="H36" s="589">
        <v>3299900</v>
      </c>
      <c r="I36" s="589">
        <v>3400000</v>
      </c>
      <c r="J36" s="244">
        <f t="shared" si="5"/>
        <v>3400000</v>
      </c>
      <c r="K36" s="589">
        <v>3399500</v>
      </c>
      <c r="L36" s="244">
        <f t="shared" si="6"/>
        <v>3399500</v>
      </c>
      <c r="M36" s="589">
        <f t="shared" si="7"/>
        <v>6699900</v>
      </c>
      <c r="N36" s="589">
        <f t="shared" si="4"/>
        <v>6699400</v>
      </c>
      <c r="O36" s="616">
        <f t="shared" si="2"/>
        <v>0.99992537202047793</v>
      </c>
    </row>
    <row r="37" spans="1:15" s="5" customFormat="1" ht="75" customHeight="1" thickBot="1" x14ac:dyDescent="0.35">
      <c r="A37" s="644" t="s">
        <v>41</v>
      </c>
      <c r="B37" s="227"/>
      <c r="C37" s="602"/>
      <c r="D37" s="228" t="s">
        <v>481</v>
      </c>
      <c r="E37" s="229"/>
      <c r="F37" s="229"/>
      <c r="G37" s="230">
        <f t="shared" ref="G37:L37" si="8">G38</f>
        <v>19134796</v>
      </c>
      <c r="H37" s="230">
        <f t="shared" si="8"/>
        <v>18038080.139999997</v>
      </c>
      <c r="I37" s="230">
        <f t="shared" si="8"/>
        <v>6158846</v>
      </c>
      <c r="J37" s="230">
        <f t="shared" si="8"/>
        <v>1037466</v>
      </c>
      <c r="K37" s="230">
        <f t="shared" si="8"/>
        <v>2588288</v>
      </c>
      <c r="L37" s="230">
        <f t="shared" si="8"/>
        <v>1006458</v>
      </c>
      <c r="M37" s="230">
        <f>G37+I37</f>
        <v>25293642</v>
      </c>
      <c r="N37" s="230">
        <f>H37+K37</f>
        <v>20626368.139999997</v>
      </c>
      <c r="O37" s="260">
        <f t="shared" si="2"/>
        <v>0.81547640074924743</v>
      </c>
    </row>
    <row r="38" spans="1:15" s="5" customFormat="1" ht="74.25" customHeight="1" thickBot="1" x14ac:dyDescent="0.35">
      <c r="A38" s="645" t="s">
        <v>43</v>
      </c>
      <c r="B38" s="249"/>
      <c r="C38" s="249"/>
      <c r="D38" s="234" t="s">
        <v>481</v>
      </c>
      <c r="E38" s="250"/>
      <c r="F38" s="250"/>
      <c r="G38" s="236">
        <f>G39+G40+G41+G42+G43+G44+G45+G48+G51+G46+G50</f>
        <v>19134796</v>
      </c>
      <c r="H38" s="236">
        <f>H39+H40+H41+H42+H43+H44+H45+H48+H51+H46+H50</f>
        <v>18038080.139999997</v>
      </c>
      <c r="I38" s="236">
        <f>I39+I40+I41+I42+I43+I44+I45+I48+I49+I51+I46+I47+I50</f>
        <v>6158846</v>
      </c>
      <c r="J38" s="236">
        <f t="shared" ref="J38:N38" si="9">J39+J40+J41+J42+J43+J44+J45+J48+J49+J51+J46+J47+J50</f>
        <v>1037466</v>
      </c>
      <c r="K38" s="236">
        <f>K39+K40+K41+K42+K43+K44+K45+K48+K49+K51+K46+K47+K50</f>
        <v>2588288</v>
      </c>
      <c r="L38" s="236">
        <f t="shared" si="9"/>
        <v>1006458</v>
      </c>
      <c r="M38" s="236">
        <f t="shared" si="9"/>
        <v>25293642</v>
      </c>
      <c r="N38" s="236">
        <f t="shared" si="9"/>
        <v>20626368.139999997</v>
      </c>
      <c r="O38" s="251">
        <f t="shared" si="2"/>
        <v>0.81547640074924743</v>
      </c>
    </row>
    <row r="39" spans="1:15" s="5" customFormat="1" ht="130.5" customHeight="1" x14ac:dyDescent="0.3">
      <c r="A39" s="646" t="s">
        <v>45</v>
      </c>
      <c r="B39" s="647" t="s">
        <v>46</v>
      </c>
      <c r="C39" s="647" t="s">
        <v>47</v>
      </c>
      <c r="D39" s="628" t="s">
        <v>48</v>
      </c>
      <c r="E39" s="628" t="s">
        <v>150</v>
      </c>
      <c r="F39" s="605" t="s">
        <v>738</v>
      </c>
      <c r="G39" s="258">
        <v>451865</v>
      </c>
      <c r="H39" s="258">
        <v>382625.2</v>
      </c>
      <c r="I39" s="597">
        <v>0</v>
      </c>
      <c r="J39" s="258">
        <v>0</v>
      </c>
      <c r="K39" s="600" t="s">
        <v>482</v>
      </c>
      <c r="L39" s="258">
        <v>0</v>
      </c>
      <c r="M39" s="258">
        <f t="shared" ref="M39:M51" si="10">G39+I39</f>
        <v>451865</v>
      </c>
      <c r="N39" s="258">
        <f>H39+K39</f>
        <v>382625.2</v>
      </c>
      <c r="O39" s="246">
        <f t="shared" si="2"/>
        <v>0.84676883582485918</v>
      </c>
    </row>
    <row r="40" spans="1:15" s="99" customFormat="1" ht="138.75" customHeight="1" x14ac:dyDescent="0.3">
      <c r="A40" s="639" t="s">
        <v>49</v>
      </c>
      <c r="B40" s="625" t="s">
        <v>50</v>
      </c>
      <c r="C40" s="625" t="s">
        <v>51</v>
      </c>
      <c r="D40" s="605" t="s">
        <v>52</v>
      </c>
      <c r="E40" s="605" t="s">
        <v>150</v>
      </c>
      <c r="F40" s="605" t="s">
        <v>738</v>
      </c>
      <c r="G40" s="254">
        <v>14276788</v>
      </c>
      <c r="H40" s="255">
        <v>13491960.359999999</v>
      </c>
      <c r="I40" s="273">
        <v>0</v>
      </c>
      <c r="J40" s="254">
        <v>0</v>
      </c>
      <c r="K40" s="254">
        <v>0</v>
      </c>
      <c r="L40" s="254">
        <v>0</v>
      </c>
      <c r="M40" s="254">
        <f t="shared" si="10"/>
        <v>14276788</v>
      </c>
      <c r="N40" s="254">
        <f t="shared" ref="N40:N51" si="11">H40+K40</f>
        <v>13491960.359999999</v>
      </c>
      <c r="O40" s="248">
        <f t="shared" si="2"/>
        <v>0.94502771631826421</v>
      </c>
    </row>
    <row r="41" spans="1:15" s="3" customFormat="1" ht="133.19999999999999" customHeight="1" x14ac:dyDescent="0.3">
      <c r="A41" s="639" t="s">
        <v>53</v>
      </c>
      <c r="B41" s="625" t="s">
        <v>54</v>
      </c>
      <c r="C41" s="625" t="s">
        <v>55</v>
      </c>
      <c r="D41" s="605" t="s">
        <v>56</v>
      </c>
      <c r="E41" s="605" t="s">
        <v>150</v>
      </c>
      <c r="F41" s="605" t="s">
        <v>738</v>
      </c>
      <c r="G41" s="244">
        <v>24260</v>
      </c>
      <c r="H41" s="254">
        <v>22286.44</v>
      </c>
      <c r="I41" s="256">
        <v>0</v>
      </c>
      <c r="J41" s="256">
        <v>0</v>
      </c>
      <c r="K41" s="256">
        <v>0</v>
      </c>
      <c r="L41" s="256">
        <v>0</v>
      </c>
      <c r="M41" s="254">
        <f t="shared" si="10"/>
        <v>24260</v>
      </c>
      <c r="N41" s="254">
        <f t="shared" si="11"/>
        <v>22286.44</v>
      </c>
      <c r="O41" s="257">
        <f t="shared" si="2"/>
        <v>0.91864962901896119</v>
      </c>
    </row>
    <row r="42" spans="1:15" s="5" customFormat="1" ht="130.94999999999999" customHeight="1" x14ac:dyDescent="0.3">
      <c r="A42" s="639" t="s">
        <v>58</v>
      </c>
      <c r="B42" s="625" t="s">
        <v>59</v>
      </c>
      <c r="C42" s="625" t="s">
        <v>57</v>
      </c>
      <c r="D42" s="605" t="s">
        <v>60</v>
      </c>
      <c r="E42" s="605" t="s">
        <v>150</v>
      </c>
      <c r="F42" s="605" t="s">
        <v>738</v>
      </c>
      <c r="G42" s="244">
        <v>69480</v>
      </c>
      <c r="H42" s="244">
        <v>69480</v>
      </c>
      <c r="I42" s="244">
        <v>0</v>
      </c>
      <c r="J42" s="244">
        <v>0</v>
      </c>
      <c r="K42" s="244">
        <v>0</v>
      </c>
      <c r="L42" s="244">
        <v>0</v>
      </c>
      <c r="M42" s="254">
        <f t="shared" si="10"/>
        <v>69480</v>
      </c>
      <c r="N42" s="254">
        <f t="shared" si="11"/>
        <v>69480</v>
      </c>
      <c r="O42" s="248">
        <f t="shared" si="2"/>
        <v>1</v>
      </c>
    </row>
    <row r="43" spans="1:15" s="5" customFormat="1" ht="138.75" customHeight="1" x14ac:dyDescent="0.3">
      <c r="A43" s="639" t="s">
        <v>61</v>
      </c>
      <c r="B43" s="625" t="s">
        <v>62</v>
      </c>
      <c r="C43" s="625" t="s">
        <v>57</v>
      </c>
      <c r="D43" s="605" t="s">
        <v>63</v>
      </c>
      <c r="E43" s="605" t="s">
        <v>150</v>
      </c>
      <c r="F43" s="605" t="s">
        <v>738</v>
      </c>
      <c r="G43" s="244">
        <v>4722</v>
      </c>
      <c r="H43" s="244">
        <v>4721.76</v>
      </c>
      <c r="I43" s="244">
        <v>0</v>
      </c>
      <c r="J43" s="244">
        <v>0</v>
      </c>
      <c r="K43" s="244">
        <v>0</v>
      </c>
      <c r="L43" s="244">
        <v>0</v>
      </c>
      <c r="M43" s="254">
        <f t="shared" si="10"/>
        <v>4722</v>
      </c>
      <c r="N43" s="254">
        <f t="shared" si="11"/>
        <v>4721.76</v>
      </c>
      <c r="O43" s="257">
        <f t="shared" si="2"/>
        <v>0.99994917407878026</v>
      </c>
    </row>
    <row r="44" spans="1:15" s="5" customFormat="1" ht="129.75" customHeight="1" x14ac:dyDescent="0.3">
      <c r="A44" s="639" t="s">
        <v>64</v>
      </c>
      <c r="B44" s="625" t="s">
        <v>65</v>
      </c>
      <c r="C44" s="625" t="s">
        <v>57</v>
      </c>
      <c r="D44" s="605" t="s">
        <v>66</v>
      </c>
      <c r="E44" s="605" t="s">
        <v>151</v>
      </c>
      <c r="F44" s="605" t="s">
        <v>738</v>
      </c>
      <c r="G44" s="244">
        <v>4750</v>
      </c>
      <c r="H44" s="244">
        <v>4315.76</v>
      </c>
      <c r="I44" s="244">
        <v>0</v>
      </c>
      <c r="J44" s="244">
        <v>0</v>
      </c>
      <c r="K44" s="244">
        <v>0</v>
      </c>
      <c r="L44" s="244">
        <v>0</v>
      </c>
      <c r="M44" s="254">
        <f t="shared" si="10"/>
        <v>4750</v>
      </c>
      <c r="N44" s="254">
        <f t="shared" si="11"/>
        <v>4315.76</v>
      </c>
      <c r="O44" s="257">
        <f t="shared" si="2"/>
        <v>0.90858105263157896</v>
      </c>
    </row>
    <row r="45" spans="1:15" s="5" customFormat="1" ht="111.75" customHeight="1" x14ac:dyDescent="0.3">
      <c r="A45" s="624" t="s">
        <v>64</v>
      </c>
      <c r="B45" s="625" t="s">
        <v>65</v>
      </c>
      <c r="C45" s="625" t="s">
        <v>57</v>
      </c>
      <c r="D45" s="605" t="s">
        <v>66</v>
      </c>
      <c r="E45" s="605" t="s">
        <v>252</v>
      </c>
      <c r="F45" s="605" t="s">
        <v>699</v>
      </c>
      <c r="G45" s="244">
        <v>4187</v>
      </c>
      <c r="H45" s="244">
        <v>4187</v>
      </c>
      <c r="I45" s="244">
        <v>0</v>
      </c>
      <c r="J45" s="244">
        <v>0</v>
      </c>
      <c r="K45" s="244">
        <v>0</v>
      </c>
      <c r="L45" s="244">
        <v>0</v>
      </c>
      <c r="M45" s="254">
        <f t="shared" si="10"/>
        <v>4187</v>
      </c>
      <c r="N45" s="254">
        <f t="shared" si="11"/>
        <v>4187</v>
      </c>
      <c r="O45" s="257">
        <f t="shared" si="2"/>
        <v>1</v>
      </c>
    </row>
    <row r="46" spans="1:15" s="5" customFormat="1" ht="169.5" customHeight="1" x14ac:dyDescent="0.35">
      <c r="A46" s="643" t="s">
        <v>642</v>
      </c>
      <c r="B46" s="625">
        <v>1181</v>
      </c>
      <c r="C46" s="626" t="s">
        <v>57</v>
      </c>
      <c r="D46" s="741" t="s">
        <v>643</v>
      </c>
      <c r="E46" s="605" t="s">
        <v>150</v>
      </c>
      <c r="F46" s="605" t="s">
        <v>738</v>
      </c>
      <c r="G46" s="244">
        <v>449824</v>
      </c>
      <c r="H46" s="244">
        <v>449324</v>
      </c>
      <c r="I46" s="244">
        <v>0</v>
      </c>
      <c r="J46" s="244">
        <v>0</v>
      </c>
      <c r="K46" s="244">
        <v>0</v>
      </c>
      <c r="L46" s="244">
        <v>0</v>
      </c>
      <c r="M46" s="254">
        <f>G46+I46</f>
        <v>449824</v>
      </c>
      <c r="N46" s="254">
        <f t="shared" si="11"/>
        <v>449324</v>
      </c>
      <c r="O46" s="257">
        <f t="shared" si="2"/>
        <v>0.99888845415095684</v>
      </c>
    </row>
    <row r="47" spans="1:15" s="5" customFormat="1" ht="164.25" customHeight="1" x14ac:dyDescent="0.35">
      <c r="A47" s="742" t="s">
        <v>646</v>
      </c>
      <c r="B47" s="681" t="s">
        <v>653</v>
      </c>
      <c r="C47" s="681" t="s">
        <v>57</v>
      </c>
      <c r="D47" s="743" t="s">
        <v>647</v>
      </c>
      <c r="E47" s="605" t="s">
        <v>150</v>
      </c>
      <c r="F47" s="605" t="s">
        <v>738</v>
      </c>
      <c r="G47" s="244">
        <v>0</v>
      </c>
      <c r="H47" s="244">
        <v>0</v>
      </c>
      <c r="I47" s="244">
        <v>1037466</v>
      </c>
      <c r="J47" s="244">
        <v>1037466</v>
      </c>
      <c r="K47" s="244">
        <v>1006458</v>
      </c>
      <c r="L47" s="244">
        <v>1006458</v>
      </c>
      <c r="M47" s="254">
        <f>G47+I47</f>
        <v>1037466</v>
      </c>
      <c r="N47" s="254">
        <f t="shared" si="11"/>
        <v>1006458</v>
      </c>
      <c r="O47" s="257">
        <f t="shared" si="2"/>
        <v>0.97011179161533967</v>
      </c>
    </row>
    <row r="48" spans="1:15" s="5" customFormat="1" ht="249" customHeight="1" x14ac:dyDescent="0.3">
      <c r="A48" s="643" t="s">
        <v>507</v>
      </c>
      <c r="B48" s="625">
        <v>1291</v>
      </c>
      <c r="C48" s="625" t="s">
        <v>57</v>
      </c>
      <c r="D48" s="605" t="s">
        <v>508</v>
      </c>
      <c r="E48" s="605" t="s">
        <v>151</v>
      </c>
      <c r="F48" s="605" t="s">
        <v>738</v>
      </c>
      <c r="G48" s="244">
        <v>694620</v>
      </c>
      <c r="H48" s="244">
        <v>694620</v>
      </c>
      <c r="I48" s="244">
        <v>0</v>
      </c>
      <c r="J48" s="244">
        <v>0</v>
      </c>
      <c r="K48" s="244">
        <v>0</v>
      </c>
      <c r="L48" s="244">
        <v>0</v>
      </c>
      <c r="M48" s="254">
        <f t="shared" si="10"/>
        <v>694620</v>
      </c>
      <c r="N48" s="254">
        <f t="shared" si="11"/>
        <v>694620</v>
      </c>
      <c r="O48" s="257">
        <f t="shared" si="2"/>
        <v>1</v>
      </c>
    </row>
    <row r="49" spans="1:15" s="5" customFormat="1" ht="218.25" customHeight="1" x14ac:dyDescent="0.3">
      <c r="A49" s="643" t="s">
        <v>514</v>
      </c>
      <c r="B49" s="625">
        <v>1292</v>
      </c>
      <c r="C49" s="625" t="s">
        <v>57</v>
      </c>
      <c r="D49" s="605" t="s">
        <v>515</v>
      </c>
      <c r="E49" s="605" t="s">
        <v>151</v>
      </c>
      <c r="F49" s="605" t="s">
        <v>738</v>
      </c>
      <c r="G49" s="244">
        <v>0</v>
      </c>
      <c r="H49" s="244">
        <v>0</v>
      </c>
      <c r="I49" s="244">
        <v>1620780</v>
      </c>
      <c r="J49" s="244"/>
      <c r="K49" s="244">
        <v>1581830</v>
      </c>
      <c r="L49" s="244"/>
      <c r="M49" s="254">
        <f t="shared" si="10"/>
        <v>1620780</v>
      </c>
      <c r="N49" s="254">
        <f t="shared" si="11"/>
        <v>1581830</v>
      </c>
      <c r="O49" s="257">
        <f t="shared" si="2"/>
        <v>0.97596836091264705</v>
      </c>
    </row>
    <row r="50" spans="1:15" s="5" customFormat="1" ht="132.75" customHeight="1" x14ac:dyDescent="0.3">
      <c r="A50" s="643" t="s">
        <v>644</v>
      </c>
      <c r="B50" s="625">
        <v>1403</v>
      </c>
      <c r="C50" s="625" t="s">
        <v>57</v>
      </c>
      <c r="D50" s="605" t="s">
        <v>645</v>
      </c>
      <c r="E50" s="605" t="s">
        <v>151</v>
      </c>
      <c r="F50" s="605" t="s">
        <v>738</v>
      </c>
      <c r="G50" s="507">
        <v>2289800</v>
      </c>
      <c r="H50" s="507">
        <v>2050060.65</v>
      </c>
      <c r="I50" s="507">
        <v>3500600</v>
      </c>
      <c r="J50" s="507">
        <v>0</v>
      </c>
      <c r="K50" s="507">
        <v>0</v>
      </c>
      <c r="L50" s="507">
        <v>0</v>
      </c>
      <c r="M50" s="254">
        <f t="shared" si="10"/>
        <v>5790400</v>
      </c>
      <c r="N50" s="254">
        <f t="shared" si="11"/>
        <v>2050060.65</v>
      </c>
      <c r="O50" s="257">
        <f t="shared" si="2"/>
        <v>0.35404473784194529</v>
      </c>
    </row>
    <row r="51" spans="1:15" s="5" customFormat="1" ht="168.75" customHeight="1" thickBot="1" x14ac:dyDescent="0.35">
      <c r="A51" s="648" t="s">
        <v>509</v>
      </c>
      <c r="B51" s="649">
        <v>3140</v>
      </c>
      <c r="C51" s="649">
        <v>1040</v>
      </c>
      <c r="D51" s="623" t="s">
        <v>510</v>
      </c>
      <c r="E51" s="623" t="s">
        <v>573</v>
      </c>
      <c r="F51" s="623" t="s">
        <v>700</v>
      </c>
      <c r="G51" s="507">
        <v>864500</v>
      </c>
      <c r="H51" s="507">
        <v>864498.97</v>
      </c>
      <c r="I51" s="507">
        <v>0</v>
      </c>
      <c r="J51" s="507">
        <v>0</v>
      </c>
      <c r="K51" s="507">
        <v>0</v>
      </c>
      <c r="L51" s="507">
        <v>0</v>
      </c>
      <c r="M51" s="264">
        <f t="shared" si="10"/>
        <v>864500</v>
      </c>
      <c r="N51" s="264">
        <f t="shared" si="11"/>
        <v>864498.97</v>
      </c>
      <c r="O51" s="510">
        <f t="shared" si="2"/>
        <v>0.99999880855986112</v>
      </c>
    </row>
    <row r="52" spans="1:15" s="5" customFormat="1" ht="75.75" customHeight="1" thickBot="1" x14ac:dyDescent="0.35">
      <c r="A52" s="644" t="s">
        <v>68</v>
      </c>
      <c r="B52" s="259"/>
      <c r="C52" s="259"/>
      <c r="D52" s="229" t="s">
        <v>483</v>
      </c>
      <c r="E52" s="229"/>
      <c r="F52" s="229"/>
      <c r="G52" s="230">
        <f>G53</f>
        <v>22812451</v>
      </c>
      <c r="H52" s="230">
        <f>H53</f>
        <v>19385165.530000001</v>
      </c>
      <c r="I52" s="230">
        <f t="shared" ref="I52:N52" si="12">I53</f>
        <v>0</v>
      </c>
      <c r="J52" s="230">
        <f t="shared" si="12"/>
        <v>0</v>
      </c>
      <c r="K52" s="230">
        <f t="shared" si="12"/>
        <v>0</v>
      </c>
      <c r="L52" s="230">
        <f t="shared" si="12"/>
        <v>0</v>
      </c>
      <c r="M52" s="230">
        <f>M53</f>
        <v>22812451</v>
      </c>
      <c r="N52" s="230">
        <f t="shared" si="12"/>
        <v>19385165.530000001</v>
      </c>
      <c r="O52" s="260">
        <f t="shared" si="2"/>
        <v>0.84976250601042391</v>
      </c>
    </row>
    <row r="53" spans="1:15" s="5" customFormat="1" ht="97.5" customHeight="1" thickBot="1" x14ac:dyDescent="0.35">
      <c r="A53" s="645" t="s">
        <v>70</v>
      </c>
      <c r="B53" s="261"/>
      <c r="C53" s="261"/>
      <c r="D53" s="262" t="s">
        <v>484</v>
      </c>
      <c r="E53" s="235"/>
      <c r="F53" s="235"/>
      <c r="G53" s="263">
        <f t="shared" ref="G53:L53" si="13">SUM(G54:G59)</f>
        <v>22812451</v>
      </c>
      <c r="H53" s="263">
        <f>SUM(H54:H59)</f>
        <v>19385165.530000001</v>
      </c>
      <c r="I53" s="263">
        <f t="shared" si="13"/>
        <v>0</v>
      </c>
      <c r="J53" s="263">
        <f t="shared" si="13"/>
        <v>0</v>
      </c>
      <c r="K53" s="263">
        <f t="shared" si="13"/>
        <v>0</v>
      </c>
      <c r="L53" s="263">
        <f t="shared" si="13"/>
        <v>0</v>
      </c>
      <c r="M53" s="263">
        <f t="shared" ref="M53:M62" si="14">G53+I53</f>
        <v>22812451</v>
      </c>
      <c r="N53" s="263">
        <f t="shared" ref="N53:N59" si="15">H53+K53</f>
        <v>19385165.530000001</v>
      </c>
      <c r="O53" s="251">
        <f t="shared" si="2"/>
        <v>0.84976250601042391</v>
      </c>
    </row>
    <row r="54" spans="1:15" s="5" customFormat="1" ht="168" customHeight="1" x14ac:dyDescent="0.3">
      <c r="A54" s="646" t="s">
        <v>71</v>
      </c>
      <c r="B54" s="647" t="s">
        <v>72</v>
      </c>
      <c r="C54" s="647" t="s">
        <v>73</v>
      </c>
      <c r="D54" s="628" t="s">
        <v>74</v>
      </c>
      <c r="E54" s="650" t="s">
        <v>234</v>
      </c>
      <c r="F54" s="606" t="s">
        <v>708</v>
      </c>
      <c r="G54" s="258">
        <v>12750</v>
      </c>
      <c r="H54" s="258">
        <v>5230.8500000000004</v>
      </c>
      <c r="I54" s="597">
        <v>0</v>
      </c>
      <c r="J54" s="258">
        <v>0</v>
      </c>
      <c r="K54" s="258">
        <v>0</v>
      </c>
      <c r="L54" s="258">
        <v>0</v>
      </c>
      <c r="M54" s="258">
        <f t="shared" si="14"/>
        <v>12750</v>
      </c>
      <c r="N54" s="258">
        <f t="shared" si="15"/>
        <v>5230.8500000000004</v>
      </c>
      <c r="O54" s="246">
        <f t="shared" si="2"/>
        <v>0.41026274509803923</v>
      </c>
    </row>
    <row r="55" spans="1:15" s="245" customFormat="1" ht="172.5" customHeight="1" x14ac:dyDescent="0.3">
      <c r="A55" s="639" t="s">
        <v>75</v>
      </c>
      <c r="B55" s="625" t="s">
        <v>76</v>
      </c>
      <c r="C55" s="625" t="s">
        <v>54</v>
      </c>
      <c r="D55" s="605" t="s">
        <v>77</v>
      </c>
      <c r="E55" s="641" t="s">
        <v>234</v>
      </c>
      <c r="F55" s="606" t="s">
        <v>708</v>
      </c>
      <c r="G55" s="254">
        <v>8400</v>
      </c>
      <c r="H55" s="254">
        <v>8134.64</v>
      </c>
      <c r="I55" s="273">
        <v>0</v>
      </c>
      <c r="J55" s="254">
        <v>0</v>
      </c>
      <c r="K55" s="254">
        <v>0</v>
      </c>
      <c r="L55" s="254">
        <v>0</v>
      </c>
      <c r="M55" s="254">
        <f t="shared" si="14"/>
        <v>8400</v>
      </c>
      <c r="N55" s="254">
        <f t="shared" si="15"/>
        <v>8134.64</v>
      </c>
      <c r="O55" s="248">
        <f t="shared" si="2"/>
        <v>0.96840952380952383</v>
      </c>
    </row>
    <row r="56" spans="1:15" s="245" customFormat="1" ht="222.75" customHeight="1" x14ac:dyDescent="0.3">
      <c r="A56" s="643" t="s">
        <v>182</v>
      </c>
      <c r="B56" s="625">
        <v>3105</v>
      </c>
      <c r="C56" s="625">
        <v>1010</v>
      </c>
      <c r="D56" s="605" t="s">
        <v>184</v>
      </c>
      <c r="E56" s="238" t="s">
        <v>574</v>
      </c>
      <c r="F56" s="605" t="s">
        <v>575</v>
      </c>
      <c r="G56" s="254">
        <v>12401</v>
      </c>
      <c r="H56" s="254">
        <v>12400.04</v>
      </c>
      <c r="I56" s="273">
        <v>0</v>
      </c>
      <c r="J56" s="254">
        <v>0</v>
      </c>
      <c r="K56" s="254">
        <v>0</v>
      </c>
      <c r="L56" s="254">
        <v>0</v>
      </c>
      <c r="M56" s="254">
        <f t="shared" si="14"/>
        <v>12401</v>
      </c>
      <c r="N56" s="254">
        <f t="shared" si="15"/>
        <v>12400.04</v>
      </c>
      <c r="O56" s="248">
        <f t="shared" si="2"/>
        <v>0.99992258688815427</v>
      </c>
    </row>
    <row r="57" spans="1:15" s="245" customFormat="1" ht="133.19999999999999" customHeight="1" x14ac:dyDescent="0.3">
      <c r="A57" s="624">
        <v>813241</v>
      </c>
      <c r="B57" s="625">
        <v>3241</v>
      </c>
      <c r="C57" s="625">
        <v>1090</v>
      </c>
      <c r="D57" s="605" t="s">
        <v>190</v>
      </c>
      <c r="E57" s="641" t="s">
        <v>152</v>
      </c>
      <c r="F57" s="605" t="s">
        <v>584</v>
      </c>
      <c r="G57" s="254">
        <v>71000</v>
      </c>
      <c r="H57" s="244">
        <v>71000</v>
      </c>
      <c r="I57" s="273">
        <v>0</v>
      </c>
      <c r="J57" s="254">
        <v>0</v>
      </c>
      <c r="K57" s="254">
        <v>0</v>
      </c>
      <c r="L57" s="254">
        <v>0</v>
      </c>
      <c r="M57" s="254">
        <f t="shared" si="14"/>
        <v>71000</v>
      </c>
      <c r="N57" s="254">
        <f t="shared" si="15"/>
        <v>71000</v>
      </c>
      <c r="O57" s="248">
        <f t="shared" si="2"/>
        <v>1</v>
      </c>
    </row>
    <row r="58" spans="1:15" s="245" customFormat="1" ht="131.25" customHeight="1" x14ac:dyDescent="0.3">
      <c r="A58" s="639" t="s">
        <v>79</v>
      </c>
      <c r="B58" s="625" t="s">
        <v>80</v>
      </c>
      <c r="C58" s="625" t="s">
        <v>78</v>
      </c>
      <c r="D58" s="605" t="s">
        <v>81</v>
      </c>
      <c r="E58" s="641" t="s">
        <v>240</v>
      </c>
      <c r="F58" s="605" t="s">
        <v>701</v>
      </c>
      <c r="G58" s="254">
        <v>20407900</v>
      </c>
      <c r="H58" s="254">
        <v>17168400</v>
      </c>
      <c r="I58" s="244">
        <v>0</v>
      </c>
      <c r="J58" s="254">
        <v>0</v>
      </c>
      <c r="K58" s="254">
        <v>0</v>
      </c>
      <c r="L58" s="254">
        <v>0</v>
      </c>
      <c r="M58" s="254">
        <f t="shared" si="14"/>
        <v>20407900</v>
      </c>
      <c r="N58" s="254">
        <f t="shared" si="15"/>
        <v>17168400</v>
      </c>
      <c r="O58" s="248">
        <f t="shared" si="2"/>
        <v>0.84126245228563445</v>
      </c>
    </row>
    <row r="59" spans="1:15" s="245" customFormat="1" ht="264" customHeight="1" thickBot="1" x14ac:dyDescent="0.35">
      <c r="A59" s="651" t="s">
        <v>79</v>
      </c>
      <c r="B59" s="649" t="s">
        <v>80</v>
      </c>
      <c r="C59" s="649" t="s">
        <v>78</v>
      </c>
      <c r="D59" s="623" t="s">
        <v>81</v>
      </c>
      <c r="E59" s="652" t="s">
        <v>235</v>
      </c>
      <c r="F59" s="606" t="s">
        <v>578</v>
      </c>
      <c r="G59" s="264">
        <v>2300000</v>
      </c>
      <c r="H59" s="264">
        <v>2120000</v>
      </c>
      <c r="I59" s="507">
        <v>0</v>
      </c>
      <c r="J59" s="264">
        <v>0</v>
      </c>
      <c r="K59" s="264">
        <v>0</v>
      </c>
      <c r="L59" s="264">
        <v>0</v>
      </c>
      <c r="M59" s="264">
        <f t="shared" si="14"/>
        <v>2300000</v>
      </c>
      <c r="N59" s="264">
        <f t="shared" si="15"/>
        <v>2120000</v>
      </c>
      <c r="O59" s="601">
        <f t="shared" si="2"/>
        <v>0.92173913043478262</v>
      </c>
    </row>
    <row r="60" spans="1:15" s="245" customFormat="1" ht="75" customHeight="1" thickBot="1" x14ac:dyDescent="0.35">
      <c r="A60" s="644" t="s">
        <v>82</v>
      </c>
      <c r="B60" s="653" t="s">
        <v>14</v>
      </c>
      <c r="C60" s="653" t="s">
        <v>14</v>
      </c>
      <c r="D60" s="654" t="s">
        <v>83</v>
      </c>
      <c r="E60" s="655" t="s">
        <v>14</v>
      </c>
      <c r="F60" s="655" t="s">
        <v>14</v>
      </c>
      <c r="G60" s="265">
        <f t="shared" ref="G60:L61" si="16">G61</f>
        <v>32000</v>
      </c>
      <c r="H60" s="265">
        <f t="shared" si="16"/>
        <v>32000</v>
      </c>
      <c r="I60" s="265">
        <f t="shared" si="16"/>
        <v>0</v>
      </c>
      <c r="J60" s="265">
        <f t="shared" si="16"/>
        <v>0</v>
      </c>
      <c r="K60" s="265">
        <f t="shared" si="16"/>
        <v>0</v>
      </c>
      <c r="L60" s="265">
        <f t="shared" si="16"/>
        <v>0</v>
      </c>
      <c r="M60" s="265">
        <f t="shared" si="14"/>
        <v>32000</v>
      </c>
      <c r="N60" s="265">
        <f>N61</f>
        <v>32000</v>
      </c>
      <c r="O60" s="266">
        <f t="shared" si="2"/>
        <v>1</v>
      </c>
    </row>
    <row r="61" spans="1:15" s="5" customFormat="1" ht="73.5" customHeight="1" thickBot="1" x14ac:dyDescent="0.35">
      <c r="A61" s="645" t="s">
        <v>84</v>
      </c>
      <c r="B61" s="235" t="s">
        <v>14</v>
      </c>
      <c r="C61" s="235" t="s">
        <v>14</v>
      </c>
      <c r="D61" s="656" t="s">
        <v>83</v>
      </c>
      <c r="E61" s="657" t="s">
        <v>14</v>
      </c>
      <c r="F61" s="657" t="s">
        <v>14</v>
      </c>
      <c r="G61" s="267">
        <f>G62</f>
        <v>32000</v>
      </c>
      <c r="H61" s="267">
        <f>H62</f>
        <v>32000</v>
      </c>
      <c r="I61" s="267">
        <v>0</v>
      </c>
      <c r="J61" s="267">
        <f t="shared" si="16"/>
        <v>0</v>
      </c>
      <c r="K61" s="267">
        <f t="shared" si="16"/>
        <v>0</v>
      </c>
      <c r="L61" s="267">
        <f t="shared" si="16"/>
        <v>0</v>
      </c>
      <c r="M61" s="267">
        <f t="shared" si="14"/>
        <v>32000</v>
      </c>
      <c r="N61" s="267">
        <f>H61+K61</f>
        <v>32000</v>
      </c>
      <c r="O61" s="268">
        <f>N61/M61</f>
        <v>1</v>
      </c>
    </row>
    <row r="62" spans="1:15" s="270" customFormat="1" ht="96.75" customHeight="1" thickBot="1" x14ac:dyDescent="0.35">
      <c r="A62" s="658" t="s">
        <v>85</v>
      </c>
      <c r="B62" s="631" t="s">
        <v>86</v>
      </c>
      <c r="C62" s="631" t="s">
        <v>67</v>
      </c>
      <c r="D62" s="634" t="s">
        <v>87</v>
      </c>
      <c r="E62" s="659" t="s">
        <v>226</v>
      </c>
      <c r="F62" s="659" t="s">
        <v>227</v>
      </c>
      <c r="G62" s="252">
        <v>32000</v>
      </c>
      <c r="H62" s="599">
        <v>32000</v>
      </c>
      <c r="I62" s="589">
        <v>0</v>
      </c>
      <c r="J62" s="252">
        <v>0</v>
      </c>
      <c r="K62" s="252">
        <v>0</v>
      </c>
      <c r="L62" s="252">
        <v>0</v>
      </c>
      <c r="M62" s="252">
        <f t="shared" si="14"/>
        <v>32000</v>
      </c>
      <c r="N62" s="253">
        <f>H62+K62</f>
        <v>32000</v>
      </c>
      <c r="O62" s="269">
        <f t="shared" si="2"/>
        <v>1</v>
      </c>
    </row>
    <row r="63" spans="1:15" s="5" customFormat="1" ht="93" customHeight="1" thickBot="1" x14ac:dyDescent="0.35">
      <c r="A63" s="660" t="s">
        <v>88</v>
      </c>
      <c r="B63" s="653" t="s">
        <v>14</v>
      </c>
      <c r="C63" s="653" t="s">
        <v>14</v>
      </c>
      <c r="D63" s="655" t="s">
        <v>89</v>
      </c>
      <c r="E63" s="655" t="s">
        <v>14</v>
      </c>
      <c r="F63" s="655" t="s">
        <v>14</v>
      </c>
      <c r="G63" s="271">
        <f>G64</f>
        <v>32501476</v>
      </c>
      <c r="H63" s="271">
        <f t="shared" ref="H63:N63" si="17">H64</f>
        <v>27884069.709999997</v>
      </c>
      <c r="I63" s="271">
        <f t="shared" si="17"/>
        <v>1594000</v>
      </c>
      <c r="J63" s="271">
        <f t="shared" si="17"/>
        <v>1594000</v>
      </c>
      <c r="K63" s="271">
        <f t="shared" si="17"/>
        <v>1542506</v>
      </c>
      <c r="L63" s="271">
        <f t="shared" si="17"/>
        <v>1542506</v>
      </c>
      <c r="M63" s="271">
        <f t="shared" si="17"/>
        <v>34095476</v>
      </c>
      <c r="N63" s="271">
        <f t="shared" si="17"/>
        <v>29426575.709999997</v>
      </c>
      <c r="O63" s="260">
        <f t="shared" si="2"/>
        <v>0.86306393581365448</v>
      </c>
    </row>
    <row r="64" spans="1:15" s="99" customFormat="1" ht="93" customHeight="1" thickBot="1" x14ac:dyDescent="0.35">
      <c r="A64" s="645" t="s">
        <v>90</v>
      </c>
      <c r="B64" s="235" t="s">
        <v>14</v>
      </c>
      <c r="C64" s="235" t="s">
        <v>14</v>
      </c>
      <c r="D64" s="656" t="s">
        <v>89</v>
      </c>
      <c r="E64" s="657" t="s">
        <v>14</v>
      </c>
      <c r="F64" s="657" t="s">
        <v>14</v>
      </c>
      <c r="G64" s="236">
        <f t="shared" ref="G64:L64" si="18">G65+G66+G67+G68+G69+G70+G71+G72+G73+G74+G75+G76+G77</f>
        <v>32501476</v>
      </c>
      <c r="H64" s="236">
        <f t="shared" si="18"/>
        <v>27884069.709999997</v>
      </c>
      <c r="I64" s="236">
        <f t="shared" si="18"/>
        <v>1594000</v>
      </c>
      <c r="J64" s="236">
        <f t="shared" si="18"/>
        <v>1594000</v>
      </c>
      <c r="K64" s="236">
        <f t="shared" si="18"/>
        <v>1542506</v>
      </c>
      <c r="L64" s="236">
        <f t="shared" si="18"/>
        <v>1542506</v>
      </c>
      <c r="M64" s="236">
        <f>G64+I64</f>
        <v>34095476</v>
      </c>
      <c r="N64" s="267">
        <f>H64+K64</f>
        <v>29426575.709999997</v>
      </c>
      <c r="O64" s="251">
        <f t="shared" si="2"/>
        <v>0.86306393581365448</v>
      </c>
    </row>
    <row r="65" spans="1:15" s="99" customFormat="1" ht="112.5" customHeight="1" x14ac:dyDescent="0.3">
      <c r="A65" s="646" t="s">
        <v>91</v>
      </c>
      <c r="B65" s="647" t="s">
        <v>92</v>
      </c>
      <c r="C65" s="647" t="s">
        <v>55</v>
      </c>
      <c r="D65" s="628" t="s">
        <v>93</v>
      </c>
      <c r="E65" s="650" t="s">
        <v>153</v>
      </c>
      <c r="F65" s="628" t="s">
        <v>702</v>
      </c>
      <c r="G65" s="272">
        <v>22500</v>
      </c>
      <c r="H65" s="272">
        <v>22010.880000000001</v>
      </c>
      <c r="I65" s="272">
        <v>0</v>
      </c>
      <c r="J65" s="272">
        <v>0</v>
      </c>
      <c r="K65" s="272">
        <v>0</v>
      </c>
      <c r="L65" s="272">
        <v>0</v>
      </c>
      <c r="M65" s="272">
        <f>G65+I65</f>
        <v>22500</v>
      </c>
      <c r="N65" s="239">
        <f t="shared" ref="N65:N77" si="19">H65+K65</f>
        <v>22010.880000000001</v>
      </c>
      <c r="O65" s="246">
        <f t="shared" si="2"/>
        <v>0.97826133333333343</v>
      </c>
    </row>
    <row r="66" spans="1:15" s="99" customFormat="1" ht="129.75" customHeight="1" x14ac:dyDescent="0.3">
      <c r="A66" s="624" t="s">
        <v>94</v>
      </c>
      <c r="B66" s="625" t="s">
        <v>95</v>
      </c>
      <c r="C66" s="625" t="s">
        <v>67</v>
      </c>
      <c r="D66" s="605" t="s">
        <v>96</v>
      </c>
      <c r="E66" s="641" t="s">
        <v>252</v>
      </c>
      <c r="F66" s="605" t="s">
        <v>699</v>
      </c>
      <c r="G66" s="255">
        <v>29026</v>
      </c>
      <c r="H66" s="255">
        <v>29026</v>
      </c>
      <c r="I66" s="255">
        <v>0</v>
      </c>
      <c r="J66" s="255">
        <v>0</v>
      </c>
      <c r="K66" s="255">
        <v>0</v>
      </c>
      <c r="L66" s="255">
        <v>0</v>
      </c>
      <c r="M66" s="255">
        <f>G66+I66</f>
        <v>29026</v>
      </c>
      <c r="N66" s="244">
        <f t="shared" si="19"/>
        <v>29026</v>
      </c>
      <c r="O66" s="257">
        <f t="shared" si="2"/>
        <v>1</v>
      </c>
    </row>
    <row r="67" spans="1:15" s="99" customFormat="1" ht="126" x14ac:dyDescent="0.3">
      <c r="A67" s="639" t="s">
        <v>94</v>
      </c>
      <c r="B67" s="625" t="s">
        <v>95</v>
      </c>
      <c r="C67" s="625" t="s">
        <v>67</v>
      </c>
      <c r="D67" s="605" t="s">
        <v>96</v>
      </c>
      <c r="E67" s="641" t="s">
        <v>152</v>
      </c>
      <c r="F67" s="605" t="s">
        <v>585</v>
      </c>
      <c r="G67" s="255">
        <v>211500</v>
      </c>
      <c r="H67" s="255">
        <v>199500</v>
      </c>
      <c r="I67" s="255">
        <v>0</v>
      </c>
      <c r="J67" s="255">
        <v>0</v>
      </c>
      <c r="K67" s="255">
        <v>0</v>
      </c>
      <c r="L67" s="255">
        <v>0</v>
      </c>
      <c r="M67" s="255">
        <f t="shared" ref="M67:M77" si="20">G67+I67</f>
        <v>211500</v>
      </c>
      <c r="N67" s="273">
        <f t="shared" si="19"/>
        <v>199500</v>
      </c>
      <c r="O67" s="257">
        <f t="shared" si="2"/>
        <v>0.94326241134751776</v>
      </c>
    </row>
    <row r="68" spans="1:15" s="99" customFormat="1" ht="108.75" customHeight="1" x14ac:dyDescent="0.3">
      <c r="A68" s="639" t="s">
        <v>97</v>
      </c>
      <c r="B68" s="625" t="s">
        <v>98</v>
      </c>
      <c r="C68" s="625" t="s">
        <v>99</v>
      </c>
      <c r="D68" s="605" t="s">
        <v>100</v>
      </c>
      <c r="E68" s="605" t="s">
        <v>153</v>
      </c>
      <c r="F68" s="628" t="s">
        <v>702</v>
      </c>
      <c r="G68" s="255">
        <v>8000</v>
      </c>
      <c r="H68" s="255">
        <v>4081.44</v>
      </c>
      <c r="I68" s="255">
        <v>0</v>
      </c>
      <c r="J68" s="255">
        <v>0</v>
      </c>
      <c r="K68" s="255">
        <v>0</v>
      </c>
      <c r="L68" s="255">
        <v>0</v>
      </c>
      <c r="M68" s="255">
        <f t="shared" si="20"/>
        <v>8000</v>
      </c>
      <c r="N68" s="273">
        <f t="shared" si="19"/>
        <v>4081.44</v>
      </c>
      <c r="O68" s="257">
        <f t="shared" si="2"/>
        <v>0.51017999999999997</v>
      </c>
    </row>
    <row r="69" spans="1:15" s="99" customFormat="1" ht="111.75" customHeight="1" x14ac:dyDescent="0.3">
      <c r="A69" s="639" t="s">
        <v>101</v>
      </c>
      <c r="B69" s="625" t="s">
        <v>102</v>
      </c>
      <c r="C69" s="625" t="s">
        <v>99</v>
      </c>
      <c r="D69" s="605" t="s">
        <v>103</v>
      </c>
      <c r="E69" s="605" t="s">
        <v>153</v>
      </c>
      <c r="F69" s="628" t="s">
        <v>702</v>
      </c>
      <c r="G69" s="255">
        <v>3000</v>
      </c>
      <c r="H69" s="255">
        <v>1512.54</v>
      </c>
      <c r="I69" s="255">
        <v>0</v>
      </c>
      <c r="J69" s="255">
        <v>0</v>
      </c>
      <c r="K69" s="255">
        <v>0</v>
      </c>
      <c r="L69" s="255">
        <v>0</v>
      </c>
      <c r="M69" s="255">
        <f t="shared" si="20"/>
        <v>3000</v>
      </c>
      <c r="N69" s="273">
        <f t="shared" si="19"/>
        <v>1512.54</v>
      </c>
      <c r="O69" s="257">
        <f t="shared" si="2"/>
        <v>0.50417999999999996</v>
      </c>
    </row>
    <row r="70" spans="1:15" s="99" customFormat="1" ht="114" customHeight="1" x14ac:dyDescent="0.3">
      <c r="A70" s="639" t="s">
        <v>104</v>
      </c>
      <c r="B70" s="625" t="s">
        <v>105</v>
      </c>
      <c r="C70" s="625" t="s">
        <v>106</v>
      </c>
      <c r="D70" s="605" t="s">
        <v>107</v>
      </c>
      <c r="E70" s="605" t="s">
        <v>153</v>
      </c>
      <c r="F70" s="628" t="s">
        <v>702</v>
      </c>
      <c r="G70" s="255">
        <v>25700</v>
      </c>
      <c r="H70" s="255">
        <v>19501.02</v>
      </c>
      <c r="I70" s="255">
        <v>0</v>
      </c>
      <c r="J70" s="255">
        <v>0</v>
      </c>
      <c r="K70" s="255">
        <v>0</v>
      </c>
      <c r="L70" s="255">
        <v>0</v>
      </c>
      <c r="M70" s="255">
        <f t="shared" si="20"/>
        <v>25700</v>
      </c>
      <c r="N70" s="273">
        <f t="shared" si="19"/>
        <v>19501.02</v>
      </c>
      <c r="O70" s="257">
        <f t="shared" si="2"/>
        <v>0.75879455252918293</v>
      </c>
    </row>
    <row r="71" spans="1:15" s="99" customFormat="1" ht="113.25" customHeight="1" x14ac:dyDescent="0.3">
      <c r="A71" s="639" t="s">
        <v>109</v>
      </c>
      <c r="B71" s="625" t="s">
        <v>110</v>
      </c>
      <c r="C71" s="625" t="s">
        <v>108</v>
      </c>
      <c r="D71" s="605" t="s">
        <v>111</v>
      </c>
      <c r="E71" s="605" t="s">
        <v>153</v>
      </c>
      <c r="F71" s="628" t="s">
        <v>702</v>
      </c>
      <c r="G71" s="255">
        <v>194000</v>
      </c>
      <c r="H71" s="255">
        <v>194000</v>
      </c>
      <c r="I71" s="255">
        <v>0</v>
      </c>
      <c r="J71" s="255">
        <v>0</v>
      </c>
      <c r="K71" s="255">
        <v>0</v>
      </c>
      <c r="L71" s="255">
        <v>0</v>
      </c>
      <c r="M71" s="255">
        <f t="shared" si="20"/>
        <v>194000</v>
      </c>
      <c r="N71" s="273">
        <f t="shared" si="19"/>
        <v>194000</v>
      </c>
      <c r="O71" s="257">
        <f t="shared" si="2"/>
        <v>1</v>
      </c>
    </row>
    <row r="72" spans="1:15" s="99" customFormat="1" ht="135" customHeight="1" x14ac:dyDescent="0.3">
      <c r="A72" s="639" t="s">
        <v>112</v>
      </c>
      <c r="B72" s="625" t="s">
        <v>113</v>
      </c>
      <c r="C72" s="625" t="s">
        <v>114</v>
      </c>
      <c r="D72" s="605" t="s">
        <v>115</v>
      </c>
      <c r="E72" s="605" t="s">
        <v>230</v>
      </c>
      <c r="F72" s="605" t="s">
        <v>703</v>
      </c>
      <c r="G72" s="255">
        <v>32750</v>
      </c>
      <c r="H72" s="255">
        <v>32750</v>
      </c>
      <c r="I72" s="255">
        <v>0</v>
      </c>
      <c r="J72" s="255">
        <v>0</v>
      </c>
      <c r="K72" s="255">
        <v>0</v>
      </c>
      <c r="L72" s="255">
        <v>0</v>
      </c>
      <c r="M72" s="255">
        <f t="shared" si="20"/>
        <v>32750</v>
      </c>
      <c r="N72" s="273">
        <f t="shared" si="19"/>
        <v>32750</v>
      </c>
      <c r="O72" s="248">
        <f t="shared" si="2"/>
        <v>1</v>
      </c>
    </row>
    <row r="73" spans="1:15" s="99" customFormat="1" ht="130.19999999999999" customHeight="1" x14ac:dyDescent="0.3">
      <c r="A73" s="639" t="s">
        <v>116</v>
      </c>
      <c r="B73" s="625" t="s">
        <v>117</v>
      </c>
      <c r="C73" s="625" t="s">
        <v>114</v>
      </c>
      <c r="D73" s="605" t="s">
        <v>118</v>
      </c>
      <c r="E73" s="605" t="s">
        <v>230</v>
      </c>
      <c r="F73" s="605" t="s">
        <v>703</v>
      </c>
      <c r="G73" s="255">
        <v>1667729</v>
      </c>
      <c r="H73" s="255">
        <v>1026330.09</v>
      </c>
      <c r="I73" s="255">
        <v>0</v>
      </c>
      <c r="J73" s="255">
        <v>0</v>
      </c>
      <c r="K73" s="255">
        <v>0</v>
      </c>
      <c r="L73" s="255">
        <v>0</v>
      </c>
      <c r="M73" s="255">
        <f t="shared" si="20"/>
        <v>1667729</v>
      </c>
      <c r="N73" s="273">
        <f t="shared" si="19"/>
        <v>1026330.09</v>
      </c>
      <c r="O73" s="248">
        <f t="shared" si="2"/>
        <v>0.61540579434668341</v>
      </c>
    </row>
    <row r="74" spans="1:15" s="99" customFormat="1" ht="133.5" customHeight="1" x14ac:dyDescent="0.3">
      <c r="A74" s="639">
        <v>1015041</v>
      </c>
      <c r="B74" s="514">
        <v>5041</v>
      </c>
      <c r="C74" s="514" t="s">
        <v>114</v>
      </c>
      <c r="D74" s="238" t="s">
        <v>157</v>
      </c>
      <c r="E74" s="641" t="s">
        <v>230</v>
      </c>
      <c r="F74" s="605" t="s">
        <v>703</v>
      </c>
      <c r="G74" s="255">
        <v>28448040</v>
      </c>
      <c r="H74" s="255">
        <v>24996550.109999999</v>
      </c>
      <c r="I74" s="255">
        <v>1594000</v>
      </c>
      <c r="J74" s="255">
        <f>I74</f>
        <v>1594000</v>
      </c>
      <c r="K74" s="255">
        <v>1542506</v>
      </c>
      <c r="L74" s="255">
        <v>1542506</v>
      </c>
      <c r="M74" s="255">
        <f>G74+I74</f>
        <v>30042040</v>
      </c>
      <c r="N74" s="273">
        <f>H74+K74</f>
        <v>26539056.109999999</v>
      </c>
      <c r="O74" s="248">
        <f t="shared" si="2"/>
        <v>0.88339726962616383</v>
      </c>
    </row>
    <row r="75" spans="1:15" s="99" customFormat="1" ht="132.75" customHeight="1" x14ac:dyDescent="0.3">
      <c r="A75" s="639" t="s">
        <v>119</v>
      </c>
      <c r="B75" s="625" t="s">
        <v>120</v>
      </c>
      <c r="C75" s="625" t="s">
        <v>114</v>
      </c>
      <c r="D75" s="641" t="s">
        <v>121</v>
      </c>
      <c r="E75" s="641" t="s">
        <v>230</v>
      </c>
      <c r="F75" s="605" t="s">
        <v>703</v>
      </c>
      <c r="G75" s="255">
        <v>1190931</v>
      </c>
      <c r="H75" s="255">
        <v>791307.63</v>
      </c>
      <c r="I75" s="255">
        <v>0</v>
      </c>
      <c r="J75" s="255">
        <v>0</v>
      </c>
      <c r="K75" s="255">
        <v>0</v>
      </c>
      <c r="L75" s="255">
        <v>0</v>
      </c>
      <c r="M75" s="255">
        <f t="shared" si="20"/>
        <v>1190931</v>
      </c>
      <c r="N75" s="273">
        <f t="shared" si="19"/>
        <v>791307.63</v>
      </c>
      <c r="O75" s="248">
        <f t="shared" si="2"/>
        <v>0.66444456479846437</v>
      </c>
    </row>
    <row r="76" spans="1:15" s="99" customFormat="1" ht="134.4" customHeight="1" x14ac:dyDescent="0.3">
      <c r="A76" s="639" t="s">
        <v>122</v>
      </c>
      <c r="B76" s="625" t="s">
        <v>123</v>
      </c>
      <c r="C76" s="625" t="s">
        <v>114</v>
      </c>
      <c r="D76" s="605" t="s">
        <v>124</v>
      </c>
      <c r="E76" s="641" t="s">
        <v>230</v>
      </c>
      <c r="F76" s="605" t="s">
        <v>703</v>
      </c>
      <c r="G76" s="255">
        <v>566000</v>
      </c>
      <c r="H76" s="255">
        <v>566000</v>
      </c>
      <c r="I76" s="255">
        <v>0</v>
      </c>
      <c r="J76" s="255">
        <v>0</v>
      </c>
      <c r="K76" s="255">
        <v>0</v>
      </c>
      <c r="L76" s="255">
        <v>0</v>
      </c>
      <c r="M76" s="255">
        <f t="shared" si="20"/>
        <v>566000</v>
      </c>
      <c r="N76" s="273">
        <f t="shared" si="19"/>
        <v>566000</v>
      </c>
      <c r="O76" s="257">
        <f t="shared" si="2"/>
        <v>1</v>
      </c>
    </row>
    <row r="77" spans="1:15" s="99" customFormat="1" ht="132" customHeight="1" thickBot="1" x14ac:dyDescent="0.35">
      <c r="A77" s="651">
        <v>1018110</v>
      </c>
      <c r="B77" s="661">
        <v>8110</v>
      </c>
      <c r="C77" s="661" t="s">
        <v>231</v>
      </c>
      <c r="D77" s="662" t="s">
        <v>232</v>
      </c>
      <c r="E77" s="623" t="s">
        <v>233</v>
      </c>
      <c r="F77" s="623" t="s">
        <v>704</v>
      </c>
      <c r="G77" s="508">
        <v>102300</v>
      </c>
      <c r="H77" s="508">
        <v>1500</v>
      </c>
      <c r="I77" s="508">
        <v>0</v>
      </c>
      <c r="J77" s="508">
        <v>0</v>
      </c>
      <c r="K77" s="508">
        <v>0</v>
      </c>
      <c r="L77" s="508">
        <v>0</v>
      </c>
      <c r="M77" s="508">
        <f t="shared" si="20"/>
        <v>102300</v>
      </c>
      <c r="N77" s="509">
        <f t="shared" si="19"/>
        <v>1500</v>
      </c>
      <c r="O77" s="510">
        <f t="shared" si="2"/>
        <v>1.466275659824047E-2</v>
      </c>
    </row>
    <row r="78" spans="1:15" s="99" customFormat="1" ht="113.25" customHeight="1" thickBot="1" x14ac:dyDescent="0.35">
      <c r="A78" s="660" t="s">
        <v>125</v>
      </c>
      <c r="B78" s="653" t="s">
        <v>14</v>
      </c>
      <c r="C78" s="653" t="s">
        <v>14</v>
      </c>
      <c r="D78" s="655" t="s">
        <v>126</v>
      </c>
      <c r="E78" s="655" t="s">
        <v>14</v>
      </c>
      <c r="F78" s="655" t="s">
        <v>14</v>
      </c>
      <c r="G78" s="230">
        <f>G79</f>
        <v>65827110</v>
      </c>
      <c r="H78" s="230">
        <f t="shared" ref="H78:N78" si="21">H79</f>
        <v>63082184.589999996</v>
      </c>
      <c r="I78" s="230">
        <f t="shared" si="21"/>
        <v>10784100</v>
      </c>
      <c r="J78" s="230">
        <f t="shared" si="21"/>
        <v>10424500</v>
      </c>
      <c r="K78" s="230">
        <f t="shared" si="21"/>
        <v>10734250</v>
      </c>
      <c r="L78" s="230">
        <f t="shared" si="21"/>
        <v>10424100</v>
      </c>
      <c r="M78" s="230">
        <f t="shared" si="21"/>
        <v>76611210</v>
      </c>
      <c r="N78" s="230">
        <f t="shared" si="21"/>
        <v>73816434.590000004</v>
      </c>
      <c r="O78" s="260">
        <f t="shared" si="2"/>
        <v>0.96352001998141013</v>
      </c>
    </row>
    <row r="79" spans="1:15" s="99" customFormat="1" ht="118.5" customHeight="1" thickBot="1" x14ac:dyDescent="0.35">
      <c r="A79" s="663">
        <v>1210000</v>
      </c>
      <c r="B79" s="235" t="s">
        <v>14</v>
      </c>
      <c r="C79" s="235" t="s">
        <v>14</v>
      </c>
      <c r="D79" s="657" t="s">
        <v>126</v>
      </c>
      <c r="E79" s="657" t="s">
        <v>14</v>
      </c>
      <c r="F79" s="657" t="s">
        <v>14</v>
      </c>
      <c r="G79" s="236">
        <f>G80+G81+G82+G84+G85+G86+G87+G88+G91+G90+G89</f>
        <v>65827110</v>
      </c>
      <c r="H79" s="236">
        <f>H80+H81+H82+H84+H85+H86+H87+H88+H91+H90+H89</f>
        <v>63082184.589999996</v>
      </c>
      <c r="I79" s="236">
        <f>I80+I81+I82+I84+I85+I86+I87+I88+I91+I89+I83+I90</f>
        <v>10784100</v>
      </c>
      <c r="J79" s="236">
        <f t="shared" ref="J79:L79" si="22">J80+J81+J82+J84+J85+J86+J87+J88+J91+J89+J83+J90</f>
        <v>10424500</v>
      </c>
      <c r="K79" s="236">
        <f t="shared" si="22"/>
        <v>10734250</v>
      </c>
      <c r="L79" s="236">
        <f t="shared" si="22"/>
        <v>10424100</v>
      </c>
      <c r="M79" s="236">
        <f>G79+I79</f>
        <v>76611210</v>
      </c>
      <c r="N79" s="236">
        <f>H79+K79</f>
        <v>73816434.590000004</v>
      </c>
      <c r="O79" s="251">
        <f t="shared" si="2"/>
        <v>0.96352001998141013</v>
      </c>
    </row>
    <row r="80" spans="1:15" s="5" customFormat="1" ht="131.25" customHeight="1" thickBot="1" x14ac:dyDescent="0.35">
      <c r="A80" s="682" t="s">
        <v>129</v>
      </c>
      <c r="B80" s="676" t="s">
        <v>130</v>
      </c>
      <c r="C80" s="676" t="s">
        <v>131</v>
      </c>
      <c r="D80" s="678" t="s">
        <v>132</v>
      </c>
      <c r="E80" s="678" t="s">
        <v>154</v>
      </c>
      <c r="F80" s="678" t="s">
        <v>705</v>
      </c>
      <c r="G80" s="683">
        <v>8474</v>
      </c>
      <c r="H80" s="683">
        <v>8311.74</v>
      </c>
      <c r="I80" s="683">
        <v>0</v>
      </c>
      <c r="J80" s="683">
        <v>0</v>
      </c>
      <c r="K80" s="683">
        <v>0</v>
      </c>
      <c r="L80" s="683">
        <v>0</v>
      </c>
      <c r="M80" s="683">
        <f>G80+I80</f>
        <v>8474</v>
      </c>
      <c r="N80" s="619">
        <f>H80+K80</f>
        <v>8311.74</v>
      </c>
      <c r="O80" s="622">
        <f>N80/M80</f>
        <v>0.98085201793721966</v>
      </c>
    </row>
    <row r="81" spans="1:15" s="5" customFormat="1" ht="132" customHeight="1" x14ac:dyDescent="0.3">
      <c r="A81" s="639">
        <v>1216012</v>
      </c>
      <c r="B81" s="625">
        <v>6012</v>
      </c>
      <c r="C81" s="626" t="s">
        <v>27</v>
      </c>
      <c r="D81" s="640" t="s">
        <v>236</v>
      </c>
      <c r="E81" s="605" t="s">
        <v>154</v>
      </c>
      <c r="F81" s="678" t="s">
        <v>705</v>
      </c>
      <c r="G81" s="254">
        <v>5671150</v>
      </c>
      <c r="H81" s="254">
        <v>5400000</v>
      </c>
      <c r="I81" s="254">
        <v>0</v>
      </c>
      <c r="J81" s="254">
        <v>0</v>
      </c>
      <c r="K81" s="254">
        <v>0</v>
      </c>
      <c r="L81" s="254">
        <v>0</v>
      </c>
      <c r="M81" s="254">
        <f>G81+I81</f>
        <v>5671150</v>
      </c>
      <c r="N81" s="244">
        <f>H81+K81</f>
        <v>5400000</v>
      </c>
      <c r="O81" s="257">
        <f>N81/M81</f>
        <v>0.95218782786560041</v>
      </c>
    </row>
    <row r="82" spans="1:15" s="99" customFormat="1" ht="132.75" customHeight="1" x14ac:dyDescent="0.3">
      <c r="A82" s="639" t="s">
        <v>133</v>
      </c>
      <c r="B82" s="625" t="s">
        <v>134</v>
      </c>
      <c r="C82" s="625" t="s">
        <v>27</v>
      </c>
      <c r="D82" s="605" t="s">
        <v>135</v>
      </c>
      <c r="E82" s="605" t="s">
        <v>154</v>
      </c>
      <c r="F82" s="628" t="s">
        <v>705</v>
      </c>
      <c r="G82" s="254">
        <v>1231641</v>
      </c>
      <c r="H82" s="255">
        <v>1190903.48</v>
      </c>
      <c r="I82" s="254">
        <v>0</v>
      </c>
      <c r="J82" s="254">
        <v>0</v>
      </c>
      <c r="K82" s="254">
        <v>0</v>
      </c>
      <c r="L82" s="254">
        <v>0</v>
      </c>
      <c r="M82" s="254">
        <f t="shared" ref="M82:M91" si="23">G82+I82</f>
        <v>1231641</v>
      </c>
      <c r="N82" s="244">
        <f t="shared" ref="N82:N92" si="24">H82+K82</f>
        <v>1190903.48</v>
      </c>
      <c r="O82" s="248">
        <f t="shared" ref="O82:O95" si="25">N82/M82</f>
        <v>0.96692419300754029</v>
      </c>
    </row>
    <row r="83" spans="1:15" s="99" customFormat="1" ht="135" customHeight="1" thickBot="1" x14ac:dyDescent="0.35">
      <c r="A83" s="624">
        <v>1216014</v>
      </c>
      <c r="B83" s="625">
        <v>6014</v>
      </c>
      <c r="C83" s="625" t="s">
        <v>27</v>
      </c>
      <c r="D83" s="629" t="s">
        <v>513</v>
      </c>
      <c r="E83" s="605" t="s">
        <v>154</v>
      </c>
      <c r="F83" s="628" t="s">
        <v>705</v>
      </c>
      <c r="G83" s="254">
        <v>0</v>
      </c>
      <c r="H83" s="255">
        <v>0</v>
      </c>
      <c r="I83" s="254">
        <v>5400000</v>
      </c>
      <c r="J83" s="254">
        <v>5400000</v>
      </c>
      <c r="K83" s="254">
        <v>5400000</v>
      </c>
      <c r="L83" s="254">
        <v>5400000</v>
      </c>
      <c r="M83" s="254">
        <f t="shared" si="23"/>
        <v>5400000</v>
      </c>
      <c r="N83" s="244">
        <f t="shared" si="24"/>
        <v>5400000</v>
      </c>
      <c r="O83" s="248">
        <f t="shared" si="25"/>
        <v>1</v>
      </c>
    </row>
    <row r="84" spans="1:15" s="5" customFormat="1" ht="128.4" customHeight="1" x14ac:dyDescent="0.3">
      <c r="A84" s="639" t="s">
        <v>136</v>
      </c>
      <c r="B84" s="625" t="s">
        <v>26</v>
      </c>
      <c r="C84" s="625" t="s">
        <v>27</v>
      </c>
      <c r="D84" s="605" t="s">
        <v>28</v>
      </c>
      <c r="E84" s="605" t="s">
        <v>154</v>
      </c>
      <c r="F84" s="678" t="s">
        <v>705</v>
      </c>
      <c r="G84" s="254">
        <v>46699190</v>
      </c>
      <c r="H84" s="254">
        <v>45369472.039999999</v>
      </c>
      <c r="I84" s="254">
        <v>5024500</v>
      </c>
      <c r="J84" s="254">
        <f>I84</f>
        <v>5024500</v>
      </c>
      <c r="K84" s="254">
        <v>5024100</v>
      </c>
      <c r="L84" s="254">
        <f>K84</f>
        <v>5024100</v>
      </c>
      <c r="M84" s="254">
        <f>G84+I84</f>
        <v>51723690</v>
      </c>
      <c r="N84" s="244">
        <f>H84+K84</f>
        <v>50393572.039999999</v>
      </c>
      <c r="O84" s="248">
        <f t="shared" si="25"/>
        <v>0.97428416340752177</v>
      </c>
    </row>
    <row r="85" spans="1:15" s="5" customFormat="1" ht="152.25" customHeight="1" x14ac:dyDescent="0.3">
      <c r="A85" s="624" t="s">
        <v>136</v>
      </c>
      <c r="B85" s="625" t="s">
        <v>26</v>
      </c>
      <c r="C85" s="625" t="s">
        <v>27</v>
      </c>
      <c r="D85" s="629" t="s">
        <v>28</v>
      </c>
      <c r="E85" s="605" t="s">
        <v>244</v>
      </c>
      <c r="F85" s="605" t="s">
        <v>599</v>
      </c>
      <c r="G85" s="254">
        <v>721500</v>
      </c>
      <c r="H85" s="254">
        <v>721500</v>
      </c>
      <c r="I85" s="273">
        <v>0</v>
      </c>
      <c r="J85" s="254">
        <v>0</v>
      </c>
      <c r="K85" s="254">
        <v>0</v>
      </c>
      <c r="L85" s="254">
        <f t="shared" ref="L85:L86" si="26">K85</f>
        <v>0</v>
      </c>
      <c r="M85" s="254">
        <f t="shared" si="23"/>
        <v>721500</v>
      </c>
      <c r="N85" s="244">
        <f t="shared" si="24"/>
        <v>721500</v>
      </c>
      <c r="O85" s="248">
        <f t="shared" si="25"/>
        <v>1</v>
      </c>
    </row>
    <row r="86" spans="1:15" s="5" customFormat="1" ht="129" customHeight="1" x14ac:dyDescent="0.3">
      <c r="A86" s="624" t="s">
        <v>136</v>
      </c>
      <c r="B86" s="625" t="s">
        <v>26</v>
      </c>
      <c r="C86" s="625" t="s">
        <v>27</v>
      </c>
      <c r="D86" s="629" t="s">
        <v>28</v>
      </c>
      <c r="E86" s="605" t="s">
        <v>600</v>
      </c>
      <c r="F86" s="605" t="s">
        <v>706</v>
      </c>
      <c r="G86" s="254">
        <v>127967</v>
      </c>
      <c r="H86" s="254">
        <v>127166.94</v>
      </c>
      <c r="I86" s="273">
        <v>0</v>
      </c>
      <c r="J86" s="254">
        <v>0</v>
      </c>
      <c r="K86" s="254">
        <v>0</v>
      </c>
      <c r="L86" s="254">
        <f t="shared" si="26"/>
        <v>0</v>
      </c>
      <c r="M86" s="254">
        <f t="shared" si="23"/>
        <v>127967</v>
      </c>
      <c r="N86" s="244">
        <f t="shared" si="24"/>
        <v>127166.94</v>
      </c>
      <c r="O86" s="248">
        <f t="shared" si="25"/>
        <v>0.99374791938546658</v>
      </c>
    </row>
    <row r="87" spans="1:15" s="5" customFormat="1" ht="279.75" customHeight="1" x14ac:dyDescent="0.3">
      <c r="A87" s="624">
        <v>1216071</v>
      </c>
      <c r="B87" s="625">
        <v>6071</v>
      </c>
      <c r="C87" s="626" t="s">
        <v>267</v>
      </c>
      <c r="D87" s="641" t="s">
        <v>266</v>
      </c>
      <c r="E87" s="605" t="s">
        <v>154</v>
      </c>
      <c r="F87" s="605" t="s">
        <v>705</v>
      </c>
      <c r="G87" s="254">
        <v>7164584</v>
      </c>
      <c r="H87" s="254">
        <v>6277476.4299999997</v>
      </c>
      <c r="I87" s="244">
        <v>0</v>
      </c>
      <c r="J87" s="254">
        <v>0</v>
      </c>
      <c r="K87" s="254">
        <v>0</v>
      </c>
      <c r="L87" s="254">
        <v>0</v>
      </c>
      <c r="M87" s="254">
        <f t="shared" si="23"/>
        <v>7164584</v>
      </c>
      <c r="N87" s="244">
        <f t="shared" si="24"/>
        <v>6277476.4299999997</v>
      </c>
      <c r="O87" s="248">
        <f t="shared" si="25"/>
        <v>0.87618156615931919</v>
      </c>
    </row>
    <row r="88" spans="1:15" s="5" customFormat="1" ht="127.5" customHeight="1" x14ac:dyDescent="0.3">
      <c r="A88" s="639" t="s">
        <v>137</v>
      </c>
      <c r="B88" s="625" t="s">
        <v>138</v>
      </c>
      <c r="C88" s="625" t="s">
        <v>139</v>
      </c>
      <c r="D88" s="605" t="s">
        <v>140</v>
      </c>
      <c r="E88" s="605" t="s">
        <v>154</v>
      </c>
      <c r="F88" s="605" t="s">
        <v>705</v>
      </c>
      <c r="G88" s="254">
        <v>2980221</v>
      </c>
      <c r="H88" s="254">
        <v>2768592.2</v>
      </c>
      <c r="I88" s="273">
        <v>0</v>
      </c>
      <c r="J88" s="254">
        <v>0</v>
      </c>
      <c r="K88" s="254">
        <v>0</v>
      </c>
      <c r="L88" s="254">
        <v>0</v>
      </c>
      <c r="M88" s="254">
        <f>G88+I88</f>
        <v>2980221</v>
      </c>
      <c r="N88" s="244">
        <f t="shared" si="24"/>
        <v>2768592.2</v>
      </c>
      <c r="O88" s="248">
        <f t="shared" si="25"/>
        <v>0.9289888904212138</v>
      </c>
    </row>
    <row r="89" spans="1:15" s="5" customFormat="1" ht="132" customHeight="1" x14ac:dyDescent="0.3">
      <c r="A89" s="639">
        <v>1217693</v>
      </c>
      <c r="B89" s="625">
        <v>7693</v>
      </c>
      <c r="C89" s="664" t="s">
        <v>171</v>
      </c>
      <c r="D89" s="238" t="s">
        <v>512</v>
      </c>
      <c r="E89" s="605" t="s">
        <v>154</v>
      </c>
      <c r="F89" s="628" t="s">
        <v>705</v>
      </c>
      <c r="G89" s="254">
        <v>1138325</v>
      </c>
      <c r="H89" s="254">
        <v>1138324.72</v>
      </c>
      <c r="I89" s="273">
        <v>0</v>
      </c>
      <c r="J89" s="254">
        <v>0</v>
      </c>
      <c r="K89" s="254">
        <v>0</v>
      </c>
      <c r="L89" s="254">
        <v>0</v>
      </c>
      <c r="M89" s="254">
        <f>G89+I89</f>
        <v>1138325</v>
      </c>
      <c r="N89" s="244">
        <f t="shared" si="24"/>
        <v>1138324.72</v>
      </c>
      <c r="O89" s="248">
        <f t="shared" si="25"/>
        <v>0.99999975402455354</v>
      </c>
    </row>
    <row r="90" spans="1:15" s="5" customFormat="1" ht="219" customHeight="1" x14ac:dyDescent="0.3">
      <c r="A90" s="746" t="s">
        <v>654</v>
      </c>
      <c r="B90" s="649">
        <v>8240</v>
      </c>
      <c r="C90" s="661" t="s">
        <v>35</v>
      </c>
      <c r="D90" s="747" t="s">
        <v>641</v>
      </c>
      <c r="E90" s="748" t="s">
        <v>569</v>
      </c>
      <c r="F90" s="623" t="s">
        <v>694</v>
      </c>
      <c r="G90" s="264">
        <v>84058</v>
      </c>
      <c r="H90" s="264">
        <v>80437.039999999994</v>
      </c>
      <c r="I90" s="509">
        <v>0</v>
      </c>
      <c r="J90" s="264">
        <v>0</v>
      </c>
      <c r="K90" s="264">
        <v>0</v>
      </c>
      <c r="L90" s="264">
        <v>0</v>
      </c>
      <c r="M90" s="264">
        <f>G90+I90</f>
        <v>84058</v>
      </c>
      <c r="N90" s="507">
        <f t="shared" si="24"/>
        <v>80437.039999999994</v>
      </c>
      <c r="O90" s="601">
        <f t="shared" si="25"/>
        <v>0.95692307692307688</v>
      </c>
    </row>
    <row r="91" spans="1:15" s="245" customFormat="1" ht="132" customHeight="1" thickBot="1" x14ac:dyDescent="0.35">
      <c r="A91" s="651" t="s">
        <v>141</v>
      </c>
      <c r="B91" s="649" t="s">
        <v>142</v>
      </c>
      <c r="C91" s="649" t="s">
        <v>143</v>
      </c>
      <c r="D91" s="623" t="s">
        <v>144</v>
      </c>
      <c r="E91" s="623" t="s">
        <v>241</v>
      </c>
      <c r="F91" s="512" t="s">
        <v>601</v>
      </c>
      <c r="G91" s="264">
        <v>0</v>
      </c>
      <c r="H91" s="264">
        <v>0</v>
      </c>
      <c r="I91" s="264">
        <v>359600</v>
      </c>
      <c r="J91" s="264">
        <v>0</v>
      </c>
      <c r="K91" s="264">
        <v>310150</v>
      </c>
      <c r="L91" s="264">
        <v>0</v>
      </c>
      <c r="M91" s="264">
        <f t="shared" si="23"/>
        <v>359600</v>
      </c>
      <c r="N91" s="507">
        <f t="shared" si="24"/>
        <v>310150</v>
      </c>
      <c r="O91" s="510">
        <f t="shared" si="25"/>
        <v>0.86248609566184653</v>
      </c>
    </row>
    <row r="92" spans="1:15" s="245" customFormat="1" ht="118.5" customHeight="1" thickBot="1" x14ac:dyDescent="0.35">
      <c r="A92" s="660" t="s">
        <v>145</v>
      </c>
      <c r="B92" s="653" t="s">
        <v>14</v>
      </c>
      <c r="C92" s="653" t="s">
        <v>14</v>
      </c>
      <c r="D92" s="655" t="s">
        <v>146</v>
      </c>
      <c r="E92" s="655" t="s">
        <v>14</v>
      </c>
      <c r="F92" s="655" t="s">
        <v>14</v>
      </c>
      <c r="G92" s="230">
        <v>0</v>
      </c>
      <c r="H92" s="265">
        <v>0</v>
      </c>
      <c r="I92" s="265">
        <f>I93</f>
        <v>118059507</v>
      </c>
      <c r="J92" s="265">
        <f>J93</f>
        <v>118059507</v>
      </c>
      <c r="K92" s="265">
        <f>K93</f>
        <v>39810953.640000001</v>
      </c>
      <c r="L92" s="265">
        <f>L93</f>
        <v>39810953.640000001</v>
      </c>
      <c r="M92" s="230">
        <f>G92+I92</f>
        <v>118059507</v>
      </c>
      <c r="N92" s="265">
        <f t="shared" si="24"/>
        <v>39810953.640000001</v>
      </c>
      <c r="O92" s="260">
        <f t="shared" si="25"/>
        <v>0.33721090873266141</v>
      </c>
    </row>
    <row r="93" spans="1:15" s="5" customFormat="1" ht="96" customHeight="1" thickBot="1" x14ac:dyDescent="0.35">
      <c r="A93" s="665">
        <v>1510000</v>
      </c>
      <c r="B93" s="666" t="s">
        <v>14</v>
      </c>
      <c r="C93" s="666" t="s">
        <v>14</v>
      </c>
      <c r="D93" s="667" t="s">
        <v>146</v>
      </c>
      <c r="E93" s="667" t="s">
        <v>14</v>
      </c>
      <c r="F93" s="667" t="s">
        <v>14</v>
      </c>
      <c r="G93" s="608">
        <v>0</v>
      </c>
      <c r="H93" s="609">
        <v>0</v>
      </c>
      <c r="I93" s="608">
        <f>SUM(I94:I105)</f>
        <v>118059507</v>
      </c>
      <c r="J93" s="608">
        <f>SUM(J94:J105)</f>
        <v>118059507</v>
      </c>
      <c r="K93" s="608">
        <f>SUM(K94:K105)</f>
        <v>39810953.640000001</v>
      </c>
      <c r="L93" s="608">
        <f>SUM(L94:L105)</f>
        <v>39810953.640000001</v>
      </c>
      <c r="M93" s="608">
        <f>G93+I93</f>
        <v>118059507</v>
      </c>
      <c r="N93" s="610">
        <f>H93+K93</f>
        <v>39810953.640000001</v>
      </c>
      <c r="O93" s="611">
        <f t="shared" si="25"/>
        <v>0.33721090873266141</v>
      </c>
    </row>
    <row r="94" spans="1:15" s="5" customFormat="1" ht="128.25" customHeight="1" x14ac:dyDescent="0.3">
      <c r="A94" s="668">
        <v>1511021</v>
      </c>
      <c r="B94" s="647">
        <v>1021</v>
      </c>
      <c r="C94" s="241" t="s">
        <v>51</v>
      </c>
      <c r="D94" s="590" t="s">
        <v>516</v>
      </c>
      <c r="E94" s="628" t="s">
        <v>303</v>
      </c>
      <c r="F94" s="623" t="s">
        <v>707</v>
      </c>
      <c r="G94" s="272">
        <v>0</v>
      </c>
      <c r="H94" s="258">
        <v>0</v>
      </c>
      <c r="I94" s="272">
        <v>32434652</v>
      </c>
      <c r="J94" s="272">
        <f>I94</f>
        <v>32434652</v>
      </c>
      <c r="K94" s="272">
        <v>7555248.3700000001</v>
      </c>
      <c r="L94" s="272">
        <f>K94</f>
        <v>7555248.3700000001</v>
      </c>
      <c r="M94" s="272">
        <f t="shared" ref="M94:M95" si="27">G94+I94</f>
        <v>32434652</v>
      </c>
      <c r="N94" s="597">
        <f t="shared" ref="N94:N95" si="28">H94+K94</f>
        <v>7555248.3700000001</v>
      </c>
      <c r="O94" s="240">
        <f t="shared" si="25"/>
        <v>0.23293754993887403</v>
      </c>
    </row>
    <row r="95" spans="1:15" s="5" customFormat="1" ht="132.75" customHeight="1" x14ac:dyDescent="0.3">
      <c r="A95" s="624">
        <v>1512010</v>
      </c>
      <c r="B95" s="625">
        <v>2010</v>
      </c>
      <c r="C95" s="243" t="s">
        <v>20</v>
      </c>
      <c r="D95" s="605" t="s">
        <v>21</v>
      </c>
      <c r="E95" s="605" t="s">
        <v>303</v>
      </c>
      <c r="F95" s="623" t="s">
        <v>707</v>
      </c>
      <c r="G95" s="255">
        <v>0</v>
      </c>
      <c r="H95" s="254">
        <v>0</v>
      </c>
      <c r="I95" s="255">
        <v>103135</v>
      </c>
      <c r="J95" s="272">
        <f t="shared" ref="J95:J105" si="29">I95</f>
        <v>103135</v>
      </c>
      <c r="K95" s="255">
        <v>0</v>
      </c>
      <c r="L95" s="272">
        <f t="shared" ref="L95:L105" si="30">K95</f>
        <v>0</v>
      </c>
      <c r="M95" s="255">
        <f t="shared" si="27"/>
        <v>103135</v>
      </c>
      <c r="N95" s="273">
        <f t="shared" si="28"/>
        <v>0</v>
      </c>
      <c r="O95" s="248">
        <f t="shared" si="25"/>
        <v>0</v>
      </c>
    </row>
    <row r="96" spans="1:15" s="5" customFormat="1" ht="151.5" customHeight="1" x14ac:dyDescent="0.3">
      <c r="A96" s="669" t="s">
        <v>242</v>
      </c>
      <c r="B96" s="626" t="s">
        <v>105</v>
      </c>
      <c r="C96" s="626" t="s">
        <v>106</v>
      </c>
      <c r="D96" s="274" t="s">
        <v>243</v>
      </c>
      <c r="E96" s="605" t="s">
        <v>244</v>
      </c>
      <c r="F96" s="605" t="s">
        <v>599</v>
      </c>
      <c r="G96" s="244">
        <v>0</v>
      </c>
      <c r="H96" s="255">
        <v>0</v>
      </c>
      <c r="I96" s="255">
        <v>2478809</v>
      </c>
      <c r="J96" s="272">
        <f t="shared" si="29"/>
        <v>2478809</v>
      </c>
      <c r="K96" s="255">
        <v>2478808.04</v>
      </c>
      <c r="L96" s="272">
        <f t="shared" si="30"/>
        <v>2478808.04</v>
      </c>
      <c r="M96" s="255">
        <f t="shared" ref="M96:M117" si="31">G96+I96</f>
        <v>2478809</v>
      </c>
      <c r="N96" s="273">
        <f t="shared" ref="N96:N117" si="32">H96+K96</f>
        <v>2478808.04</v>
      </c>
      <c r="O96" s="257">
        <f t="shared" si="2"/>
        <v>0.99999961271723636</v>
      </c>
    </row>
    <row r="97" spans="1:15" s="5" customFormat="1" ht="131.25" customHeight="1" x14ac:dyDescent="0.3">
      <c r="A97" s="247" t="s">
        <v>579</v>
      </c>
      <c r="B97" s="243" t="s">
        <v>580</v>
      </c>
      <c r="C97" s="243" t="s">
        <v>27</v>
      </c>
      <c r="D97" s="274" t="s">
        <v>236</v>
      </c>
      <c r="E97" s="605" t="s">
        <v>154</v>
      </c>
      <c r="F97" s="605" t="s">
        <v>705</v>
      </c>
      <c r="G97" s="244">
        <v>0</v>
      </c>
      <c r="H97" s="255">
        <v>0</v>
      </c>
      <c r="I97" s="255">
        <v>35969517</v>
      </c>
      <c r="J97" s="272">
        <f t="shared" si="29"/>
        <v>35969517</v>
      </c>
      <c r="K97" s="255">
        <v>21282629.32</v>
      </c>
      <c r="L97" s="272">
        <f t="shared" si="30"/>
        <v>21282629.32</v>
      </c>
      <c r="M97" s="255">
        <f t="shared" si="31"/>
        <v>35969517</v>
      </c>
      <c r="N97" s="273">
        <f t="shared" si="32"/>
        <v>21282629.32</v>
      </c>
      <c r="O97" s="257">
        <f t="shared" si="2"/>
        <v>0.59168515718462389</v>
      </c>
    </row>
    <row r="98" spans="1:15" s="5" customFormat="1" ht="133.19999999999999" customHeight="1" x14ac:dyDescent="0.3">
      <c r="A98" s="242" t="s">
        <v>602</v>
      </c>
      <c r="B98" s="684" t="s">
        <v>134</v>
      </c>
      <c r="C98" s="243" t="s">
        <v>27</v>
      </c>
      <c r="D98" s="685" t="s">
        <v>603</v>
      </c>
      <c r="E98" s="605" t="s">
        <v>154</v>
      </c>
      <c r="F98" s="605" t="s">
        <v>705</v>
      </c>
      <c r="G98" s="244">
        <v>0</v>
      </c>
      <c r="H98" s="255">
        <v>0</v>
      </c>
      <c r="I98" s="255">
        <v>22858722</v>
      </c>
      <c r="J98" s="255">
        <f t="shared" si="29"/>
        <v>22858722</v>
      </c>
      <c r="K98" s="255">
        <v>0</v>
      </c>
      <c r="L98" s="255">
        <f t="shared" si="30"/>
        <v>0</v>
      </c>
      <c r="M98" s="255">
        <f t="shared" si="31"/>
        <v>22858722</v>
      </c>
      <c r="N98" s="273">
        <f t="shared" si="32"/>
        <v>0</v>
      </c>
      <c r="O98" s="257">
        <f t="shared" si="2"/>
        <v>0</v>
      </c>
    </row>
    <row r="99" spans="1:15" s="5" customFormat="1" ht="133.19999999999999" customHeight="1" x14ac:dyDescent="0.3">
      <c r="A99" s="669" t="s">
        <v>485</v>
      </c>
      <c r="B99" s="626" t="s">
        <v>26</v>
      </c>
      <c r="C99" s="626" t="s">
        <v>27</v>
      </c>
      <c r="D99" s="238" t="s">
        <v>135</v>
      </c>
      <c r="E99" s="605" t="s">
        <v>154</v>
      </c>
      <c r="F99" s="628" t="s">
        <v>705</v>
      </c>
      <c r="G99" s="595">
        <v>0</v>
      </c>
      <c r="H99" s="596">
        <v>0</v>
      </c>
      <c r="I99" s="596">
        <v>6973969</v>
      </c>
      <c r="J99" s="272">
        <f t="shared" si="29"/>
        <v>6973969</v>
      </c>
      <c r="K99" s="596">
        <v>2964438.41</v>
      </c>
      <c r="L99" s="272">
        <f t="shared" si="30"/>
        <v>2964438.41</v>
      </c>
      <c r="M99" s="255">
        <f t="shared" si="31"/>
        <v>6973969</v>
      </c>
      <c r="N99" s="273">
        <f t="shared" si="32"/>
        <v>2964438.41</v>
      </c>
      <c r="O99" s="257">
        <f t="shared" si="2"/>
        <v>0.42507192245907605</v>
      </c>
    </row>
    <row r="100" spans="1:15" s="5" customFormat="1" ht="135" customHeight="1" x14ac:dyDescent="0.3">
      <c r="A100" s="639">
        <v>1516030</v>
      </c>
      <c r="B100" s="514">
        <v>6030</v>
      </c>
      <c r="C100" s="514">
        <v>620</v>
      </c>
      <c r="D100" s="238" t="s">
        <v>135</v>
      </c>
      <c r="E100" s="605" t="s">
        <v>303</v>
      </c>
      <c r="F100" s="623" t="s">
        <v>707</v>
      </c>
      <c r="G100" s="595">
        <v>0</v>
      </c>
      <c r="H100" s="596">
        <v>0</v>
      </c>
      <c r="I100" s="596">
        <v>406558</v>
      </c>
      <c r="J100" s="272">
        <f t="shared" si="29"/>
        <v>406558</v>
      </c>
      <c r="K100" s="596">
        <v>105518.95</v>
      </c>
      <c r="L100" s="272">
        <f t="shared" si="30"/>
        <v>105518.95</v>
      </c>
      <c r="M100" s="255">
        <f t="shared" si="31"/>
        <v>406558</v>
      </c>
      <c r="N100" s="273">
        <f t="shared" si="32"/>
        <v>105518.95</v>
      </c>
      <c r="O100" s="257">
        <f t="shared" si="2"/>
        <v>0.2595421809434324</v>
      </c>
    </row>
    <row r="101" spans="1:15" s="5" customFormat="1" ht="134.25" customHeight="1" x14ac:dyDescent="0.3">
      <c r="A101" s="639" t="s">
        <v>298</v>
      </c>
      <c r="B101" s="514" t="s">
        <v>299</v>
      </c>
      <c r="C101" s="514" t="s">
        <v>300</v>
      </c>
      <c r="D101" s="238" t="s">
        <v>302</v>
      </c>
      <c r="E101" s="605" t="s">
        <v>303</v>
      </c>
      <c r="F101" s="623" t="s">
        <v>707</v>
      </c>
      <c r="G101" s="595">
        <v>0</v>
      </c>
      <c r="H101" s="596">
        <v>0</v>
      </c>
      <c r="I101" s="596">
        <v>3338727</v>
      </c>
      <c r="J101" s="272">
        <f t="shared" si="29"/>
        <v>3338727</v>
      </c>
      <c r="K101" s="596">
        <v>2205795.5699999998</v>
      </c>
      <c r="L101" s="272">
        <f t="shared" si="30"/>
        <v>2205795.5699999998</v>
      </c>
      <c r="M101" s="255">
        <f t="shared" si="31"/>
        <v>3338727</v>
      </c>
      <c r="N101" s="244">
        <f t="shared" si="32"/>
        <v>2205795.5699999998</v>
      </c>
      <c r="O101" s="257">
        <f t="shared" si="2"/>
        <v>0.66066964145316454</v>
      </c>
    </row>
    <row r="102" spans="1:15" s="5" customFormat="1" ht="136.5" customHeight="1" x14ac:dyDescent="0.3">
      <c r="A102" s="639">
        <v>1517324</v>
      </c>
      <c r="B102" s="625">
        <v>7324</v>
      </c>
      <c r="C102" s="626" t="s">
        <v>300</v>
      </c>
      <c r="D102" s="605" t="s">
        <v>581</v>
      </c>
      <c r="E102" s="605" t="s">
        <v>303</v>
      </c>
      <c r="F102" s="623" t="s">
        <v>707</v>
      </c>
      <c r="G102" s="595">
        <v>0</v>
      </c>
      <c r="H102" s="596">
        <v>0</v>
      </c>
      <c r="I102" s="596">
        <v>1909525</v>
      </c>
      <c r="J102" s="272">
        <f t="shared" si="29"/>
        <v>1909525</v>
      </c>
      <c r="K102" s="596">
        <v>1710582.75</v>
      </c>
      <c r="L102" s="272">
        <f t="shared" si="30"/>
        <v>1710582.75</v>
      </c>
      <c r="M102" s="255">
        <f t="shared" si="31"/>
        <v>1909525</v>
      </c>
      <c r="N102" s="244">
        <f t="shared" si="32"/>
        <v>1710582.75</v>
      </c>
      <c r="O102" s="257">
        <f t="shared" si="2"/>
        <v>0.89581584425446115</v>
      </c>
    </row>
    <row r="103" spans="1:15" s="5" customFormat="1" ht="131.25" customHeight="1" x14ac:dyDescent="0.3">
      <c r="A103" s="639">
        <v>1517330</v>
      </c>
      <c r="B103" s="514">
        <v>7330</v>
      </c>
      <c r="C103" s="664" t="s">
        <v>300</v>
      </c>
      <c r="D103" s="274" t="s">
        <v>582</v>
      </c>
      <c r="E103" s="605" t="s">
        <v>303</v>
      </c>
      <c r="F103" s="605" t="s">
        <v>707</v>
      </c>
      <c r="G103" s="595">
        <v>0</v>
      </c>
      <c r="H103" s="596">
        <v>0</v>
      </c>
      <c r="I103" s="596">
        <v>1264018</v>
      </c>
      <c r="J103" s="272">
        <f t="shared" si="29"/>
        <v>1264018</v>
      </c>
      <c r="K103" s="596">
        <v>1263547.04</v>
      </c>
      <c r="L103" s="272">
        <f t="shared" si="30"/>
        <v>1263547.04</v>
      </c>
      <c r="M103" s="255">
        <f t="shared" si="31"/>
        <v>1264018</v>
      </c>
      <c r="N103" s="244">
        <f t="shared" si="32"/>
        <v>1263547.04</v>
      </c>
      <c r="O103" s="257">
        <f t="shared" si="2"/>
        <v>0.99962741036915614</v>
      </c>
    </row>
    <row r="104" spans="1:15" s="5" customFormat="1" ht="130.5" customHeight="1" x14ac:dyDescent="0.3">
      <c r="A104" s="639">
        <v>1517461</v>
      </c>
      <c r="B104" s="514">
        <v>7461</v>
      </c>
      <c r="C104" s="625" t="s">
        <v>139</v>
      </c>
      <c r="D104" s="605" t="s">
        <v>140</v>
      </c>
      <c r="E104" s="605" t="s">
        <v>154</v>
      </c>
      <c r="F104" s="628" t="s">
        <v>705</v>
      </c>
      <c r="G104" s="595">
        <v>0</v>
      </c>
      <c r="H104" s="596">
        <v>0</v>
      </c>
      <c r="I104" s="596">
        <v>4880223</v>
      </c>
      <c r="J104" s="255">
        <f t="shared" si="29"/>
        <v>4880223</v>
      </c>
      <c r="K104" s="596">
        <v>148385.19</v>
      </c>
      <c r="L104" s="255">
        <f t="shared" si="30"/>
        <v>148385.19</v>
      </c>
      <c r="M104" s="255">
        <f t="shared" si="31"/>
        <v>4880223</v>
      </c>
      <c r="N104" s="244">
        <f t="shared" si="32"/>
        <v>148385.19</v>
      </c>
      <c r="O104" s="257">
        <f t="shared" si="2"/>
        <v>3.0405411801878727E-2</v>
      </c>
    </row>
    <row r="105" spans="1:15" s="5" customFormat="1" ht="132.75" customHeight="1" thickBot="1" x14ac:dyDescent="0.35">
      <c r="A105" s="630">
        <v>1518110</v>
      </c>
      <c r="B105" s="631">
        <v>8110</v>
      </c>
      <c r="C105" s="632" t="s">
        <v>231</v>
      </c>
      <c r="D105" s="633" t="s">
        <v>232</v>
      </c>
      <c r="E105" s="634" t="s">
        <v>233</v>
      </c>
      <c r="F105" s="634" t="s">
        <v>704</v>
      </c>
      <c r="G105" s="592">
        <v>0</v>
      </c>
      <c r="H105" s="593">
        <v>0</v>
      </c>
      <c r="I105" s="593">
        <v>5441652</v>
      </c>
      <c r="J105" s="594">
        <f t="shared" si="29"/>
        <v>5441652</v>
      </c>
      <c r="K105" s="593">
        <v>96000</v>
      </c>
      <c r="L105" s="255">
        <f t="shared" si="30"/>
        <v>96000</v>
      </c>
      <c r="M105" s="594">
        <f t="shared" si="31"/>
        <v>5441652</v>
      </c>
      <c r="N105" s="589">
        <f t="shared" si="32"/>
        <v>96000</v>
      </c>
      <c r="O105" s="269">
        <f t="shared" si="2"/>
        <v>1.7641701453896722E-2</v>
      </c>
    </row>
    <row r="106" spans="1:15" s="5" customFormat="1" ht="73.5" customHeight="1" thickBot="1" x14ac:dyDescent="0.35">
      <c r="A106" s="644" t="s">
        <v>199</v>
      </c>
      <c r="B106" s="670"/>
      <c r="C106" s="670"/>
      <c r="D106" s="228" t="s">
        <v>576</v>
      </c>
      <c r="E106" s="671"/>
      <c r="F106" s="671"/>
      <c r="G106" s="603">
        <f>G107</f>
        <v>145000</v>
      </c>
      <c r="H106" s="603">
        <f t="shared" ref="H106:L106" si="33">H107</f>
        <v>145000</v>
      </c>
      <c r="I106" s="603">
        <f t="shared" si="33"/>
        <v>6968100</v>
      </c>
      <c r="J106" s="603">
        <f t="shared" si="33"/>
        <v>6968100</v>
      </c>
      <c r="K106" s="603">
        <f t="shared" si="33"/>
        <v>6968099.3499999996</v>
      </c>
      <c r="L106" s="603">
        <f t="shared" si="33"/>
        <v>6968099.3499999996</v>
      </c>
      <c r="M106" s="604">
        <f t="shared" si="31"/>
        <v>7113100</v>
      </c>
      <c r="N106" s="341">
        <f t="shared" si="32"/>
        <v>7113099.3499999996</v>
      </c>
      <c r="O106" s="340">
        <f t="shared" si="2"/>
        <v>0.99999990861930799</v>
      </c>
    </row>
    <row r="107" spans="1:15" s="5" customFormat="1" ht="74.25" customHeight="1" thickBot="1" x14ac:dyDescent="0.35">
      <c r="A107" s="692">
        <v>1610000</v>
      </c>
      <c r="B107" s="693"/>
      <c r="C107" s="693"/>
      <c r="D107" s="234" t="s">
        <v>576</v>
      </c>
      <c r="E107" s="657"/>
      <c r="F107" s="657"/>
      <c r="G107" s="694">
        <f>G108+G109</f>
        <v>145000</v>
      </c>
      <c r="H107" s="694">
        <f t="shared" ref="H107:L107" si="34">H108+H109</f>
        <v>145000</v>
      </c>
      <c r="I107" s="694">
        <f t="shared" si="34"/>
        <v>6968100</v>
      </c>
      <c r="J107" s="694">
        <f t="shared" si="34"/>
        <v>6968100</v>
      </c>
      <c r="K107" s="694">
        <f t="shared" si="34"/>
        <v>6968099.3499999996</v>
      </c>
      <c r="L107" s="694">
        <f t="shared" si="34"/>
        <v>6968099.3499999996</v>
      </c>
      <c r="M107" s="236">
        <f t="shared" si="31"/>
        <v>7113100</v>
      </c>
      <c r="N107" s="695">
        <f t="shared" si="32"/>
        <v>7113099.3499999996</v>
      </c>
      <c r="O107" s="268">
        <f t="shared" si="2"/>
        <v>0.99999990861930799</v>
      </c>
    </row>
    <row r="108" spans="1:15" s="5" customFormat="1" ht="130.5" customHeight="1" x14ac:dyDescent="0.3">
      <c r="A108" s="682" t="s">
        <v>577</v>
      </c>
      <c r="B108" s="738">
        <v>6014</v>
      </c>
      <c r="C108" s="739" t="s">
        <v>27</v>
      </c>
      <c r="D108" s="740" t="s">
        <v>513</v>
      </c>
      <c r="E108" s="678" t="s">
        <v>154</v>
      </c>
      <c r="F108" s="678" t="s">
        <v>705</v>
      </c>
      <c r="G108" s="617">
        <v>145000</v>
      </c>
      <c r="H108" s="618">
        <v>145000</v>
      </c>
      <c r="I108" s="618">
        <v>0</v>
      </c>
      <c r="J108" s="618">
        <v>0</v>
      </c>
      <c r="K108" s="618">
        <v>0</v>
      </c>
      <c r="L108" s="619">
        <v>0</v>
      </c>
      <c r="M108" s="620">
        <f t="shared" si="31"/>
        <v>145000</v>
      </c>
      <c r="N108" s="619">
        <f t="shared" si="32"/>
        <v>145000</v>
      </c>
      <c r="O108" s="622">
        <f t="shared" si="2"/>
        <v>1</v>
      </c>
    </row>
    <row r="109" spans="1:15" s="5" customFormat="1" ht="144.6" thickBot="1" x14ac:dyDescent="0.35">
      <c r="A109" s="630">
        <v>1617351</v>
      </c>
      <c r="B109" s="631">
        <v>7351</v>
      </c>
      <c r="C109" s="744" t="s">
        <v>300</v>
      </c>
      <c r="D109" s="745" t="s">
        <v>648</v>
      </c>
      <c r="E109" s="634" t="s">
        <v>655</v>
      </c>
      <c r="F109" s="634" t="s">
        <v>656</v>
      </c>
      <c r="G109" s="592">
        <v>0</v>
      </c>
      <c r="H109" s="593">
        <v>0</v>
      </c>
      <c r="I109" s="593">
        <v>6968100</v>
      </c>
      <c r="J109" s="593">
        <v>6968100</v>
      </c>
      <c r="K109" s="593">
        <v>6968099.3499999996</v>
      </c>
      <c r="L109" s="589">
        <v>6968099.3499999996</v>
      </c>
      <c r="M109" s="594">
        <f t="shared" si="31"/>
        <v>6968100</v>
      </c>
      <c r="N109" s="589">
        <f t="shared" si="32"/>
        <v>6968099.3499999996</v>
      </c>
      <c r="O109" s="269">
        <f t="shared" si="2"/>
        <v>0.99999990671775663</v>
      </c>
    </row>
    <row r="110" spans="1:15" s="5" customFormat="1" ht="78" customHeight="1" thickBot="1" x14ac:dyDescent="0.35">
      <c r="A110" s="644">
        <v>2700000</v>
      </c>
      <c r="B110" s="653"/>
      <c r="C110" s="653"/>
      <c r="D110" s="674" t="s">
        <v>204</v>
      </c>
      <c r="E110" s="655"/>
      <c r="F110" s="655"/>
      <c r="G110" s="591">
        <f>G111</f>
        <v>4620660</v>
      </c>
      <c r="H110" s="591">
        <f t="shared" ref="H110:K110" si="35">H111</f>
        <v>4620660</v>
      </c>
      <c r="I110" s="591">
        <f t="shared" si="35"/>
        <v>0</v>
      </c>
      <c r="J110" s="591">
        <f t="shared" si="35"/>
        <v>0</v>
      </c>
      <c r="K110" s="591">
        <f t="shared" si="35"/>
        <v>0</v>
      </c>
      <c r="L110" s="275">
        <f t="shared" ref="L110:L113" si="36">K110</f>
        <v>0</v>
      </c>
      <c r="M110" s="271">
        <f t="shared" si="31"/>
        <v>4620660</v>
      </c>
      <c r="N110" s="265">
        <f t="shared" si="32"/>
        <v>4620660</v>
      </c>
      <c r="O110" s="266">
        <f t="shared" si="2"/>
        <v>1</v>
      </c>
    </row>
    <row r="111" spans="1:15" s="5" customFormat="1" ht="79.95" customHeight="1" thickBot="1" x14ac:dyDescent="0.35">
      <c r="A111" s="672">
        <v>2710000</v>
      </c>
      <c r="B111" s="666"/>
      <c r="C111" s="666"/>
      <c r="D111" s="673" t="s">
        <v>204</v>
      </c>
      <c r="E111" s="667"/>
      <c r="F111" s="667"/>
      <c r="G111" s="612">
        <f>G112+G113</f>
        <v>4620660</v>
      </c>
      <c r="H111" s="612">
        <f t="shared" ref="H111:L111" si="37">H112+H113</f>
        <v>4620660</v>
      </c>
      <c r="I111" s="612">
        <f t="shared" si="37"/>
        <v>0</v>
      </c>
      <c r="J111" s="612">
        <f t="shared" si="37"/>
        <v>0</v>
      </c>
      <c r="K111" s="612">
        <f t="shared" si="37"/>
        <v>0</v>
      </c>
      <c r="L111" s="612">
        <f t="shared" si="37"/>
        <v>0</v>
      </c>
      <c r="M111" s="608">
        <f t="shared" si="31"/>
        <v>4620660</v>
      </c>
      <c r="N111" s="613">
        <f t="shared" si="32"/>
        <v>4620660</v>
      </c>
      <c r="O111" s="614">
        <f t="shared" si="2"/>
        <v>1</v>
      </c>
    </row>
    <row r="112" spans="1:15" s="5" customFormat="1" ht="131.25" customHeight="1" x14ac:dyDescent="0.3">
      <c r="A112" s="675">
        <v>2717413</v>
      </c>
      <c r="B112" s="676">
        <v>7413</v>
      </c>
      <c r="C112" s="677" t="s">
        <v>239</v>
      </c>
      <c r="D112" s="678" t="s">
        <v>238</v>
      </c>
      <c r="E112" s="678" t="s">
        <v>237</v>
      </c>
      <c r="F112" s="678" t="s">
        <v>586</v>
      </c>
      <c r="G112" s="617">
        <v>4440660</v>
      </c>
      <c r="H112" s="618">
        <v>4440660</v>
      </c>
      <c r="I112" s="618">
        <v>0</v>
      </c>
      <c r="J112" s="618">
        <f>I112</f>
        <v>0</v>
      </c>
      <c r="K112" s="618">
        <v>0</v>
      </c>
      <c r="L112" s="619">
        <f t="shared" si="36"/>
        <v>0</v>
      </c>
      <c r="M112" s="620">
        <f t="shared" si="31"/>
        <v>4440660</v>
      </c>
      <c r="N112" s="621">
        <f t="shared" si="32"/>
        <v>4440660</v>
      </c>
      <c r="O112" s="622">
        <f t="shared" si="2"/>
        <v>1</v>
      </c>
    </row>
    <row r="113" spans="1:256" s="5" customFormat="1" ht="77.25" customHeight="1" thickBot="1" x14ac:dyDescent="0.35">
      <c r="A113" s="635">
        <v>2719770</v>
      </c>
      <c r="B113" s="631">
        <v>9770</v>
      </c>
      <c r="C113" s="636" t="s">
        <v>219</v>
      </c>
      <c r="D113" s="637" t="s">
        <v>604</v>
      </c>
      <c r="E113" s="638" t="s">
        <v>605</v>
      </c>
      <c r="F113" s="634" t="s">
        <v>606</v>
      </c>
      <c r="G113" s="592">
        <v>180000</v>
      </c>
      <c r="H113" s="593">
        <v>180000</v>
      </c>
      <c r="I113" s="593">
        <v>0</v>
      </c>
      <c r="J113" s="593">
        <v>0</v>
      </c>
      <c r="K113" s="593">
        <v>0</v>
      </c>
      <c r="L113" s="239">
        <f t="shared" si="36"/>
        <v>0</v>
      </c>
      <c r="M113" s="272">
        <f t="shared" si="31"/>
        <v>180000</v>
      </c>
      <c r="N113" s="597">
        <f t="shared" si="32"/>
        <v>180000</v>
      </c>
      <c r="O113" s="246">
        <f t="shared" si="2"/>
        <v>1</v>
      </c>
    </row>
    <row r="114" spans="1:256" s="5" customFormat="1" ht="74.25" customHeight="1" thickBot="1" x14ac:dyDescent="0.35">
      <c r="A114" s="644">
        <v>3100000</v>
      </c>
      <c r="B114" s="679"/>
      <c r="C114" s="680"/>
      <c r="D114" s="228" t="s">
        <v>208</v>
      </c>
      <c r="E114" s="671"/>
      <c r="F114" s="671"/>
      <c r="G114" s="591">
        <f>G115</f>
        <v>1491803</v>
      </c>
      <c r="H114" s="591">
        <f t="shared" ref="H114:L114" si="38">H115</f>
        <v>1301819</v>
      </c>
      <c r="I114" s="591">
        <f t="shared" si="38"/>
        <v>0</v>
      </c>
      <c r="J114" s="591">
        <f t="shared" si="38"/>
        <v>0</v>
      </c>
      <c r="K114" s="591">
        <f t="shared" si="38"/>
        <v>0</v>
      </c>
      <c r="L114" s="591">
        <f t="shared" si="38"/>
        <v>0</v>
      </c>
      <c r="M114" s="604">
        <f t="shared" si="31"/>
        <v>1491803</v>
      </c>
      <c r="N114" s="339">
        <f t="shared" si="32"/>
        <v>1301819</v>
      </c>
      <c r="O114" s="266">
        <f t="shared" si="2"/>
        <v>0.87264806412106688</v>
      </c>
    </row>
    <row r="115" spans="1:256" s="5" customFormat="1" ht="77.25" customHeight="1" x14ac:dyDescent="0.3">
      <c r="A115" s="774">
        <v>3110000</v>
      </c>
      <c r="B115" s="775"/>
      <c r="C115" s="776"/>
      <c r="D115" s="777" t="s">
        <v>208</v>
      </c>
      <c r="E115" s="778"/>
      <c r="F115" s="778"/>
      <c r="G115" s="779">
        <f>G116+G117</f>
        <v>1491803</v>
      </c>
      <c r="H115" s="779">
        <f t="shared" ref="H115:L115" si="39">H116+H117</f>
        <v>1301819</v>
      </c>
      <c r="I115" s="779">
        <f t="shared" si="39"/>
        <v>0</v>
      </c>
      <c r="J115" s="779">
        <f t="shared" si="39"/>
        <v>0</v>
      </c>
      <c r="K115" s="779">
        <f t="shared" si="39"/>
        <v>0</v>
      </c>
      <c r="L115" s="779">
        <f t="shared" si="39"/>
        <v>0</v>
      </c>
      <c r="M115" s="780">
        <f>G115+I115</f>
        <v>1491803</v>
      </c>
      <c r="N115" s="781">
        <f>H115+K115</f>
        <v>1301819</v>
      </c>
      <c r="O115" s="782">
        <f t="shared" si="2"/>
        <v>0.87264806412106688</v>
      </c>
    </row>
    <row r="116" spans="1:256" s="5" customFormat="1" ht="282.75" customHeight="1" x14ac:dyDescent="0.3">
      <c r="A116" s="624">
        <v>3117693</v>
      </c>
      <c r="B116" s="625">
        <v>7693</v>
      </c>
      <c r="C116" s="626" t="s">
        <v>171</v>
      </c>
      <c r="D116" s="605" t="s">
        <v>512</v>
      </c>
      <c r="E116" s="605" t="s">
        <v>221</v>
      </c>
      <c r="F116" s="238" t="s">
        <v>578</v>
      </c>
      <c r="G116" s="595">
        <v>153500</v>
      </c>
      <c r="H116" s="596">
        <v>153300</v>
      </c>
      <c r="I116" s="596">
        <v>0</v>
      </c>
      <c r="J116" s="596">
        <v>0</v>
      </c>
      <c r="K116" s="596">
        <v>0</v>
      </c>
      <c r="L116" s="244">
        <v>0</v>
      </c>
      <c r="M116" s="255">
        <f t="shared" si="31"/>
        <v>153500</v>
      </c>
      <c r="N116" s="273">
        <f t="shared" si="32"/>
        <v>153300</v>
      </c>
      <c r="O116" s="257">
        <f t="shared" si="2"/>
        <v>0.99869706840390882</v>
      </c>
    </row>
    <row r="117" spans="1:256" s="5" customFormat="1" ht="132.75" customHeight="1" thickBot="1" x14ac:dyDescent="0.35">
      <c r="A117" s="635">
        <v>3118110</v>
      </c>
      <c r="B117" s="631">
        <v>8110</v>
      </c>
      <c r="C117" s="632" t="s">
        <v>231</v>
      </c>
      <c r="D117" s="634" t="s">
        <v>232</v>
      </c>
      <c r="E117" s="634" t="s">
        <v>154</v>
      </c>
      <c r="F117" s="628" t="s">
        <v>705</v>
      </c>
      <c r="G117" s="592">
        <v>1338303</v>
      </c>
      <c r="H117" s="593">
        <v>1148519</v>
      </c>
      <c r="I117" s="593">
        <v>0</v>
      </c>
      <c r="J117" s="593">
        <v>0</v>
      </c>
      <c r="K117" s="593">
        <v>0</v>
      </c>
      <c r="L117" s="589">
        <v>0</v>
      </c>
      <c r="M117" s="594">
        <f t="shared" si="31"/>
        <v>1338303</v>
      </c>
      <c r="N117" s="253">
        <f t="shared" si="32"/>
        <v>1148519</v>
      </c>
      <c r="O117" s="269">
        <f t="shared" si="2"/>
        <v>0.85819055923807985</v>
      </c>
    </row>
    <row r="118" spans="1:256" s="276" customFormat="1" ht="24" customHeight="1" thickBot="1" x14ac:dyDescent="0.35">
      <c r="A118" s="232" t="s">
        <v>209</v>
      </c>
      <c r="B118" s="225" t="s">
        <v>295</v>
      </c>
      <c r="C118" s="227" t="s">
        <v>295</v>
      </c>
      <c r="D118" s="227" t="s">
        <v>148</v>
      </c>
      <c r="E118" s="598" t="s">
        <v>295</v>
      </c>
      <c r="F118" s="598" t="s">
        <v>295</v>
      </c>
      <c r="G118" s="275">
        <f>G18+G37+G52+G60+G63+G78+G92+G106+G110+G114</f>
        <v>243000798</v>
      </c>
      <c r="H118" s="275">
        <f>H18+H37+H52+H60+H63+H78+H92+H106+H110+H114</f>
        <v>227606531.24000001</v>
      </c>
      <c r="I118" s="275">
        <f>I18+I37+I52+I60+I63+I78+I92+I106+I110</f>
        <v>202342317</v>
      </c>
      <c r="J118" s="275">
        <f>J18+J37+J52+J60+J63+J78+J92+J106+J110</f>
        <v>196861337</v>
      </c>
      <c r="K118" s="275">
        <f>K18+K37+K52+K60+K63+K78+K92+K106+K110</f>
        <v>112675014.27</v>
      </c>
      <c r="L118" s="275">
        <f>L18+L37+L52+L60+L63+L78+L92+L106+L110</f>
        <v>110783034.27</v>
      </c>
      <c r="M118" s="275">
        <f>G118+I118</f>
        <v>445343115</v>
      </c>
      <c r="N118" s="265">
        <f>H118+K118</f>
        <v>340281545.50999999</v>
      </c>
      <c r="O118" s="260">
        <f t="shared" si="2"/>
        <v>0.76408848379748717</v>
      </c>
    </row>
    <row r="119" spans="1:256" s="5" customFormat="1" ht="15" customHeight="1" x14ac:dyDescent="0.3">
      <c r="A119" s="277"/>
      <c r="C119" s="152"/>
      <c r="D119" s="152"/>
      <c r="E119" s="278"/>
      <c r="F119" s="278"/>
      <c r="G119" s="279"/>
      <c r="H119" s="280"/>
      <c r="I119" s="279"/>
      <c r="J119" s="279"/>
      <c r="K119" s="281"/>
      <c r="L119" s="19"/>
      <c r="M119" s="19"/>
      <c r="N119" s="19"/>
      <c r="O119" s="282"/>
    </row>
    <row r="120" spans="1:256" s="284" customFormat="1" ht="49.5" customHeight="1" x14ac:dyDescent="0.35">
      <c r="A120" s="1188" t="s">
        <v>724</v>
      </c>
      <c r="B120" s="1188"/>
      <c r="C120" s="1188"/>
      <c r="D120" s="1188"/>
      <c r="E120" s="21"/>
      <c r="F120" s="21"/>
      <c r="G120" s="21"/>
      <c r="H120" s="21"/>
      <c r="I120" s="21"/>
      <c r="J120" s="21" t="s">
        <v>468</v>
      </c>
      <c r="K120" s="21"/>
      <c r="L120" s="283"/>
      <c r="M120" s="22"/>
      <c r="N120" s="21"/>
      <c r="O120" s="21"/>
      <c r="P120" s="23"/>
      <c r="Q120" s="24"/>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row>
    <row r="121" spans="1:256" s="5" customFormat="1" ht="33" customHeight="1" x14ac:dyDescent="0.3">
      <c r="C121" s="152"/>
      <c r="D121" s="285"/>
      <c r="E121" s="21"/>
      <c r="F121" s="21"/>
      <c r="H121" s="279"/>
      <c r="I121" s="222"/>
      <c r="J121" s="279"/>
      <c r="K121" s="279"/>
      <c r="L121" s="286"/>
      <c r="M121" s="286"/>
      <c r="N121" s="19"/>
      <c r="O121" s="282"/>
    </row>
    <row r="122" spans="1:256" s="5" customFormat="1" ht="33" customHeight="1" x14ac:dyDescent="0.3">
      <c r="C122" s="152"/>
      <c r="D122" s="285"/>
      <c r="E122" s="21"/>
      <c r="F122" s="21"/>
      <c r="H122" s="222"/>
      <c r="I122" s="222"/>
      <c r="J122" s="279"/>
      <c r="K122" s="279"/>
      <c r="L122" s="286"/>
      <c r="M122" s="286"/>
      <c r="N122" s="19"/>
      <c r="O122" s="282"/>
    </row>
    <row r="123" spans="1:256" s="5" customFormat="1" x14ac:dyDescent="0.25">
      <c r="C123" s="4"/>
      <c r="G123" s="287"/>
      <c r="H123" s="222"/>
      <c r="I123" s="287"/>
      <c r="J123" s="287"/>
      <c r="K123" s="288"/>
      <c r="L123" s="287"/>
      <c r="M123" s="287"/>
      <c r="N123" s="281"/>
      <c r="O123" s="282"/>
    </row>
    <row r="124" spans="1:256" x14ac:dyDescent="0.3">
      <c r="A124" s="5"/>
      <c r="H124" s="222"/>
    </row>
    <row r="125" spans="1:256" x14ac:dyDescent="0.3">
      <c r="A125" s="5"/>
      <c r="G125" s="289"/>
      <c r="H125" s="287"/>
      <c r="I125" s="289"/>
      <c r="J125" s="289"/>
      <c r="K125" s="289"/>
      <c r="L125" s="289"/>
      <c r="N125" s="289"/>
    </row>
    <row r="127" spans="1:256" x14ac:dyDescent="0.3">
      <c r="G127" s="287"/>
      <c r="H127" s="289"/>
      <c r="I127" s="290"/>
    </row>
    <row r="128" spans="1:256" x14ac:dyDescent="0.3">
      <c r="I128" s="290"/>
    </row>
  </sheetData>
  <mergeCells count="15">
    <mergeCell ref="L6:M6"/>
    <mergeCell ref="I15:L15"/>
    <mergeCell ref="M15:O15"/>
    <mergeCell ref="A120:D120"/>
    <mergeCell ref="G10:I10"/>
    <mergeCell ref="A13:C13"/>
    <mergeCell ref="A14:C14"/>
    <mergeCell ref="A15:A16"/>
    <mergeCell ref="B15:B16"/>
    <mergeCell ref="C15:C16"/>
    <mergeCell ref="D15:D16"/>
    <mergeCell ref="E15:E16"/>
    <mergeCell ref="F15:F16"/>
    <mergeCell ref="G15:H15"/>
    <mergeCell ref="L9:M9"/>
  </mergeCells>
  <pageMargins left="0.78740157480314965" right="0.19685039370078741" top="0.59055118110236227" bottom="0.39370078740157483" header="0.31496062992125984" footer="0.31496062992125984"/>
  <pageSetup paperSize="9" scale="54" orientation="landscape" r:id="rId1"/>
  <rowBreaks count="2" manualBreakCount="2">
    <brk id="21" max="14" man="1"/>
    <brk id="109"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P122"/>
  <sheetViews>
    <sheetView tabSelected="1" view="pageBreakPreview" topLeftCell="A49" zoomScale="50" zoomScaleNormal="50" zoomScaleSheetLayoutView="50" workbookViewId="0">
      <selection activeCell="D10" sqref="D10:K10"/>
    </sheetView>
  </sheetViews>
  <sheetFormatPr defaultColWidth="9.33203125" defaultRowHeight="13.8" x14ac:dyDescent="0.25"/>
  <cols>
    <col min="1" max="1" width="14.5546875" style="59" customWidth="1"/>
    <col min="2" max="2" width="15.109375" style="60" customWidth="1"/>
    <col min="3" max="3" width="11" style="61" customWidth="1"/>
    <col min="4" max="4" width="51.44140625" style="62" customWidth="1"/>
    <col min="5" max="5" width="60.109375" style="63" customWidth="1"/>
    <col min="6" max="6" width="15.33203125" style="61" customWidth="1"/>
    <col min="7" max="7" width="18" style="72" customWidth="1"/>
    <col min="8" max="8" width="15.6640625" style="72" customWidth="1"/>
    <col min="9" max="9" width="13.88671875" style="72" customWidth="1"/>
    <col min="10" max="10" width="28.109375" style="65" customWidth="1"/>
    <col min="11" max="11" width="28.33203125" style="65" customWidth="1"/>
    <col min="12" max="12" width="11.44140625" style="59" bestFit="1" customWidth="1"/>
    <col min="13" max="13" width="16.88671875" style="59" bestFit="1" customWidth="1"/>
    <col min="14" max="14" width="9.33203125" style="59"/>
    <col min="15" max="15" width="13.6640625" style="59" bestFit="1" customWidth="1"/>
    <col min="16" max="256" width="9.33203125" style="59"/>
    <col min="257" max="257" width="15" style="59" customWidth="1"/>
    <col min="258" max="258" width="12.6640625" style="59" customWidth="1"/>
    <col min="259" max="259" width="11.6640625" style="59" customWidth="1"/>
    <col min="260" max="260" width="44.88671875" style="59" customWidth="1"/>
    <col min="261" max="261" width="54.6640625" style="59" customWidth="1"/>
    <col min="262" max="262" width="15.33203125" style="59" customWidth="1"/>
    <col min="263" max="264" width="19.33203125" style="59" customWidth="1"/>
    <col min="265" max="265" width="13.88671875" style="59" customWidth="1"/>
    <col min="266" max="266" width="25.33203125" style="59" customWidth="1"/>
    <col min="267" max="267" width="16.33203125" style="59" customWidth="1"/>
    <col min="268" max="512" width="9.33203125" style="59"/>
    <col min="513" max="513" width="15" style="59" customWidth="1"/>
    <col min="514" max="514" width="12.6640625" style="59" customWidth="1"/>
    <col min="515" max="515" width="11.6640625" style="59" customWidth="1"/>
    <col min="516" max="516" width="44.88671875" style="59" customWidth="1"/>
    <col min="517" max="517" width="54.6640625" style="59" customWidth="1"/>
    <col min="518" max="518" width="15.33203125" style="59" customWidth="1"/>
    <col min="519" max="520" width="19.33203125" style="59" customWidth="1"/>
    <col min="521" max="521" width="13.88671875" style="59" customWidth="1"/>
    <col min="522" max="522" width="25.33203125" style="59" customWidth="1"/>
    <col min="523" max="523" width="16.33203125" style="59" customWidth="1"/>
    <col min="524" max="768" width="9.33203125" style="59"/>
    <col min="769" max="769" width="15" style="59" customWidth="1"/>
    <col min="770" max="770" width="12.6640625" style="59" customWidth="1"/>
    <col min="771" max="771" width="11.6640625" style="59" customWidth="1"/>
    <col min="772" max="772" width="44.88671875" style="59" customWidth="1"/>
    <col min="773" max="773" width="54.6640625" style="59" customWidth="1"/>
    <col min="774" max="774" width="15.33203125" style="59" customWidth="1"/>
    <col min="775" max="776" width="19.33203125" style="59" customWidth="1"/>
    <col min="777" max="777" width="13.88671875" style="59" customWidth="1"/>
    <col min="778" max="778" width="25.33203125" style="59" customWidth="1"/>
    <col min="779" max="779" width="16.33203125" style="59" customWidth="1"/>
    <col min="780" max="1024" width="9.33203125" style="59"/>
    <col min="1025" max="1025" width="15" style="59" customWidth="1"/>
    <col min="1026" max="1026" width="12.6640625" style="59" customWidth="1"/>
    <col min="1027" max="1027" width="11.6640625" style="59" customWidth="1"/>
    <col min="1028" max="1028" width="44.88671875" style="59" customWidth="1"/>
    <col min="1029" max="1029" width="54.6640625" style="59" customWidth="1"/>
    <col min="1030" max="1030" width="15.33203125" style="59" customWidth="1"/>
    <col min="1031" max="1032" width="19.33203125" style="59" customWidth="1"/>
    <col min="1033" max="1033" width="13.88671875" style="59" customWidth="1"/>
    <col min="1034" max="1034" width="25.33203125" style="59" customWidth="1"/>
    <col min="1035" max="1035" width="16.33203125" style="59" customWidth="1"/>
    <col min="1036" max="1280" width="9.33203125" style="59"/>
    <col min="1281" max="1281" width="15" style="59" customWidth="1"/>
    <col min="1282" max="1282" width="12.6640625" style="59" customWidth="1"/>
    <col min="1283" max="1283" width="11.6640625" style="59" customWidth="1"/>
    <col min="1284" max="1284" width="44.88671875" style="59" customWidth="1"/>
    <col min="1285" max="1285" width="54.6640625" style="59" customWidth="1"/>
    <col min="1286" max="1286" width="15.33203125" style="59" customWidth="1"/>
    <col min="1287" max="1288" width="19.33203125" style="59" customWidth="1"/>
    <col min="1289" max="1289" width="13.88671875" style="59" customWidth="1"/>
    <col min="1290" max="1290" width="25.33203125" style="59" customWidth="1"/>
    <col min="1291" max="1291" width="16.33203125" style="59" customWidth="1"/>
    <col min="1292" max="1536" width="9.33203125" style="59"/>
    <col min="1537" max="1537" width="15" style="59" customWidth="1"/>
    <col min="1538" max="1538" width="12.6640625" style="59" customWidth="1"/>
    <col min="1539" max="1539" width="11.6640625" style="59" customWidth="1"/>
    <col min="1540" max="1540" width="44.88671875" style="59" customWidth="1"/>
    <col min="1541" max="1541" width="54.6640625" style="59" customWidth="1"/>
    <col min="1542" max="1542" width="15.33203125" style="59" customWidth="1"/>
    <col min="1543" max="1544" width="19.33203125" style="59" customWidth="1"/>
    <col min="1545" max="1545" width="13.88671875" style="59" customWidth="1"/>
    <col min="1546" max="1546" width="25.33203125" style="59" customWidth="1"/>
    <col min="1547" max="1547" width="16.33203125" style="59" customWidth="1"/>
    <col min="1548" max="1792" width="9.33203125" style="59"/>
    <col min="1793" max="1793" width="15" style="59" customWidth="1"/>
    <col min="1794" max="1794" width="12.6640625" style="59" customWidth="1"/>
    <col min="1795" max="1795" width="11.6640625" style="59" customWidth="1"/>
    <col min="1796" max="1796" width="44.88671875" style="59" customWidth="1"/>
    <col min="1797" max="1797" width="54.6640625" style="59" customWidth="1"/>
    <col min="1798" max="1798" width="15.33203125" style="59" customWidth="1"/>
    <col min="1799" max="1800" width="19.33203125" style="59" customWidth="1"/>
    <col min="1801" max="1801" width="13.88671875" style="59" customWidth="1"/>
    <col min="1802" max="1802" width="25.33203125" style="59" customWidth="1"/>
    <col min="1803" max="1803" width="16.33203125" style="59" customWidth="1"/>
    <col min="1804" max="2048" width="9.33203125" style="59"/>
    <col min="2049" max="2049" width="15" style="59" customWidth="1"/>
    <col min="2050" max="2050" width="12.6640625" style="59" customWidth="1"/>
    <col min="2051" max="2051" width="11.6640625" style="59" customWidth="1"/>
    <col min="2052" max="2052" width="44.88671875" style="59" customWidth="1"/>
    <col min="2053" max="2053" width="54.6640625" style="59" customWidth="1"/>
    <col min="2054" max="2054" width="15.33203125" style="59" customWidth="1"/>
    <col min="2055" max="2056" width="19.33203125" style="59" customWidth="1"/>
    <col min="2057" max="2057" width="13.88671875" style="59" customWidth="1"/>
    <col min="2058" max="2058" width="25.33203125" style="59" customWidth="1"/>
    <col min="2059" max="2059" width="16.33203125" style="59" customWidth="1"/>
    <col min="2060" max="2304" width="9.33203125" style="59"/>
    <col min="2305" max="2305" width="15" style="59" customWidth="1"/>
    <col min="2306" max="2306" width="12.6640625" style="59" customWidth="1"/>
    <col min="2307" max="2307" width="11.6640625" style="59" customWidth="1"/>
    <col min="2308" max="2308" width="44.88671875" style="59" customWidth="1"/>
    <col min="2309" max="2309" width="54.6640625" style="59" customWidth="1"/>
    <col min="2310" max="2310" width="15.33203125" style="59" customWidth="1"/>
    <col min="2311" max="2312" width="19.33203125" style="59" customWidth="1"/>
    <col min="2313" max="2313" width="13.88671875" style="59" customWidth="1"/>
    <col min="2314" max="2314" width="25.33203125" style="59" customWidth="1"/>
    <col min="2315" max="2315" width="16.33203125" style="59" customWidth="1"/>
    <col min="2316" max="2560" width="9.33203125" style="59"/>
    <col min="2561" max="2561" width="15" style="59" customWidth="1"/>
    <col min="2562" max="2562" width="12.6640625" style="59" customWidth="1"/>
    <col min="2563" max="2563" width="11.6640625" style="59" customWidth="1"/>
    <col min="2564" max="2564" width="44.88671875" style="59" customWidth="1"/>
    <col min="2565" max="2565" width="54.6640625" style="59" customWidth="1"/>
    <col min="2566" max="2566" width="15.33203125" style="59" customWidth="1"/>
    <col min="2567" max="2568" width="19.33203125" style="59" customWidth="1"/>
    <col min="2569" max="2569" width="13.88671875" style="59" customWidth="1"/>
    <col min="2570" max="2570" width="25.33203125" style="59" customWidth="1"/>
    <col min="2571" max="2571" width="16.33203125" style="59" customWidth="1"/>
    <col min="2572" max="2816" width="9.33203125" style="59"/>
    <col min="2817" max="2817" width="15" style="59" customWidth="1"/>
    <col min="2818" max="2818" width="12.6640625" style="59" customWidth="1"/>
    <col min="2819" max="2819" width="11.6640625" style="59" customWidth="1"/>
    <col min="2820" max="2820" width="44.88671875" style="59" customWidth="1"/>
    <col min="2821" max="2821" width="54.6640625" style="59" customWidth="1"/>
    <col min="2822" max="2822" width="15.33203125" style="59" customWidth="1"/>
    <col min="2823" max="2824" width="19.33203125" style="59" customWidth="1"/>
    <col min="2825" max="2825" width="13.88671875" style="59" customWidth="1"/>
    <col min="2826" max="2826" width="25.33203125" style="59" customWidth="1"/>
    <col min="2827" max="2827" width="16.33203125" style="59" customWidth="1"/>
    <col min="2828" max="3072" width="9.33203125" style="59"/>
    <col min="3073" max="3073" width="15" style="59" customWidth="1"/>
    <col min="3074" max="3074" width="12.6640625" style="59" customWidth="1"/>
    <col min="3075" max="3075" width="11.6640625" style="59" customWidth="1"/>
    <col min="3076" max="3076" width="44.88671875" style="59" customWidth="1"/>
    <col min="3077" max="3077" width="54.6640625" style="59" customWidth="1"/>
    <col min="3078" max="3078" width="15.33203125" style="59" customWidth="1"/>
    <col min="3079" max="3080" width="19.33203125" style="59" customWidth="1"/>
    <col min="3081" max="3081" width="13.88671875" style="59" customWidth="1"/>
    <col min="3082" max="3082" width="25.33203125" style="59" customWidth="1"/>
    <col min="3083" max="3083" width="16.33203125" style="59" customWidth="1"/>
    <col min="3084" max="3328" width="9.33203125" style="59"/>
    <col min="3329" max="3329" width="15" style="59" customWidth="1"/>
    <col min="3330" max="3330" width="12.6640625" style="59" customWidth="1"/>
    <col min="3331" max="3331" width="11.6640625" style="59" customWidth="1"/>
    <col min="3332" max="3332" width="44.88671875" style="59" customWidth="1"/>
    <col min="3333" max="3333" width="54.6640625" style="59" customWidth="1"/>
    <col min="3334" max="3334" width="15.33203125" style="59" customWidth="1"/>
    <col min="3335" max="3336" width="19.33203125" style="59" customWidth="1"/>
    <col min="3337" max="3337" width="13.88671875" style="59" customWidth="1"/>
    <col min="3338" max="3338" width="25.33203125" style="59" customWidth="1"/>
    <col min="3339" max="3339" width="16.33203125" style="59" customWidth="1"/>
    <col min="3340" max="3584" width="9.33203125" style="59"/>
    <col min="3585" max="3585" width="15" style="59" customWidth="1"/>
    <col min="3586" max="3586" width="12.6640625" style="59" customWidth="1"/>
    <col min="3587" max="3587" width="11.6640625" style="59" customWidth="1"/>
    <col min="3588" max="3588" width="44.88671875" style="59" customWidth="1"/>
    <col min="3589" max="3589" width="54.6640625" style="59" customWidth="1"/>
    <col min="3590" max="3590" width="15.33203125" style="59" customWidth="1"/>
    <col min="3591" max="3592" width="19.33203125" style="59" customWidth="1"/>
    <col min="3593" max="3593" width="13.88671875" style="59" customWidth="1"/>
    <col min="3594" max="3594" width="25.33203125" style="59" customWidth="1"/>
    <col min="3595" max="3595" width="16.33203125" style="59" customWidth="1"/>
    <col min="3596" max="3840" width="9.33203125" style="59"/>
    <col min="3841" max="3841" width="15" style="59" customWidth="1"/>
    <col min="3842" max="3842" width="12.6640625" style="59" customWidth="1"/>
    <col min="3843" max="3843" width="11.6640625" style="59" customWidth="1"/>
    <col min="3844" max="3844" width="44.88671875" style="59" customWidth="1"/>
    <col min="3845" max="3845" width="54.6640625" style="59" customWidth="1"/>
    <col min="3846" max="3846" width="15.33203125" style="59" customWidth="1"/>
    <col min="3847" max="3848" width="19.33203125" style="59" customWidth="1"/>
    <col min="3849" max="3849" width="13.88671875" style="59" customWidth="1"/>
    <col min="3850" max="3850" width="25.33203125" style="59" customWidth="1"/>
    <col min="3851" max="3851" width="16.33203125" style="59" customWidth="1"/>
    <col min="3852" max="4096" width="9.33203125" style="59"/>
    <col min="4097" max="4097" width="15" style="59" customWidth="1"/>
    <col min="4098" max="4098" width="12.6640625" style="59" customWidth="1"/>
    <col min="4099" max="4099" width="11.6640625" style="59" customWidth="1"/>
    <col min="4100" max="4100" width="44.88671875" style="59" customWidth="1"/>
    <col min="4101" max="4101" width="54.6640625" style="59" customWidth="1"/>
    <col min="4102" max="4102" width="15.33203125" style="59" customWidth="1"/>
    <col min="4103" max="4104" width="19.33203125" style="59" customWidth="1"/>
    <col min="4105" max="4105" width="13.88671875" style="59" customWidth="1"/>
    <col min="4106" max="4106" width="25.33203125" style="59" customWidth="1"/>
    <col min="4107" max="4107" width="16.33203125" style="59" customWidth="1"/>
    <col min="4108" max="4352" width="9.33203125" style="59"/>
    <col min="4353" max="4353" width="15" style="59" customWidth="1"/>
    <col min="4354" max="4354" width="12.6640625" style="59" customWidth="1"/>
    <col min="4355" max="4355" width="11.6640625" style="59" customWidth="1"/>
    <col min="4356" max="4356" width="44.88671875" style="59" customWidth="1"/>
    <col min="4357" max="4357" width="54.6640625" style="59" customWidth="1"/>
    <col min="4358" max="4358" width="15.33203125" style="59" customWidth="1"/>
    <col min="4359" max="4360" width="19.33203125" style="59" customWidth="1"/>
    <col min="4361" max="4361" width="13.88671875" style="59" customWidth="1"/>
    <col min="4362" max="4362" width="25.33203125" style="59" customWidth="1"/>
    <col min="4363" max="4363" width="16.33203125" style="59" customWidth="1"/>
    <col min="4364" max="4608" width="9.33203125" style="59"/>
    <col min="4609" max="4609" width="15" style="59" customWidth="1"/>
    <col min="4610" max="4610" width="12.6640625" style="59" customWidth="1"/>
    <col min="4611" max="4611" width="11.6640625" style="59" customWidth="1"/>
    <col min="4612" max="4612" width="44.88671875" style="59" customWidth="1"/>
    <col min="4613" max="4613" width="54.6640625" style="59" customWidth="1"/>
    <col min="4614" max="4614" width="15.33203125" style="59" customWidth="1"/>
    <col min="4615" max="4616" width="19.33203125" style="59" customWidth="1"/>
    <col min="4617" max="4617" width="13.88671875" style="59" customWidth="1"/>
    <col min="4618" max="4618" width="25.33203125" style="59" customWidth="1"/>
    <col min="4619" max="4619" width="16.33203125" style="59" customWidth="1"/>
    <col min="4620" max="4864" width="9.33203125" style="59"/>
    <col min="4865" max="4865" width="15" style="59" customWidth="1"/>
    <col min="4866" max="4866" width="12.6640625" style="59" customWidth="1"/>
    <col min="4867" max="4867" width="11.6640625" style="59" customWidth="1"/>
    <col min="4868" max="4868" width="44.88671875" style="59" customWidth="1"/>
    <col min="4869" max="4869" width="54.6640625" style="59" customWidth="1"/>
    <col min="4870" max="4870" width="15.33203125" style="59" customWidth="1"/>
    <col min="4871" max="4872" width="19.33203125" style="59" customWidth="1"/>
    <col min="4873" max="4873" width="13.88671875" style="59" customWidth="1"/>
    <col min="4874" max="4874" width="25.33203125" style="59" customWidth="1"/>
    <col min="4875" max="4875" width="16.33203125" style="59" customWidth="1"/>
    <col min="4876" max="5120" width="9.33203125" style="59"/>
    <col min="5121" max="5121" width="15" style="59" customWidth="1"/>
    <col min="5122" max="5122" width="12.6640625" style="59" customWidth="1"/>
    <col min="5123" max="5123" width="11.6640625" style="59" customWidth="1"/>
    <col min="5124" max="5124" width="44.88671875" style="59" customWidth="1"/>
    <col min="5125" max="5125" width="54.6640625" style="59" customWidth="1"/>
    <col min="5126" max="5126" width="15.33203125" style="59" customWidth="1"/>
    <col min="5127" max="5128" width="19.33203125" style="59" customWidth="1"/>
    <col min="5129" max="5129" width="13.88671875" style="59" customWidth="1"/>
    <col min="5130" max="5130" width="25.33203125" style="59" customWidth="1"/>
    <col min="5131" max="5131" width="16.33203125" style="59" customWidth="1"/>
    <col min="5132" max="5376" width="9.33203125" style="59"/>
    <col min="5377" max="5377" width="15" style="59" customWidth="1"/>
    <col min="5378" max="5378" width="12.6640625" style="59" customWidth="1"/>
    <col min="5379" max="5379" width="11.6640625" style="59" customWidth="1"/>
    <col min="5380" max="5380" width="44.88671875" style="59" customWidth="1"/>
    <col min="5381" max="5381" width="54.6640625" style="59" customWidth="1"/>
    <col min="5382" max="5382" width="15.33203125" style="59" customWidth="1"/>
    <col min="5383" max="5384" width="19.33203125" style="59" customWidth="1"/>
    <col min="5385" max="5385" width="13.88671875" style="59" customWidth="1"/>
    <col min="5386" max="5386" width="25.33203125" style="59" customWidth="1"/>
    <col min="5387" max="5387" width="16.33203125" style="59" customWidth="1"/>
    <col min="5388" max="5632" width="9.33203125" style="59"/>
    <col min="5633" max="5633" width="15" style="59" customWidth="1"/>
    <col min="5634" max="5634" width="12.6640625" style="59" customWidth="1"/>
    <col min="5635" max="5635" width="11.6640625" style="59" customWidth="1"/>
    <col min="5636" max="5636" width="44.88671875" style="59" customWidth="1"/>
    <col min="5637" max="5637" width="54.6640625" style="59" customWidth="1"/>
    <col min="5638" max="5638" width="15.33203125" style="59" customWidth="1"/>
    <col min="5639" max="5640" width="19.33203125" style="59" customWidth="1"/>
    <col min="5641" max="5641" width="13.88671875" style="59" customWidth="1"/>
    <col min="5642" max="5642" width="25.33203125" style="59" customWidth="1"/>
    <col min="5643" max="5643" width="16.33203125" style="59" customWidth="1"/>
    <col min="5644" max="5888" width="9.33203125" style="59"/>
    <col min="5889" max="5889" width="15" style="59" customWidth="1"/>
    <col min="5890" max="5890" width="12.6640625" style="59" customWidth="1"/>
    <col min="5891" max="5891" width="11.6640625" style="59" customWidth="1"/>
    <col min="5892" max="5892" width="44.88671875" style="59" customWidth="1"/>
    <col min="5893" max="5893" width="54.6640625" style="59" customWidth="1"/>
    <col min="5894" max="5894" width="15.33203125" style="59" customWidth="1"/>
    <col min="5895" max="5896" width="19.33203125" style="59" customWidth="1"/>
    <col min="5897" max="5897" width="13.88671875" style="59" customWidth="1"/>
    <col min="5898" max="5898" width="25.33203125" style="59" customWidth="1"/>
    <col min="5899" max="5899" width="16.33203125" style="59" customWidth="1"/>
    <col min="5900" max="6144" width="9.33203125" style="59"/>
    <col min="6145" max="6145" width="15" style="59" customWidth="1"/>
    <col min="6146" max="6146" width="12.6640625" style="59" customWidth="1"/>
    <col min="6147" max="6147" width="11.6640625" style="59" customWidth="1"/>
    <col min="6148" max="6148" width="44.88671875" style="59" customWidth="1"/>
    <col min="6149" max="6149" width="54.6640625" style="59" customWidth="1"/>
    <col min="6150" max="6150" width="15.33203125" style="59" customWidth="1"/>
    <col min="6151" max="6152" width="19.33203125" style="59" customWidth="1"/>
    <col min="6153" max="6153" width="13.88671875" style="59" customWidth="1"/>
    <col min="6154" max="6154" width="25.33203125" style="59" customWidth="1"/>
    <col min="6155" max="6155" width="16.33203125" style="59" customWidth="1"/>
    <col min="6156" max="6400" width="9.33203125" style="59"/>
    <col min="6401" max="6401" width="15" style="59" customWidth="1"/>
    <col min="6402" max="6402" width="12.6640625" style="59" customWidth="1"/>
    <col min="6403" max="6403" width="11.6640625" style="59" customWidth="1"/>
    <col min="6404" max="6404" width="44.88671875" style="59" customWidth="1"/>
    <col min="6405" max="6405" width="54.6640625" style="59" customWidth="1"/>
    <col min="6406" max="6406" width="15.33203125" style="59" customWidth="1"/>
    <col min="6407" max="6408" width="19.33203125" style="59" customWidth="1"/>
    <col min="6409" max="6409" width="13.88671875" style="59" customWidth="1"/>
    <col min="6410" max="6410" width="25.33203125" style="59" customWidth="1"/>
    <col min="6411" max="6411" width="16.33203125" style="59" customWidth="1"/>
    <col min="6412" max="6656" width="9.33203125" style="59"/>
    <col min="6657" max="6657" width="15" style="59" customWidth="1"/>
    <col min="6658" max="6658" width="12.6640625" style="59" customWidth="1"/>
    <col min="6659" max="6659" width="11.6640625" style="59" customWidth="1"/>
    <col min="6660" max="6660" width="44.88671875" style="59" customWidth="1"/>
    <col min="6661" max="6661" width="54.6640625" style="59" customWidth="1"/>
    <col min="6662" max="6662" width="15.33203125" style="59" customWidth="1"/>
    <col min="6663" max="6664" width="19.33203125" style="59" customWidth="1"/>
    <col min="6665" max="6665" width="13.88671875" style="59" customWidth="1"/>
    <col min="6666" max="6666" width="25.33203125" style="59" customWidth="1"/>
    <col min="6667" max="6667" width="16.33203125" style="59" customWidth="1"/>
    <col min="6668" max="6912" width="9.33203125" style="59"/>
    <col min="6913" max="6913" width="15" style="59" customWidth="1"/>
    <col min="6914" max="6914" width="12.6640625" style="59" customWidth="1"/>
    <col min="6915" max="6915" width="11.6640625" style="59" customWidth="1"/>
    <col min="6916" max="6916" width="44.88671875" style="59" customWidth="1"/>
    <col min="6917" max="6917" width="54.6640625" style="59" customWidth="1"/>
    <col min="6918" max="6918" width="15.33203125" style="59" customWidth="1"/>
    <col min="6919" max="6920" width="19.33203125" style="59" customWidth="1"/>
    <col min="6921" max="6921" width="13.88671875" style="59" customWidth="1"/>
    <col min="6922" max="6922" width="25.33203125" style="59" customWidth="1"/>
    <col min="6923" max="6923" width="16.33203125" style="59" customWidth="1"/>
    <col min="6924" max="7168" width="9.33203125" style="59"/>
    <col min="7169" max="7169" width="15" style="59" customWidth="1"/>
    <col min="7170" max="7170" width="12.6640625" style="59" customWidth="1"/>
    <col min="7171" max="7171" width="11.6640625" style="59" customWidth="1"/>
    <col min="7172" max="7172" width="44.88671875" style="59" customWidth="1"/>
    <col min="7173" max="7173" width="54.6640625" style="59" customWidth="1"/>
    <col min="7174" max="7174" width="15.33203125" style="59" customWidth="1"/>
    <col min="7175" max="7176" width="19.33203125" style="59" customWidth="1"/>
    <col min="7177" max="7177" width="13.88671875" style="59" customWidth="1"/>
    <col min="7178" max="7178" width="25.33203125" style="59" customWidth="1"/>
    <col min="7179" max="7179" width="16.33203125" style="59" customWidth="1"/>
    <col min="7180" max="7424" width="9.33203125" style="59"/>
    <col min="7425" max="7425" width="15" style="59" customWidth="1"/>
    <col min="7426" max="7426" width="12.6640625" style="59" customWidth="1"/>
    <col min="7427" max="7427" width="11.6640625" style="59" customWidth="1"/>
    <col min="7428" max="7428" width="44.88671875" style="59" customWidth="1"/>
    <col min="7429" max="7429" width="54.6640625" style="59" customWidth="1"/>
    <col min="7430" max="7430" width="15.33203125" style="59" customWidth="1"/>
    <col min="7431" max="7432" width="19.33203125" style="59" customWidth="1"/>
    <col min="7433" max="7433" width="13.88671875" style="59" customWidth="1"/>
    <col min="7434" max="7434" width="25.33203125" style="59" customWidth="1"/>
    <col min="7435" max="7435" width="16.33203125" style="59" customWidth="1"/>
    <col min="7436" max="7680" width="9.33203125" style="59"/>
    <col min="7681" max="7681" width="15" style="59" customWidth="1"/>
    <col min="7682" max="7682" width="12.6640625" style="59" customWidth="1"/>
    <col min="7683" max="7683" width="11.6640625" style="59" customWidth="1"/>
    <col min="7684" max="7684" width="44.88671875" style="59" customWidth="1"/>
    <col min="7685" max="7685" width="54.6640625" style="59" customWidth="1"/>
    <col min="7686" max="7686" width="15.33203125" style="59" customWidth="1"/>
    <col min="7687" max="7688" width="19.33203125" style="59" customWidth="1"/>
    <col min="7689" max="7689" width="13.88671875" style="59" customWidth="1"/>
    <col min="7690" max="7690" width="25.33203125" style="59" customWidth="1"/>
    <col min="7691" max="7691" width="16.33203125" style="59" customWidth="1"/>
    <col min="7692" max="7936" width="9.33203125" style="59"/>
    <col min="7937" max="7937" width="15" style="59" customWidth="1"/>
    <col min="7938" max="7938" width="12.6640625" style="59" customWidth="1"/>
    <col min="7939" max="7939" width="11.6640625" style="59" customWidth="1"/>
    <col min="7940" max="7940" width="44.88671875" style="59" customWidth="1"/>
    <col min="7941" max="7941" width="54.6640625" style="59" customWidth="1"/>
    <col min="7942" max="7942" width="15.33203125" style="59" customWidth="1"/>
    <col min="7943" max="7944" width="19.33203125" style="59" customWidth="1"/>
    <col min="7945" max="7945" width="13.88671875" style="59" customWidth="1"/>
    <col min="7946" max="7946" width="25.33203125" style="59" customWidth="1"/>
    <col min="7947" max="7947" width="16.33203125" style="59" customWidth="1"/>
    <col min="7948" max="8192" width="9.33203125" style="59"/>
    <col min="8193" max="8193" width="15" style="59" customWidth="1"/>
    <col min="8194" max="8194" width="12.6640625" style="59" customWidth="1"/>
    <col min="8195" max="8195" width="11.6640625" style="59" customWidth="1"/>
    <col min="8196" max="8196" width="44.88671875" style="59" customWidth="1"/>
    <col min="8197" max="8197" width="54.6640625" style="59" customWidth="1"/>
    <col min="8198" max="8198" width="15.33203125" style="59" customWidth="1"/>
    <col min="8199" max="8200" width="19.33203125" style="59" customWidth="1"/>
    <col min="8201" max="8201" width="13.88671875" style="59" customWidth="1"/>
    <col min="8202" max="8202" width="25.33203125" style="59" customWidth="1"/>
    <col min="8203" max="8203" width="16.33203125" style="59" customWidth="1"/>
    <col min="8204" max="8448" width="9.33203125" style="59"/>
    <col min="8449" max="8449" width="15" style="59" customWidth="1"/>
    <col min="8450" max="8450" width="12.6640625" style="59" customWidth="1"/>
    <col min="8451" max="8451" width="11.6640625" style="59" customWidth="1"/>
    <col min="8452" max="8452" width="44.88671875" style="59" customWidth="1"/>
    <col min="8453" max="8453" width="54.6640625" style="59" customWidth="1"/>
    <col min="8454" max="8454" width="15.33203125" style="59" customWidth="1"/>
    <col min="8455" max="8456" width="19.33203125" style="59" customWidth="1"/>
    <col min="8457" max="8457" width="13.88671875" style="59" customWidth="1"/>
    <col min="8458" max="8458" width="25.33203125" style="59" customWidth="1"/>
    <col min="8459" max="8459" width="16.33203125" style="59" customWidth="1"/>
    <col min="8460" max="8704" width="9.33203125" style="59"/>
    <col min="8705" max="8705" width="15" style="59" customWidth="1"/>
    <col min="8706" max="8706" width="12.6640625" style="59" customWidth="1"/>
    <col min="8707" max="8707" width="11.6640625" style="59" customWidth="1"/>
    <col min="8708" max="8708" width="44.88671875" style="59" customWidth="1"/>
    <col min="8709" max="8709" width="54.6640625" style="59" customWidth="1"/>
    <col min="8710" max="8710" width="15.33203125" style="59" customWidth="1"/>
    <col min="8711" max="8712" width="19.33203125" style="59" customWidth="1"/>
    <col min="8713" max="8713" width="13.88671875" style="59" customWidth="1"/>
    <col min="8714" max="8714" width="25.33203125" style="59" customWidth="1"/>
    <col min="8715" max="8715" width="16.33203125" style="59" customWidth="1"/>
    <col min="8716" max="8960" width="9.33203125" style="59"/>
    <col min="8961" max="8961" width="15" style="59" customWidth="1"/>
    <col min="8962" max="8962" width="12.6640625" style="59" customWidth="1"/>
    <col min="8963" max="8963" width="11.6640625" style="59" customWidth="1"/>
    <col min="8964" max="8964" width="44.88671875" style="59" customWidth="1"/>
    <col min="8965" max="8965" width="54.6640625" style="59" customWidth="1"/>
    <col min="8966" max="8966" width="15.33203125" style="59" customWidth="1"/>
    <col min="8967" max="8968" width="19.33203125" style="59" customWidth="1"/>
    <col min="8969" max="8969" width="13.88671875" style="59" customWidth="1"/>
    <col min="8970" max="8970" width="25.33203125" style="59" customWidth="1"/>
    <col min="8971" max="8971" width="16.33203125" style="59" customWidth="1"/>
    <col min="8972" max="9216" width="9.33203125" style="59"/>
    <col min="9217" max="9217" width="15" style="59" customWidth="1"/>
    <col min="9218" max="9218" width="12.6640625" style="59" customWidth="1"/>
    <col min="9219" max="9219" width="11.6640625" style="59" customWidth="1"/>
    <col min="9220" max="9220" width="44.88671875" style="59" customWidth="1"/>
    <col min="9221" max="9221" width="54.6640625" style="59" customWidth="1"/>
    <col min="9222" max="9222" width="15.33203125" style="59" customWidth="1"/>
    <col min="9223" max="9224" width="19.33203125" style="59" customWidth="1"/>
    <col min="9225" max="9225" width="13.88671875" style="59" customWidth="1"/>
    <col min="9226" max="9226" width="25.33203125" style="59" customWidth="1"/>
    <col min="9227" max="9227" width="16.33203125" style="59" customWidth="1"/>
    <col min="9228" max="9472" width="9.33203125" style="59"/>
    <col min="9473" max="9473" width="15" style="59" customWidth="1"/>
    <col min="9474" max="9474" width="12.6640625" style="59" customWidth="1"/>
    <col min="9475" max="9475" width="11.6640625" style="59" customWidth="1"/>
    <col min="9476" max="9476" width="44.88671875" style="59" customWidth="1"/>
    <col min="9477" max="9477" width="54.6640625" style="59" customWidth="1"/>
    <col min="9478" max="9478" width="15.33203125" style="59" customWidth="1"/>
    <col min="9479" max="9480" width="19.33203125" style="59" customWidth="1"/>
    <col min="9481" max="9481" width="13.88671875" style="59" customWidth="1"/>
    <col min="9482" max="9482" width="25.33203125" style="59" customWidth="1"/>
    <col min="9483" max="9483" width="16.33203125" style="59" customWidth="1"/>
    <col min="9484" max="9728" width="9.33203125" style="59"/>
    <col min="9729" max="9729" width="15" style="59" customWidth="1"/>
    <col min="9730" max="9730" width="12.6640625" style="59" customWidth="1"/>
    <col min="9731" max="9731" width="11.6640625" style="59" customWidth="1"/>
    <col min="9732" max="9732" width="44.88671875" style="59" customWidth="1"/>
    <col min="9733" max="9733" width="54.6640625" style="59" customWidth="1"/>
    <col min="9734" max="9734" width="15.33203125" style="59" customWidth="1"/>
    <col min="9735" max="9736" width="19.33203125" style="59" customWidth="1"/>
    <col min="9737" max="9737" width="13.88671875" style="59" customWidth="1"/>
    <col min="9738" max="9738" width="25.33203125" style="59" customWidth="1"/>
    <col min="9739" max="9739" width="16.33203125" style="59" customWidth="1"/>
    <col min="9740" max="9984" width="9.33203125" style="59"/>
    <col min="9985" max="9985" width="15" style="59" customWidth="1"/>
    <col min="9986" max="9986" width="12.6640625" style="59" customWidth="1"/>
    <col min="9987" max="9987" width="11.6640625" style="59" customWidth="1"/>
    <col min="9988" max="9988" width="44.88671875" style="59" customWidth="1"/>
    <col min="9989" max="9989" width="54.6640625" style="59" customWidth="1"/>
    <col min="9990" max="9990" width="15.33203125" style="59" customWidth="1"/>
    <col min="9991" max="9992" width="19.33203125" style="59" customWidth="1"/>
    <col min="9993" max="9993" width="13.88671875" style="59" customWidth="1"/>
    <col min="9994" max="9994" width="25.33203125" style="59" customWidth="1"/>
    <col min="9995" max="9995" width="16.33203125" style="59" customWidth="1"/>
    <col min="9996" max="10240" width="9.33203125" style="59"/>
    <col min="10241" max="10241" width="15" style="59" customWidth="1"/>
    <col min="10242" max="10242" width="12.6640625" style="59" customWidth="1"/>
    <col min="10243" max="10243" width="11.6640625" style="59" customWidth="1"/>
    <col min="10244" max="10244" width="44.88671875" style="59" customWidth="1"/>
    <col min="10245" max="10245" width="54.6640625" style="59" customWidth="1"/>
    <col min="10246" max="10246" width="15.33203125" style="59" customWidth="1"/>
    <col min="10247" max="10248" width="19.33203125" style="59" customWidth="1"/>
    <col min="10249" max="10249" width="13.88671875" style="59" customWidth="1"/>
    <col min="10250" max="10250" width="25.33203125" style="59" customWidth="1"/>
    <col min="10251" max="10251" width="16.33203125" style="59" customWidth="1"/>
    <col min="10252" max="10496" width="9.33203125" style="59"/>
    <col min="10497" max="10497" width="15" style="59" customWidth="1"/>
    <col min="10498" max="10498" width="12.6640625" style="59" customWidth="1"/>
    <col min="10499" max="10499" width="11.6640625" style="59" customWidth="1"/>
    <col min="10500" max="10500" width="44.88671875" style="59" customWidth="1"/>
    <col min="10501" max="10501" width="54.6640625" style="59" customWidth="1"/>
    <col min="10502" max="10502" width="15.33203125" style="59" customWidth="1"/>
    <col min="10503" max="10504" width="19.33203125" style="59" customWidth="1"/>
    <col min="10505" max="10505" width="13.88671875" style="59" customWidth="1"/>
    <col min="10506" max="10506" width="25.33203125" style="59" customWidth="1"/>
    <col min="10507" max="10507" width="16.33203125" style="59" customWidth="1"/>
    <col min="10508" max="10752" width="9.33203125" style="59"/>
    <col min="10753" max="10753" width="15" style="59" customWidth="1"/>
    <col min="10754" max="10754" width="12.6640625" style="59" customWidth="1"/>
    <col min="10755" max="10755" width="11.6640625" style="59" customWidth="1"/>
    <col min="10756" max="10756" width="44.88671875" style="59" customWidth="1"/>
    <col min="10757" max="10757" width="54.6640625" style="59" customWidth="1"/>
    <col min="10758" max="10758" width="15.33203125" style="59" customWidth="1"/>
    <col min="10759" max="10760" width="19.33203125" style="59" customWidth="1"/>
    <col min="10761" max="10761" width="13.88671875" style="59" customWidth="1"/>
    <col min="10762" max="10762" width="25.33203125" style="59" customWidth="1"/>
    <col min="10763" max="10763" width="16.33203125" style="59" customWidth="1"/>
    <col min="10764" max="11008" width="9.33203125" style="59"/>
    <col min="11009" max="11009" width="15" style="59" customWidth="1"/>
    <col min="11010" max="11010" width="12.6640625" style="59" customWidth="1"/>
    <col min="11011" max="11011" width="11.6640625" style="59" customWidth="1"/>
    <col min="11012" max="11012" width="44.88671875" style="59" customWidth="1"/>
    <col min="11013" max="11013" width="54.6640625" style="59" customWidth="1"/>
    <col min="11014" max="11014" width="15.33203125" style="59" customWidth="1"/>
    <col min="11015" max="11016" width="19.33203125" style="59" customWidth="1"/>
    <col min="11017" max="11017" width="13.88671875" style="59" customWidth="1"/>
    <col min="11018" max="11018" width="25.33203125" style="59" customWidth="1"/>
    <col min="11019" max="11019" width="16.33203125" style="59" customWidth="1"/>
    <col min="11020" max="11264" width="9.33203125" style="59"/>
    <col min="11265" max="11265" width="15" style="59" customWidth="1"/>
    <col min="11266" max="11266" width="12.6640625" style="59" customWidth="1"/>
    <col min="11267" max="11267" width="11.6640625" style="59" customWidth="1"/>
    <col min="11268" max="11268" width="44.88671875" style="59" customWidth="1"/>
    <col min="11269" max="11269" width="54.6640625" style="59" customWidth="1"/>
    <col min="11270" max="11270" width="15.33203125" style="59" customWidth="1"/>
    <col min="11271" max="11272" width="19.33203125" style="59" customWidth="1"/>
    <col min="11273" max="11273" width="13.88671875" style="59" customWidth="1"/>
    <col min="11274" max="11274" width="25.33203125" style="59" customWidth="1"/>
    <col min="11275" max="11275" width="16.33203125" style="59" customWidth="1"/>
    <col min="11276" max="11520" width="9.33203125" style="59"/>
    <col min="11521" max="11521" width="15" style="59" customWidth="1"/>
    <col min="11522" max="11522" width="12.6640625" style="59" customWidth="1"/>
    <col min="11523" max="11523" width="11.6640625" style="59" customWidth="1"/>
    <col min="11524" max="11524" width="44.88671875" style="59" customWidth="1"/>
    <col min="11525" max="11525" width="54.6640625" style="59" customWidth="1"/>
    <col min="11526" max="11526" width="15.33203125" style="59" customWidth="1"/>
    <col min="11527" max="11528" width="19.33203125" style="59" customWidth="1"/>
    <col min="11529" max="11529" width="13.88671875" style="59" customWidth="1"/>
    <col min="11530" max="11530" width="25.33203125" style="59" customWidth="1"/>
    <col min="11531" max="11531" width="16.33203125" style="59" customWidth="1"/>
    <col min="11532" max="11776" width="9.33203125" style="59"/>
    <col min="11777" max="11777" width="15" style="59" customWidth="1"/>
    <col min="11778" max="11778" width="12.6640625" style="59" customWidth="1"/>
    <col min="11779" max="11779" width="11.6640625" style="59" customWidth="1"/>
    <col min="11780" max="11780" width="44.88671875" style="59" customWidth="1"/>
    <col min="11781" max="11781" width="54.6640625" style="59" customWidth="1"/>
    <col min="11782" max="11782" width="15.33203125" style="59" customWidth="1"/>
    <col min="11783" max="11784" width="19.33203125" style="59" customWidth="1"/>
    <col min="11785" max="11785" width="13.88671875" style="59" customWidth="1"/>
    <col min="11786" max="11786" width="25.33203125" style="59" customWidth="1"/>
    <col min="11787" max="11787" width="16.33203125" style="59" customWidth="1"/>
    <col min="11788" max="12032" width="9.33203125" style="59"/>
    <col min="12033" max="12033" width="15" style="59" customWidth="1"/>
    <col min="12034" max="12034" width="12.6640625" style="59" customWidth="1"/>
    <col min="12035" max="12035" width="11.6640625" style="59" customWidth="1"/>
    <col min="12036" max="12036" width="44.88671875" style="59" customWidth="1"/>
    <col min="12037" max="12037" width="54.6640625" style="59" customWidth="1"/>
    <col min="12038" max="12038" width="15.33203125" style="59" customWidth="1"/>
    <col min="12039" max="12040" width="19.33203125" style="59" customWidth="1"/>
    <col min="12041" max="12041" width="13.88671875" style="59" customWidth="1"/>
    <col min="12042" max="12042" width="25.33203125" style="59" customWidth="1"/>
    <col min="12043" max="12043" width="16.33203125" style="59" customWidth="1"/>
    <col min="12044" max="12288" width="9.33203125" style="59"/>
    <col min="12289" max="12289" width="15" style="59" customWidth="1"/>
    <col min="12290" max="12290" width="12.6640625" style="59" customWidth="1"/>
    <col min="12291" max="12291" width="11.6640625" style="59" customWidth="1"/>
    <col min="12292" max="12292" width="44.88671875" style="59" customWidth="1"/>
    <col min="12293" max="12293" width="54.6640625" style="59" customWidth="1"/>
    <col min="12294" max="12294" width="15.33203125" style="59" customWidth="1"/>
    <col min="12295" max="12296" width="19.33203125" style="59" customWidth="1"/>
    <col min="12297" max="12297" width="13.88671875" style="59" customWidth="1"/>
    <col min="12298" max="12298" width="25.33203125" style="59" customWidth="1"/>
    <col min="12299" max="12299" width="16.33203125" style="59" customWidth="1"/>
    <col min="12300" max="12544" width="9.33203125" style="59"/>
    <col min="12545" max="12545" width="15" style="59" customWidth="1"/>
    <col min="12546" max="12546" width="12.6640625" style="59" customWidth="1"/>
    <col min="12547" max="12547" width="11.6640625" style="59" customWidth="1"/>
    <col min="12548" max="12548" width="44.88671875" style="59" customWidth="1"/>
    <col min="12549" max="12549" width="54.6640625" style="59" customWidth="1"/>
    <col min="12550" max="12550" width="15.33203125" style="59" customWidth="1"/>
    <col min="12551" max="12552" width="19.33203125" style="59" customWidth="1"/>
    <col min="12553" max="12553" width="13.88671875" style="59" customWidth="1"/>
    <col min="12554" max="12554" width="25.33203125" style="59" customWidth="1"/>
    <col min="12555" max="12555" width="16.33203125" style="59" customWidth="1"/>
    <col min="12556" max="12800" width="9.33203125" style="59"/>
    <col min="12801" max="12801" width="15" style="59" customWidth="1"/>
    <col min="12802" max="12802" width="12.6640625" style="59" customWidth="1"/>
    <col min="12803" max="12803" width="11.6640625" style="59" customWidth="1"/>
    <col min="12804" max="12804" width="44.88671875" style="59" customWidth="1"/>
    <col min="12805" max="12805" width="54.6640625" style="59" customWidth="1"/>
    <col min="12806" max="12806" width="15.33203125" style="59" customWidth="1"/>
    <col min="12807" max="12808" width="19.33203125" style="59" customWidth="1"/>
    <col min="12809" max="12809" width="13.88671875" style="59" customWidth="1"/>
    <col min="12810" max="12810" width="25.33203125" style="59" customWidth="1"/>
    <col min="12811" max="12811" width="16.33203125" style="59" customWidth="1"/>
    <col min="12812" max="13056" width="9.33203125" style="59"/>
    <col min="13057" max="13057" width="15" style="59" customWidth="1"/>
    <col min="13058" max="13058" width="12.6640625" style="59" customWidth="1"/>
    <col min="13059" max="13059" width="11.6640625" style="59" customWidth="1"/>
    <col min="13060" max="13060" width="44.88671875" style="59" customWidth="1"/>
    <col min="13061" max="13061" width="54.6640625" style="59" customWidth="1"/>
    <col min="13062" max="13062" width="15.33203125" style="59" customWidth="1"/>
    <col min="13063" max="13064" width="19.33203125" style="59" customWidth="1"/>
    <col min="13065" max="13065" width="13.88671875" style="59" customWidth="1"/>
    <col min="13066" max="13066" width="25.33203125" style="59" customWidth="1"/>
    <col min="13067" max="13067" width="16.33203125" style="59" customWidth="1"/>
    <col min="13068" max="13312" width="9.33203125" style="59"/>
    <col min="13313" max="13313" width="15" style="59" customWidth="1"/>
    <col min="13314" max="13314" width="12.6640625" style="59" customWidth="1"/>
    <col min="13315" max="13315" width="11.6640625" style="59" customWidth="1"/>
    <col min="13316" max="13316" width="44.88671875" style="59" customWidth="1"/>
    <col min="13317" max="13317" width="54.6640625" style="59" customWidth="1"/>
    <col min="13318" max="13318" width="15.33203125" style="59" customWidth="1"/>
    <col min="13319" max="13320" width="19.33203125" style="59" customWidth="1"/>
    <col min="13321" max="13321" width="13.88671875" style="59" customWidth="1"/>
    <col min="13322" max="13322" width="25.33203125" style="59" customWidth="1"/>
    <col min="13323" max="13323" width="16.33203125" style="59" customWidth="1"/>
    <col min="13324" max="13568" width="9.33203125" style="59"/>
    <col min="13569" max="13569" width="15" style="59" customWidth="1"/>
    <col min="13570" max="13570" width="12.6640625" style="59" customWidth="1"/>
    <col min="13571" max="13571" width="11.6640625" style="59" customWidth="1"/>
    <col min="13572" max="13572" width="44.88671875" style="59" customWidth="1"/>
    <col min="13573" max="13573" width="54.6640625" style="59" customWidth="1"/>
    <col min="13574" max="13574" width="15.33203125" style="59" customWidth="1"/>
    <col min="13575" max="13576" width="19.33203125" style="59" customWidth="1"/>
    <col min="13577" max="13577" width="13.88671875" style="59" customWidth="1"/>
    <col min="13578" max="13578" width="25.33203125" style="59" customWidth="1"/>
    <col min="13579" max="13579" width="16.33203125" style="59" customWidth="1"/>
    <col min="13580" max="13824" width="9.33203125" style="59"/>
    <col min="13825" max="13825" width="15" style="59" customWidth="1"/>
    <col min="13826" max="13826" width="12.6640625" style="59" customWidth="1"/>
    <col min="13827" max="13827" width="11.6640625" style="59" customWidth="1"/>
    <col min="13828" max="13828" width="44.88671875" style="59" customWidth="1"/>
    <col min="13829" max="13829" width="54.6640625" style="59" customWidth="1"/>
    <col min="13830" max="13830" width="15.33203125" style="59" customWidth="1"/>
    <col min="13831" max="13832" width="19.33203125" style="59" customWidth="1"/>
    <col min="13833" max="13833" width="13.88671875" style="59" customWidth="1"/>
    <col min="13834" max="13834" width="25.33203125" style="59" customWidth="1"/>
    <col min="13835" max="13835" width="16.33203125" style="59" customWidth="1"/>
    <col min="13836" max="14080" width="9.33203125" style="59"/>
    <col min="14081" max="14081" width="15" style="59" customWidth="1"/>
    <col min="14082" max="14082" width="12.6640625" style="59" customWidth="1"/>
    <col min="14083" max="14083" width="11.6640625" style="59" customWidth="1"/>
    <col min="14084" max="14084" width="44.88671875" style="59" customWidth="1"/>
    <col min="14085" max="14085" width="54.6640625" style="59" customWidth="1"/>
    <col min="14086" max="14086" width="15.33203125" style="59" customWidth="1"/>
    <col min="14087" max="14088" width="19.33203125" style="59" customWidth="1"/>
    <col min="14089" max="14089" width="13.88671875" style="59" customWidth="1"/>
    <col min="14090" max="14090" width="25.33203125" style="59" customWidth="1"/>
    <col min="14091" max="14091" width="16.33203125" style="59" customWidth="1"/>
    <col min="14092" max="14336" width="9.33203125" style="59"/>
    <col min="14337" max="14337" width="15" style="59" customWidth="1"/>
    <col min="14338" max="14338" width="12.6640625" style="59" customWidth="1"/>
    <col min="14339" max="14339" width="11.6640625" style="59" customWidth="1"/>
    <col min="14340" max="14340" width="44.88671875" style="59" customWidth="1"/>
    <col min="14341" max="14341" width="54.6640625" style="59" customWidth="1"/>
    <col min="14342" max="14342" width="15.33203125" style="59" customWidth="1"/>
    <col min="14343" max="14344" width="19.33203125" style="59" customWidth="1"/>
    <col min="14345" max="14345" width="13.88671875" style="59" customWidth="1"/>
    <col min="14346" max="14346" width="25.33203125" style="59" customWidth="1"/>
    <col min="14347" max="14347" width="16.33203125" style="59" customWidth="1"/>
    <col min="14348" max="14592" width="9.33203125" style="59"/>
    <col min="14593" max="14593" width="15" style="59" customWidth="1"/>
    <col min="14594" max="14594" width="12.6640625" style="59" customWidth="1"/>
    <col min="14595" max="14595" width="11.6640625" style="59" customWidth="1"/>
    <col min="14596" max="14596" width="44.88671875" style="59" customWidth="1"/>
    <col min="14597" max="14597" width="54.6640625" style="59" customWidth="1"/>
    <col min="14598" max="14598" width="15.33203125" style="59" customWidth="1"/>
    <col min="14599" max="14600" width="19.33203125" style="59" customWidth="1"/>
    <col min="14601" max="14601" width="13.88671875" style="59" customWidth="1"/>
    <col min="14602" max="14602" width="25.33203125" style="59" customWidth="1"/>
    <col min="14603" max="14603" width="16.33203125" style="59" customWidth="1"/>
    <col min="14604" max="14848" width="9.33203125" style="59"/>
    <col min="14849" max="14849" width="15" style="59" customWidth="1"/>
    <col min="14850" max="14850" width="12.6640625" style="59" customWidth="1"/>
    <col min="14851" max="14851" width="11.6640625" style="59" customWidth="1"/>
    <col min="14852" max="14852" width="44.88671875" style="59" customWidth="1"/>
    <col min="14853" max="14853" width="54.6640625" style="59" customWidth="1"/>
    <col min="14854" max="14854" width="15.33203125" style="59" customWidth="1"/>
    <col min="14855" max="14856" width="19.33203125" style="59" customWidth="1"/>
    <col min="14857" max="14857" width="13.88671875" style="59" customWidth="1"/>
    <col min="14858" max="14858" width="25.33203125" style="59" customWidth="1"/>
    <col min="14859" max="14859" width="16.33203125" style="59" customWidth="1"/>
    <col min="14860" max="15104" width="9.33203125" style="59"/>
    <col min="15105" max="15105" width="15" style="59" customWidth="1"/>
    <col min="15106" max="15106" width="12.6640625" style="59" customWidth="1"/>
    <col min="15107" max="15107" width="11.6640625" style="59" customWidth="1"/>
    <col min="15108" max="15108" width="44.88671875" style="59" customWidth="1"/>
    <col min="15109" max="15109" width="54.6640625" style="59" customWidth="1"/>
    <col min="15110" max="15110" width="15.33203125" style="59" customWidth="1"/>
    <col min="15111" max="15112" width="19.33203125" style="59" customWidth="1"/>
    <col min="15113" max="15113" width="13.88671875" style="59" customWidth="1"/>
    <col min="15114" max="15114" width="25.33203125" style="59" customWidth="1"/>
    <col min="15115" max="15115" width="16.33203125" style="59" customWidth="1"/>
    <col min="15116" max="15360" width="9.33203125" style="59"/>
    <col min="15361" max="15361" width="15" style="59" customWidth="1"/>
    <col min="15362" max="15362" width="12.6640625" style="59" customWidth="1"/>
    <col min="15363" max="15363" width="11.6640625" style="59" customWidth="1"/>
    <col min="15364" max="15364" width="44.88671875" style="59" customWidth="1"/>
    <col min="15365" max="15365" width="54.6640625" style="59" customWidth="1"/>
    <col min="15366" max="15366" width="15.33203125" style="59" customWidth="1"/>
    <col min="15367" max="15368" width="19.33203125" style="59" customWidth="1"/>
    <col min="15369" max="15369" width="13.88671875" style="59" customWidth="1"/>
    <col min="15370" max="15370" width="25.33203125" style="59" customWidth="1"/>
    <col min="15371" max="15371" width="16.33203125" style="59" customWidth="1"/>
    <col min="15372" max="15616" width="9.33203125" style="59"/>
    <col min="15617" max="15617" width="15" style="59" customWidth="1"/>
    <col min="15618" max="15618" width="12.6640625" style="59" customWidth="1"/>
    <col min="15619" max="15619" width="11.6640625" style="59" customWidth="1"/>
    <col min="15620" max="15620" width="44.88671875" style="59" customWidth="1"/>
    <col min="15621" max="15621" width="54.6640625" style="59" customWidth="1"/>
    <col min="15622" max="15622" width="15.33203125" style="59" customWidth="1"/>
    <col min="15623" max="15624" width="19.33203125" style="59" customWidth="1"/>
    <col min="15625" max="15625" width="13.88671875" style="59" customWidth="1"/>
    <col min="15626" max="15626" width="25.33203125" style="59" customWidth="1"/>
    <col min="15627" max="15627" width="16.33203125" style="59" customWidth="1"/>
    <col min="15628" max="15872" width="9.33203125" style="59"/>
    <col min="15873" max="15873" width="15" style="59" customWidth="1"/>
    <col min="15874" max="15874" width="12.6640625" style="59" customWidth="1"/>
    <col min="15875" max="15875" width="11.6640625" style="59" customWidth="1"/>
    <col min="15876" max="15876" width="44.88671875" style="59" customWidth="1"/>
    <col min="15877" max="15877" width="54.6640625" style="59" customWidth="1"/>
    <col min="15878" max="15878" width="15.33203125" style="59" customWidth="1"/>
    <col min="15879" max="15880" width="19.33203125" style="59" customWidth="1"/>
    <col min="15881" max="15881" width="13.88671875" style="59" customWidth="1"/>
    <col min="15882" max="15882" width="25.33203125" style="59" customWidth="1"/>
    <col min="15883" max="15883" width="16.33203125" style="59" customWidth="1"/>
    <col min="15884" max="16128" width="9.33203125" style="59"/>
    <col min="16129" max="16129" width="15" style="59" customWidth="1"/>
    <col min="16130" max="16130" width="12.6640625" style="59" customWidth="1"/>
    <col min="16131" max="16131" width="11.6640625" style="59" customWidth="1"/>
    <col min="16132" max="16132" width="44.88671875" style="59" customWidth="1"/>
    <col min="16133" max="16133" width="54.6640625" style="59" customWidth="1"/>
    <col min="16134" max="16134" width="15.33203125" style="59" customWidth="1"/>
    <col min="16135" max="16136" width="19.33203125" style="59" customWidth="1"/>
    <col min="16137" max="16137" width="13.88671875" style="59" customWidth="1"/>
    <col min="16138" max="16138" width="25.33203125" style="59" customWidth="1"/>
    <col min="16139" max="16139" width="16.33203125" style="59" customWidth="1"/>
    <col min="16140" max="16384" width="9.33203125" style="59"/>
  </cols>
  <sheetData>
    <row r="2" spans="1:12" ht="15.6" x14ac:dyDescent="0.25">
      <c r="I2" s="3" t="s">
        <v>739</v>
      </c>
      <c r="J2" s="4"/>
    </row>
    <row r="3" spans="1:12" ht="15.6" x14ac:dyDescent="0.25">
      <c r="I3" s="3" t="s">
        <v>657</v>
      </c>
      <c r="J3" s="4"/>
    </row>
    <row r="4" spans="1:12" ht="15.6" x14ac:dyDescent="0.3">
      <c r="I4" s="6" t="s">
        <v>736</v>
      </c>
      <c r="J4" s="6"/>
    </row>
    <row r="5" spans="1:12" ht="15.6" x14ac:dyDescent="0.3">
      <c r="I5" s="1074" t="s">
        <v>737</v>
      </c>
      <c r="J5" s="1074"/>
    </row>
    <row r="6" spans="1:12" ht="15.6" x14ac:dyDescent="0.25">
      <c r="I6" s="1073" t="s">
        <v>660</v>
      </c>
      <c r="J6" s="1073"/>
    </row>
    <row r="8" spans="1:12" s="64" customFormat="1" ht="15.6" x14ac:dyDescent="0.3">
      <c r="A8" s="59"/>
      <c r="B8" s="60"/>
      <c r="C8" s="61"/>
      <c r="D8" s="62"/>
      <c r="E8" s="63"/>
      <c r="F8" s="61"/>
      <c r="G8" s="63"/>
      <c r="H8" s="63"/>
      <c r="I8" s="63"/>
      <c r="K8" s="66"/>
    </row>
    <row r="9" spans="1:12" ht="27" customHeight="1" x14ac:dyDescent="0.25">
      <c r="A9" s="1224" t="s">
        <v>661</v>
      </c>
      <c r="B9" s="1224"/>
      <c r="C9" s="1224"/>
      <c r="D9" s="1224"/>
      <c r="E9" s="1224"/>
      <c r="F9" s="1224"/>
      <c r="G9" s="1224"/>
      <c r="H9" s="1224"/>
      <c r="I9" s="1224"/>
      <c r="J9" s="1224"/>
      <c r="K9" s="1224"/>
    </row>
    <row r="10" spans="1:12" ht="28.35" customHeight="1" x14ac:dyDescent="0.25">
      <c r="A10" s="1190">
        <v>1559100000</v>
      </c>
      <c r="B10" s="1190"/>
      <c r="C10" s="1190"/>
      <c r="D10" s="1225"/>
      <c r="E10" s="1225"/>
      <c r="F10" s="1225"/>
      <c r="G10" s="1225"/>
      <c r="H10" s="1225"/>
      <c r="I10" s="1225"/>
      <c r="J10" s="1225"/>
      <c r="K10" s="1225"/>
    </row>
    <row r="11" spans="1:12" ht="22.2" customHeight="1" thickBot="1" x14ac:dyDescent="0.3">
      <c r="A11" s="1191" t="s">
        <v>0</v>
      </c>
      <c r="B11" s="1191"/>
      <c r="C11" s="1191"/>
      <c r="D11" s="542"/>
      <c r="E11" s="542"/>
      <c r="F11" s="67"/>
      <c r="G11" s="542"/>
      <c r="H11" s="542"/>
      <c r="I11" s="542"/>
      <c r="J11" s="542"/>
      <c r="K11" s="68" t="s">
        <v>268</v>
      </c>
    </row>
    <row r="12" spans="1:12" s="64" customFormat="1" ht="77.25" customHeight="1" x14ac:dyDescent="0.3">
      <c r="A12" s="1226" t="s">
        <v>8</v>
      </c>
      <c r="B12" s="1228" t="s">
        <v>9</v>
      </c>
      <c r="C12" s="1228" t="s">
        <v>269</v>
      </c>
      <c r="D12" s="1228" t="s">
        <v>270</v>
      </c>
      <c r="E12" s="1228" t="s">
        <v>271</v>
      </c>
      <c r="F12" s="1228" t="s">
        <v>662</v>
      </c>
      <c r="G12" s="1228" t="s">
        <v>272</v>
      </c>
      <c r="H12" s="1230" t="s">
        <v>273</v>
      </c>
      <c r="I12" s="1228" t="s">
        <v>274</v>
      </c>
      <c r="J12" s="1230" t="s">
        <v>275</v>
      </c>
      <c r="K12" s="1230" t="s">
        <v>640</v>
      </c>
      <c r="L12" s="1217" t="s">
        <v>276</v>
      </c>
    </row>
    <row r="13" spans="1:12" s="64" customFormat="1" ht="80.25" customHeight="1" thickBot="1" x14ac:dyDescent="0.35">
      <c r="A13" s="1227"/>
      <c r="B13" s="1229"/>
      <c r="C13" s="1229"/>
      <c r="D13" s="1229"/>
      <c r="E13" s="1229"/>
      <c r="F13" s="1229"/>
      <c r="G13" s="1229"/>
      <c r="H13" s="1231"/>
      <c r="I13" s="1229"/>
      <c r="J13" s="1231"/>
      <c r="K13" s="1231"/>
      <c r="L13" s="1218"/>
    </row>
    <row r="14" spans="1:12" s="69" customFormat="1" ht="12.75" customHeight="1" thickBot="1" x14ac:dyDescent="0.35">
      <c r="A14" s="138" t="s">
        <v>277</v>
      </c>
      <c r="B14" s="139" t="s">
        <v>278</v>
      </c>
      <c r="C14" s="139" t="s">
        <v>279</v>
      </c>
      <c r="D14" s="139" t="s">
        <v>452</v>
      </c>
      <c r="E14" s="139" t="s">
        <v>280</v>
      </c>
      <c r="F14" s="139" t="s">
        <v>281</v>
      </c>
      <c r="G14" s="139" t="s">
        <v>282</v>
      </c>
      <c r="H14" s="139" t="s">
        <v>283</v>
      </c>
      <c r="I14" s="139" t="s">
        <v>284</v>
      </c>
      <c r="J14" s="1014">
        <v>10</v>
      </c>
      <c r="K14" s="1014">
        <v>11</v>
      </c>
      <c r="L14" s="1015">
        <v>12</v>
      </c>
    </row>
    <row r="15" spans="1:12" s="69" customFormat="1" ht="58.8" customHeight="1" thickBot="1" x14ac:dyDescent="0.35">
      <c r="A15" s="226" t="s">
        <v>13</v>
      </c>
      <c r="B15" s="227"/>
      <c r="C15" s="227"/>
      <c r="D15" s="228" t="s">
        <v>663</v>
      </c>
      <c r="E15" s="840"/>
      <c r="F15" s="841"/>
      <c r="G15" s="842"/>
      <c r="H15" s="842"/>
      <c r="I15" s="842"/>
      <c r="J15" s="843">
        <f>J16</f>
        <v>59189664</v>
      </c>
      <c r="K15" s="843">
        <f>K16</f>
        <v>51268443.280000001</v>
      </c>
      <c r="L15" s="844"/>
    </row>
    <row r="16" spans="1:12" s="69" customFormat="1" ht="57" customHeight="1" thickBot="1" x14ac:dyDescent="0.35">
      <c r="A16" s="232" t="s">
        <v>16</v>
      </c>
      <c r="B16" s="233"/>
      <c r="C16" s="233"/>
      <c r="D16" s="234" t="s">
        <v>663</v>
      </c>
      <c r="E16" s="840"/>
      <c r="F16" s="841"/>
      <c r="G16" s="845"/>
      <c r="H16" s="845"/>
      <c r="I16" s="845"/>
      <c r="J16" s="846">
        <f>SUM(J17:J24)</f>
        <v>59189664</v>
      </c>
      <c r="K16" s="263">
        <f>K17+K18+K19+K20+K21+K22+K23+K24</f>
        <v>51268443.280000001</v>
      </c>
      <c r="L16" s="847"/>
    </row>
    <row r="17" spans="1:12" s="69" customFormat="1" ht="98.25" customHeight="1" x14ac:dyDescent="0.3">
      <c r="A17" s="848" t="s">
        <v>166</v>
      </c>
      <c r="B17" s="241" t="s">
        <v>167</v>
      </c>
      <c r="C17" s="241" t="s">
        <v>17</v>
      </c>
      <c r="D17" s="831" t="s">
        <v>168</v>
      </c>
      <c r="E17" s="849" t="s">
        <v>286</v>
      </c>
      <c r="F17" s="681"/>
      <c r="G17" s="272"/>
      <c r="H17" s="272"/>
      <c r="I17" s="272"/>
      <c r="J17" s="850">
        <f>338000</f>
        <v>338000</v>
      </c>
      <c r="K17" s="258">
        <v>218309</v>
      </c>
      <c r="L17" s="851"/>
    </row>
    <row r="18" spans="1:12" s="69" customFormat="1" ht="40.5" customHeight="1" x14ac:dyDescent="0.3">
      <c r="A18" s="242" t="s">
        <v>18</v>
      </c>
      <c r="B18" s="852" t="s">
        <v>19</v>
      </c>
      <c r="C18" s="852" t="s">
        <v>20</v>
      </c>
      <c r="D18" s="822" t="s">
        <v>21</v>
      </c>
      <c r="E18" s="853" t="s">
        <v>612</v>
      </c>
      <c r="F18" s="626"/>
      <c r="G18" s="255"/>
      <c r="H18" s="255"/>
      <c r="I18" s="255"/>
      <c r="J18" s="854">
        <v>2173600</v>
      </c>
      <c r="K18" s="254">
        <v>2152033.9300000002</v>
      </c>
      <c r="L18" s="855"/>
    </row>
    <row r="19" spans="1:12" s="69" customFormat="1" ht="58.5" customHeight="1" x14ac:dyDescent="0.3">
      <c r="A19" s="856" t="s">
        <v>22</v>
      </c>
      <c r="B19" s="749" t="s">
        <v>23</v>
      </c>
      <c r="C19" s="749" t="s">
        <v>24</v>
      </c>
      <c r="D19" s="823" t="s">
        <v>25</v>
      </c>
      <c r="E19" s="853" t="s">
        <v>286</v>
      </c>
      <c r="F19" s="626"/>
      <c r="G19" s="255"/>
      <c r="H19" s="255"/>
      <c r="I19" s="255"/>
      <c r="J19" s="854">
        <v>372400</v>
      </c>
      <c r="K19" s="254">
        <v>372377</v>
      </c>
      <c r="L19" s="855"/>
    </row>
    <row r="20" spans="1:12" s="69" customFormat="1" ht="42" customHeight="1" x14ac:dyDescent="0.3">
      <c r="A20" s="857" t="s">
        <v>29</v>
      </c>
      <c r="B20" s="858" t="s">
        <v>30</v>
      </c>
      <c r="C20" s="858" t="s">
        <v>31</v>
      </c>
      <c r="D20" s="823" t="s">
        <v>518</v>
      </c>
      <c r="E20" s="853" t="s">
        <v>286</v>
      </c>
      <c r="F20" s="626"/>
      <c r="G20" s="255"/>
      <c r="H20" s="255"/>
      <c r="I20" s="255"/>
      <c r="J20" s="854">
        <v>53364</v>
      </c>
      <c r="K20" s="254">
        <v>53364</v>
      </c>
      <c r="L20" s="855"/>
    </row>
    <row r="21" spans="1:12" s="69" customFormat="1" ht="42" customHeight="1" x14ac:dyDescent="0.3">
      <c r="A21" s="857" t="s">
        <v>247</v>
      </c>
      <c r="B21" s="858">
        <v>7650</v>
      </c>
      <c r="C21" s="858" t="s">
        <v>171</v>
      </c>
      <c r="D21" s="823" t="s">
        <v>248</v>
      </c>
      <c r="E21" s="853" t="s">
        <v>287</v>
      </c>
      <c r="F21" s="626"/>
      <c r="G21" s="255"/>
      <c r="H21" s="255"/>
      <c r="I21" s="255"/>
      <c r="J21" s="854">
        <v>57000</v>
      </c>
      <c r="K21" s="254">
        <v>19217</v>
      </c>
      <c r="L21" s="855"/>
    </row>
    <row r="22" spans="1:12" s="69" customFormat="1" ht="93.75" customHeight="1" x14ac:dyDescent="0.3">
      <c r="A22" s="857" t="s">
        <v>249</v>
      </c>
      <c r="B22" s="858" t="s">
        <v>250</v>
      </c>
      <c r="C22" s="858" t="s">
        <v>171</v>
      </c>
      <c r="D22" s="823" t="s">
        <v>251</v>
      </c>
      <c r="E22" s="853" t="s">
        <v>287</v>
      </c>
      <c r="F22" s="626"/>
      <c r="G22" s="255"/>
      <c r="H22" s="255"/>
      <c r="I22" s="255"/>
      <c r="J22" s="854">
        <v>16900</v>
      </c>
      <c r="K22" s="254"/>
      <c r="L22" s="855"/>
    </row>
    <row r="23" spans="1:12" s="69" customFormat="1" ht="41.25" customHeight="1" x14ac:dyDescent="0.3">
      <c r="A23" s="857" t="s">
        <v>155</v>
      </c>
      <c r="B23" s="858" t="s">
        <v>173</v>
      </c>
      <c r="C23" s="858" t="s">
        <v>35</v>
      </c>
      <c r="D23" s="822" t="s">
        <v>156</v>
      </c>
      <c r="E23" s="853" t="s">
        <v>612</v>
      </c>
      <c r="F23" s="626"/>
      <c r="G23" s="255"/>
      <c r="H23" s="255"/>
      <c r="I23" s="255"/>
      <c r="J23" s="854">
        <v>900000</v>
      </c>
      <c r="K23" s="254">
        <v>900000</v>
      </c>
      <c r="L23" s="855"/>
    </row>
    <row r="24" spans="1:12" s="69" customFormat="1" ht="60" customHeight="1" thickBot="1" x14ac:dyDescent="0.35">
      <c r="A24" s="859" t="s">
        <v>503</v>
      </c>
      <c r="B24" s="860" t="s">
        <v>519</v>
      </c>
      <c r="C24" s="860" t="s">
        <v>219</v>
      </c>
      <c r="D24" s="830" t="s">
        <v>504</v>
      </c>
      <c r="E24" s="861" t="s">
        <v>520</v>
      </c>
      <c r="F24" s="661"/>
      <c r="G24" s="508"/>
      <c r="H24" s="508"/>
      <c r="I24" s="508"/>
      <c r="J24" s="862">
        <f>0+1000000+150000+2937000+26000+310400+1500000+4000000+3000000+5000000+1300000+4572000+4000000-4000000+5000000+3000000+1000000+2500000+900000+1000000+3000000+5000000+1083000+9000000</f>
        <v>55278400</v>
      </c>
      <c r="K24" s="264">
        <v>47553142.350000001</v>
      </c>
      <c r="L24" s="863"/>
    </row>
    <row r="25" spans="1:12" s="69" customFormat="1" ht="54" customHeight="1" thickBot="1" x14ac:dyDescent="0.35">
      <c r="A25" s="864" t="s">
        <v>41</v>
      </c>
      <c r="B25" s="865"/>
      <c r="C25" s="865"/>
      <c r="D25" s="750" t="s">
        <v>664</v>
      </c>
      <c r="E25" s="866"/>
      <c r="F25" s="259"/>
      <c r="G25" s="271"/>
      <c r="H25" s="271"/>
      <c r="I25" s="271"/>
      <c r="J25" s="867">
        <f>J26</f>
        <v>1537216</v>
      </c>
      <c r="K25" s="867">
        <f>K26</f>
        <v>1466458</v>
      </c>
      <c r="L25" s="868"/>
    </row>
    <row r="26" spans="1:12" s="69" customFormat="1" ht="43.5" customHeight="1" thickBot="1" x14ac:dyDescent="0.35">
      <c r="A26" s="869" t="s">
        <v>43</v>
      </c>
      <c r="B26" s="870" t="s">
        <v>14</v>
      </c>
      <c r="C26" s="870" t="s">
        <v>14</v>
      </c>
      <c r="D26" s="832" t="s">
        <v>664</v>
      </c>
      <c r="E26" s="866"/>
      <c r="F26" s="259"/>
      <c r="G26" s="271"/>
      <c r="H26" s="271"/>
      <c r="I26" s="271"/>
      <c r="J26" s="846">
        <f>J27+J28</f>
        <v>1537216</v>
      </c>
      <c r="K26" s="846">
        <f>K27+K28</f>
        <v>1466458</v>
      </c>
      <c r="L26" s="868"/>
    </row>
    <row r="27" spans="1:12" s="69" customFormat="1" ht="43.5" customHeight="1" x14ac:dyDescent="0.3">
      <c r="A27" s="871" t="s">
        <v>45</v>
      </c>
      <c r="B27" s="872" t="s">
        <v>46</v>
      </c>
      <c r="C27" s="872" t="s">
        <v>47</v>
      </c>
      <c r="D27" s="831" t="s">
        <v>48</v>
      </c>
      <c r="E27" s="849" t="s">
        <v>286</v>
      </c>
      <c r="F27" s="873"/>
      <c r="G27" s="874"/>
      <c r="H27" s="874"/>
      <c r="I27" s="874"/>
      <c r="J27" s="850">
        <v>499750</v>
      </c>
      <c r="K27" s="875">
        <v>460000</v>
      </c>
      <c r="L27" s="876"/>
    </row>
    <row r="28" spans="1:12" s="69" customFormat="1" ht="97.5" customHeight="1" thickBot="1" x14ac:dyDescent="0.35">
      <c r="A28" s="859" t="s">
        <v>646</v>
      </c>
      <c r="B28" s="860" t="s">
        <v>653</v>
      </c>
      <c r="C28" s="860" t="s">
        <v>57</v>
      </c>
      <c r="D28" s="833" t="s">
        <v>647</v>
      </c>
      <c r="E28" s="861" t="s">
        <v>286</v>
      </c>
      <c r="F28" s="661"/>
      <c r="G28" s="508"/>
      <c r="H28" s="508"/>
      <c r="I28" s="508"/>
      <c r="J28" s="862">
        <f>1049568-12102</f>
        <v>1037466</v>
      </c>
      <c r="K28" s="877">
        <v>1006458</v>
      </c>
      <c r="L28" s="863"/>
    </row>
    <row r="29" spans="1:12" s="69" customFormat="1" ht="60" customHeight="1" thickBot="1" x14ac:dyDescent="0.35">
      <c r="A29" s="878" t="s">
        <v>68</v>
      </c>
      <c r="B29" s="879" t="s">
        <v>14</v>
      </c>
      <c r="C29" s="879" t="s">
        <v>14</v>
      </c>
      <c r="D29" s="750" t="s">
        <v>69</v>
      </c>
      <c r="E29" s="880"/>
      <c r="F29" s="680"/>
      <c r="G29" s="604"/>
      <c r="H29" s="604"/>
      <c r="I29" s="604"/>
      <c r="J29" s="867">
        <f>J30</f>
        <v>3834633</v>
      </c>
      <c r="K29" s="867">
        <f>K30</f>
        <v>3801270.28</v>
      </c>
      <c r="L29" s="881"/>
    </row>
    <row r="30" spans="1:12" s="69" customFormat="1" ht="54.6" thickBot="1" x14ac:dyDescent="0.35">
      <c r="A30" s="882" t="s">
        <v>70</v>
      </c>
      <c r="B30" s="870" t="s">
        <v>14</v>
      </c>
      <c r="C30" s="870" t="s">
        <v>14</v>
      </c>
      <c r="D30" s="835" t="s">
        <v>69</v>
      </c>
      <c r="E30" s="880"/>
      <c r="F30" s="680"/>
      <c r="G30" s="604"/>
      <c r="H30" s="604"/>
      <c r="I30" s="604"/>
      <c r="J30" s="846">
        <f>J31+J32+J33</f>
        <v>3834633</v>
      </c>
      <c r="K30" s="846">
        <f>K31+K32+K33</f>
        <v>3801270.28</v>
      </c>
      <c r="L30" s="881"/>
    </row>
    <row r="31" spans="1:12" s="69" customFormat="1" ht="55.5" customHeight="1" x14ac:dyDescent="0.3">
      <c r="A31" s="883" t="s">
        <v>181</v>
      </c>
      <c r="B31" s="806" t="s">
        <v>44</v>
      </c>
      <c r="C31" s="806" t="s">
        <v>17</v>
      </c>
      <c r="D31" s="834" t="s">
        <v>175</v>
      </c>
      <c r="E31" s="849" t="s">
        <v>286</v>
      </c>
      <c r="F31" s="681"/>
      <c r="G31" s="272"/>
      <c r="H31" s="272"/>
      <c r="I31" s="272"/>
      <c r="J31" s="850">
        <v>46000</v>
      </c>
      <c r="K31" s="258">
        <v>46000</v>
      </c>
      <c r="L31" s="851"/>
    </row>
    <row r="32" spans="1:12" s="69" customFormat="1" ht="42" customHeight="1" x14ac:dyDescent="0.3">
      <c r="A32" s="856" t="s">
        <v>182</v>
      </c>
      <c r="B32" s="749" t="s">
        <v>183</v>
      </c>
      <c r="C32" s="749" t="s">
        <v>46</v>
      </c>
      <c r="D32" s="823" t="s">
        <v>184</v>
      </c>
      <c r="E32" s="853" t="s">
        <v>286</v>
      </c>
      <c r="F32" s="626"/>
      <c r="G32" s="255"/>
      <c r="H32" s="255"/>
      <c r="I32" s="255"/>
      <c r="J32" s="854">
        <v>80500</v>
      </c>
      <c r="K32" s="254">
        <v>72869</v>
      </c>
      <c r="L32" s="855"/>
    </row>
    <row r="33" spans="1:12" s="69" customFormat="1" ht="369" customHeight="1" thickBot="1" x14ac:dyDescent="0.35">
      <c r="A33" s="944" t="s">
        <v>613</v>
      </c>
      <c r="B33" s="945" t="s">
        <v>607</v>
      </c>
      <c r="C33" s="945" t="s">
        <v>609</v>
      </c>
      <c r="D33" s="946" t="s">
        <v>614</v>
      </c>
      <c r="E33" s="512" t="s">
        <v>615</v>
      </c>
      <c r="F33" s="661"/>
      <c r="G33" s="508"/>
      <c r="H33" s="508"/>
      <c r="I33" s="508"/>
      <c r="J33" s="862">
        <f>2164782+1543351</f>
        <v>3708133</v>
      </c>
      <c r="K33" s="264">
        <v>3682401.28</v>
      </c>
      <c r="L33" s="863"/>
    </row>
    <row r="34" spans="1:12" s="69" customFormat="1" ht="77.25" customHeight="1" thickBot="1" x14ac:dyDescent="0.35">
      <c r="A34" s="878" t="s">
        <v>88</v>
      </c>
      <c r="B34" s="879" t="s">
        <v>14</v>
      </c>
      <c r="C34" s="879" t="s">
        <v>14</v>
      </c>
      <c r="D34" s="953" t="s">
        <v>89</v>
      </c>
      <c r="E34" s="880"/>
      <c r="F34" s="680"/>
      <c r="G34" s="604"/>
      <c r="H34" s="604"/>
      <c r="I34" s="604"/>
      <c r="J34" s="867">
        <f>J35</f>
        <v>1884997</v>
      </c>
      <c r="K34" s="867">
        <f>K35</f>
        <v>1833502</v>
      </c>
      <c r="L34" s="881"/>
    </row>
    <row r="35" spans="1:12" s="69" customFormat="1" ht="54.6" thickBot="1" x14ac:dyDescent="0.35">
      <c r="A35" s="882" t="s">
        <v>90</v>
      </c>
      <c r="B35" s="870" t="s">
        <v>14</v>
      </c>
      <c r="C35" s="870" t="s">
        <v>14</v>
      </c>
      <c r="D35" s="835" t="s">
        <v>89</v>
      </c>
      <c r="E35" s="951"/>
      <c r="F35" s="261"/>
      <c r="G35" s="236"/>
      <c r="H35" s="236"/>
      <c r="I35" s="236"/>
      <c r="J35" s="846">
        <f>J36+J37+J38+J39+J40+J41</f>
        <v>1884997</v>
      </c>
      <c r="K35" s="846">
        <f>K36+K37+K38+K39+K40+K41</f>
        <v>1833502</v>
      </c>
      <c r="L35" s="952"/>
    </row>
    <row r="36" spans="1:12" s="69" customFormat="1" ht="39" customHeight="1" x14ac:dyDescent="0.3">
      <c r="A36" s="883" t="s">
        <v>91</v>
      </c>
      <c r="B36" s="806" t="s">
        <v>92</v>
      </c>
      <c r="C36" s="806" t="s">
        <v>55</v>
      </c>
      <c r="D36" s="950" t="s">
        <v>93</v>
      </c>
      <c r="E36" s="849" t="s">
        <v>286</v>
      </c>
      <c r="F36" s="947"/>
      <c r="G36" s="948"/>
      <c r="H36" s="948"/>
      <c r="I36" s="948"/>
      <c r="J36" s="850">
        <f>27000+26699</f>
        <v>53699</v>
      </c>
      <c r="K36" s="258">
        <v>53699</v>
      </c>
      <c r="L36" s="949"/>
    </row>
    <row r="37" spans="1:12" s="69" customFormat="1" ht="39.75" customHeight="1" x14ac:dyDescent="0.3">
      <c r="A37" s="856" t="s">
        <v>97</v>
      </c>
      <c r="B37" s="749" t="s">
        <v>98</v>
      </c>
      <c r="C37" s="749" t="s">
        <v>99</v>
      </c>
      <c r="D37" s="751" t="s">
        <v>100</v>
      </c>
      <c r="E37" s="853" t="s">
        <v>286</v>
      </c>
      <c r="F37" s="885"/>
      <c r="G37" s="886"/>
      <c r="H37" s="886"/>
      <c r="I37" s="886"/>
      <c r="J37" s="854">
        <f>50000+67999</f>
        <v>117999</v>
      </c>
      <c r="K37" s="254">
        <v>117999</v>
      </c>
      <c r="L37" s="887"/>
    </row>
    <row r="38" spans="1:12" s="69" customFormat="1" ht="39.75" customHeight="1" x14ac:dyDescent="0.3">
      <c r="A38" s="856" t="s">
        <v>101</v>
      </c>
      <c r="B38" s="749" t="s">
        <v>102</v>
      </c>
      <c r="C38" s="749" t="s">
        <v>99</v>
      </c>
      <c r="D38" s="751" t="s">
        <v>103</v>
      </c>
      <c r="E38" s="853" t="s">
        <v>286</v>
      </c>
      <c r="F38" s="885"/>
      <c r="G38" s="886"/>
      <c r="H38" s="886"/>
      <c r="I38" s="886"/>
      <c r="J38" s="854">
        <v>50299</v>
      </c>
      <c r="K38" s="254">
        <v>50298</v>
      </c>
      <c r="L38" s="887"/>
    </row>
    <row r="39" spans="1:12" s="69" customFormat="1" ht="39" customHeight="1" x14ac:dyDescent="0.3">
      <c r="A39" s="856" t="s">
        <v>193</v>
      </c>
      <c r="B39" s="749" t="s">
        <v>194</v>
      </c>
      <c r="C39" s="749" t="s">
        <v>108</v>
      </c>
      <c r="D39" s="751" t="s">
        <v>195</v>
      </c>
      <c r="E39" s="853" t="s">
        <v>286</v>
      </c>
      <c r="F39" s="885"/>
      <c r="G39" s="886"/>
      <c r="H39" s="886"/>
      <c r="I39" s="886"/>
      <c r="J39" s="854">
        <v>23000</v>
      </c>
      <c r="K39" s="254">
        <v>23000</v>
      </c>
      <c r="L39" s="887"/>
    </row>
    <row r="40" spans="1:12" s="69" customFormat="1" ht="37.5" customHeight="1" x14ac:dyDescent="0.3">
      <c r="A40" s="856">
        <v>1015041</v>
      </c>
      <c r="B40" s="749">
        <v>5041</v>
      </c>
      <c r="C40" s="858" t="s">
        <v>114</v>
      </c>
      <c r="D40" s="822" t="s">
        <v>157</v>
      </c>
      <c r="E40" s="822" t="s">
        <v>612</v>
      </c>
      <c r="F40" s="885"/>
      <c r="G40" s="886"/>
      <c r="H40" s="886"/>
      <c r="I40" s="886"/>
      <c r="J40" s="854">
        <v>1594000</v>
      </c>
      <c r="K40" s="254">
        <v>1542506</v>
      </c>
      <c r="L40" s="887"/>
    </row>
    <row r="41" spans="1:12" s="69" customFormat="1" ht="78" customHeight="1" thickBot="1" x14ac:dyDescent="0.35">
      <c r="A41" s="954">
        <v>1015061</v>
      </c>
      <c r="B41" s="804">
        <v>5061</v>
      </c>
      <c r="C41" s="860" t="s">
        <v>114</v>
      </c>
      <c r="D41" s="833" t="s">
        <v>121</v>
      </c>
      <c r="E41" s="833" t="s">
        <v>612</v>
      </c>
      <c r="F41" s="955"/>
      <c r="G41" s="956"/>
      <c r="H41" s="956"/>
      <c r="I41" s="956"/>
      <c r="J41" s="862">
        <f>0+46000</f>
        <v>46000</v>
      </c>
      <c r="K41" s="264">
        <v>46000</v>
      </c>
      <c r="L41" s="957"/>
    </row>
    <row r="42" spans="1:12" s="69" customFormat="1" ht="55.5" customHeight="1" thickBot="1" x14ac:dyDescent="0.35">
      <c r="A42" s="226" t="s">
        <v>125</v>
      </c>
      <c r="B42" s="227"/>
      <c r="C42" s="227"/>
      <c r="D42" s="960" t="s">
        <v>288</v>
      </c>
      <c r="E42" s="961"/>
      <c r="F42" s="841"/>
      <c r="G42" s="962"/>
      <c r="H42" s="962"/>
      <c r="I42" s="962"/>
      <c r="J42" s="963">
        <f>J43</f>
        <v>10470500</v>
      </c>
      <c r="K42" s="963">
        <f>K43</f>
        <v>10470100</v>
      </c>
      <c r="L42" s="844"/>
    </row>
    <row r="43" spans="1:12" s="69" customFormat="1" ht="57" customHeight="1" thickBot="1" x14ac:dyDescent="0.35">
      <c r="A43" s="232" t="s">
        <v>127</v>
      </c>
      <c r="B43" s="233"/>
      <c r="C43" s="233"/>
      <c r="D43" s="965" t="s">
        <v>288</v>
      </c>
      <c r="E43" s="866"/>
      <c r="F43" s="841"/>
      <c r="G43" s="962"/>
      <c r="H43" s="962"/>
      <c r="I43" s="962"/>
      <c r="J43" s="966">
        <f>SUM(J44:J46)</f>
        <v>10470500</v>
      </c>
      <c r="K43" s="966">
        <f>SUM(K44:K46)</f>
        <v>10470100</v>
      </c>
      <c r="L43" s="844"/>
    </row>
    <row r="44" spans="1:12" s="69" customFormat="1" ht="54.75" customHeight="1" x14ac:dyDescent="0.3">
      <c r="A44" s="848" t="s">
        <v>128</v>
      </c>
      <c r="B44" s="241" t="s">
        <v>44</v>
      </c>
      <c r="C44" s="241" t="s">
        <v>17</v>
      </c>
      <c r="D44" s="831" t="s">
        <v>289</v>
      </c>
      <c r="E44" s="849" t="s">
        <v>286</v>
      </c>
      <c r="F44" s="964"/>
      <c r="G44" s="958"/>
      <c r="H44" s="958"/>
      <c r="I44" s="958"/>
      <c r="J44" s="850">
        <f>23000+23000</f>
        <v>46000</v>
      </c>
      <c r="K44" s="258">
        <v>46000</v>
      </c>
      <c r="L44" s="959"/>
    </row>
    <row r="45" spans="1:12" s="69" customFormat="1" ht="38.25" customHeight="1" x14ac:dyDescent="0.3">
      <c r="A45" s="242" t="s">
        <v>665</v>
      </c>
      <c r="B45" s="243" t="s">
        <v>666</v>
      </c>
      <c r="C45" s="243" t="s">
        <v>27</v>
      </c>
      <c r="D45" s="822" t="s">
        <v>513</v>
      </c>
      <c r="E45" s="853" t="s">
        <v>612</v>
      </c>
      <c r="F45" s="890"/>
      <c r="G45" s="888"/>
      <c r="H45" s="888"/>
      <c r="I45" s="888"/>
      <c r="J45" s="854">
        <v>5400000</v>
      </c>
      <c r="K45" s="254">
        <v>5400000</v>
      </c>
      <c r="L45" s="889"/>
    </row>
    <row r="46" spans="1:12" s="69" customFormat="1" ht="35.25" customHeight="1" thickBot="1" x14ac:dyDescent="0.35">
      <c r="A46" s="746" t="s">
        <v>136</v>
      </c>
      <c r="B46" s="967" t="s">
        <v>26</v>
      </c>
      <c r="C46" s="967" t="s">
        <v>27</v>
      </c>
      <c r="D46" s="833" t="s">
        <v>28</v>
      </c>
      <c r="E46" s="861" t="s">
        <v>612</v>
      </c>
      <c r="F46" s="968"/>
      <c r="G46" s="969"/>
      <c r="H46" s="969"/>
      <c r="I46" s="969"/>
      <c r="J46" s="970">
        <f>4960000+64500</f>
        <v>5024500</v>
      </c>
      <c r="K46" s="264">
        <f>4959600+64500</f>
        <v>5024100</v>
      </c>
      <c r="L46" s="971"/>
    </row>
    <row r="47" spans="1:12" s="696" customFormat="1" ht="51.75" customHeight="1" thickBot="1" x14ac:dyDescent="0.35">
      <c r="A47" s="972" t="s">
        <v>145</v>
      </c>
      <c r="B47" s="973"/>
      <c r="C47" s="973"/>
      <c r="D47" s="974" t="s">
        <v>290</v>
      </c>
      <c r="E47" s="975"/>
      <c r="F47" s="973"/>
      <c r="G47" s="275"/>
      <c r="H47" s="275"/>
      <c r="I47" s="275"/>
      <c r="J47" s="976">
        <f>J48</f>
        <v>118308057</v>
      </c>
      <c r="K47" s="976">
        <f>K48</f>
        <v>40008710.640000001</v>
      </c>
      <c r="L47" s="266"/>
    </row>
    <row r="48" spans="1:12" s="69" customFormat="1" ht="57.75" customHeight="1" thickBot="1" x14ac:dyDescent="0.35">
      <c r="A48" s="232" t="s">
        <v>147</v>
      </c>
      <c r="B48" s="680"/>
      <c r="C48" s="261"/>
      <c r="D48" s="977" t="s">
        <v>290</v>
      </c>
      <c r="E48" s="228"/>
      <c r="F48" s="259"/>
      <c r="G48" s="263"/>
      <c r="H48" s="263"/>
      <c r="I48" s="263"/>
      <c r="J48" s="263">
        <f>J50+J54+J56+J60+J62+J67+J79+J84+J87+J89+J90+J95+J59+J71+J73+J86+J91+J96+J49+J75+J76+J82+J83+J100+J101+J58+J78+J93+J94+J65+J66+J53+J77</f>
        <v>118308057</v>
      </c>
      <c r="K48" s="263">
        <f>K50+K54+K56+K60+K62+K67+K79+K84+K87+K89+K90+K95+K59+K71+K73+K86+K91+K96+K49+K75+K76+K82+K83+K100+K101+K58+K78+K93+K94+K65+K66+K53+K77</f>
        <v>40008710.640000001</v>
      </c>
      <c r="L48" s="978"/>
    </row>
    <row r="49" spans="1:12" s="69" customFormat="1" ht="55.5" customHeight="1" x14ac:dyDescent="0.3">
      <c r="A49" s="1016" t="s">
        <v>198</v>
      </c>
      <c r="B49" s="677" t="s">
        <v>44</v>
      </c>
      <c r="C49" s="677" t="s">
        <v>17</v>
      </c>
      <c r="D49" s="1017" t="s">
        <v>175</v>
      </c>
      <c r="E49" s="1018" t="s">
        <v>286</v>
      </c>
      <c r="F49" s="1019"/>
      <c r="G49" s="1020"/>
      <c r="H49" s="1020"/>
      <c r="I49" s="1020"/>
      <c r="J49" s="683">
        <f>198750+49800</f>
        <v>248550</v>
      </c>
      <c r="K49" s="1021">
        <v>247557</v>
      </c>
      <c r="L49" s="1022"/>
    </row>
    <row r="50" spans="1:12" s="69" customFormat="1" ht="133.5" customHeight="1" x14ac:dyDescent="0.3">
      <c r="A50" s="1219" t="s">
        <v>521</v>
      </c>
      <c r="B50" s="1209" t="s">
        <v>50</v>
      </c>
      <c r="C50" s="1209" t="s">
        <v>51</v>
      </c>
      <c r="D50" s="1222" t="s">
        <v>516</v>
      </c>
      <c r="E50" s="595" t="s">
        <v>616</v>
      </c>
      <c r="F50" s="1223" t="s">
        <v>525</v>
      </c>
      <c r="G50" s="596">
        <v>16389490</v>
      </c>
      <c r="H50" s="596">
        <v>11185952</v>
      </c>
      <c r="I50" s="893">
        <f>(H50/G50)*100%</f>
        <v>0.68250763141501047</v>
      </c>
      <c r="J50" s="596">
        <f>5203538-896882-388420</f>
        <v>3918236</v>
      </c>
      <c r="K50" s="892">
        <f>K52</f>
        <v>183418.46</v>
      </c>
      <c r="L50" s="894">
        <f>(H50+K50)/G50</f>
        <v>0.69369885579111989</v>
      </c>
    </row>
    <row r="51" spans="1:12" s="70" customFormat="1" ht="15" customHeight="1" x14ac:dyDescent="0.35">
      <c r="A51" s="1219"/>
      <c r="B51" s="1209"/>
      <c r="C51" s="1209"/>
      <c r="D51" s="1222"/>
      <c r="E51" s="895" t="s">
        <v>293</v>
      </c>
      <c r="F51" s="1223"/>
      <c r="G51" s="896">
        <v>276327</v>
      </c>
      <c r="H51" s="897">
        <v>276327</v>
      </c>
      <c r="I51" s="898">
        <v>1</v>
      </c>
      <c r="J51" s="897"/>
      <c r="K51" s="899"/>
      <c r="L51" s="900">
        <v>1</v>
      </c>
    </row>
    <row r="52" spans="1:12" s="70" customFormat="1" ht="16.5" customHeight="1" x14ac:dyDescent="0.35">
      <c r="A52" s="1219"/>
      <c r="B52" s="1209"/>
      <c r="C52" s="1209"/>
      <c r="D52" s="1222"/>
      <c r="E52" s="901" t="s">
        <v>617</v>
      </c>
      <c r="F52" s="1223"/>
      <c r="G52" s="902">
        <v>587560</v>
      </c>
      <c r="H52" s="256">
        <v>379945</v>
      </c>
      <c r="I52" s="898">
        <v>0.65</v>
      </c>
      <c r="J52" s="897">
        <v>183500</v>
      </c>
      <c r="K52" s="899">
        <v>183418.46</v>
      </c>
      <c r="L52" s="900">
        <v>1</v>
      </c>
    </row>
    <row r="53" spans="1:12" s="70" customFormat="1" ht="172.5" customHeight="1" x14ac:dyDescent="0.35">
      <c r="A53" s="247" t="s">
        <v>521</v>
      </c>
      <c r="B53" s="664" t="s">
        <v>50</v>
      </c>
      <c r="C53" s="664" t="s">
        <v>51</v>
      </c>
      <c r="D53" s="825" t="s">
        <v>516</v>
      </c>
      <c r="E53" s="595" t="s">
        <v>667</v>
      </c>
      <c r="F53" s="820" t="s">
        <v>668</v>
      </c>
      <c r="G53" s="903">
        <v>1486740</v>
      </c>
      <c r="H53" s="256"/>
      <c r="I53" s="893">
        <v>0</v>
      </c>
      <c r="J53" s="596">
        <v>48398</v>
      </c>
      <c r="K53" s="899"/>
      <c r="L53" s="894">
        <f>(H53+K53)/G53</f>
        <v>0</v>
      </c>
    </row>
    <row r="54" spans="1:12" s="69" customFormat="1" ht="168.75" customHeight="1" x14ac:dyDescent="0.3">
      <c r="A54" s="1219" t="s">
        <v>521</v>
      </c>
      <c r="B54" s="1209" t="s">
        <v>50</v>
      </c>
      <c r="C54" s="1209" t="s">
        <v>51</v>
      </c>
      <c r="D54" s="1222" t="s">
        <v>516</v>
      </c>
      <c r="E54" s="825" t="s">
        <v>522</v>
      </c>
      <c r="F54" s="1223" t="s">
        <v>523</v>
      </c>
      <c r="G54" s="596">
        <v>23825333</v>
      </c>
      <c r="H54" s="596">
        <f>H55</f>
        <v>274112.37</v>
      </c>
      <c r="I54" s="893">
        <f>H54/G54</f>
        <v>1.150508032773351E-2</v>
      </c>
      <c r="J54" s="596">
        <f>15000000+1205842-5000000+12345379</f>
        <v>23551221</v>
      </c>
      <c r="K54" s="892">
        <v>6301639.6900000004</v>
      </c>
      <c r="L54" s="894">
        <f>(H54+K54)/G54</f>
        <v>0.27599832749452025</v>
      </c>
    </row>
    <row r="55" spans="1:12" s="69" customFormat="1" ht="14.25" customHeight="1" x14ac:dyDescent="0.3">
      <c r="A55" s="1220"/>
      <c r="B55" s="1221"/>
      <c r="C55" s="1221"/>
      <c r="D55" s="1222"/>
      <c r="E55" s="901" t="s">
        <v>293</v>
      </c>
      <c r="F55" s="1223"/>
      <c r="G55" s="897">
        <v>1675846</v>
      </c>
      <c r="H55" s="896">
        <v>274112.37</v>
      </c>
      <c r="I55" s="904">
        <f>H55/G55</f>
        <v>0.16356656279872972</v>
      </c>
      <c r="J55" s="896">
        <v>1205842</v>
      </c>
      <c r="K55" s="899">
        <v>1201312.3</v>
      </c>
      <c r="L55" s="900">
        <v>1</v>
      </c>
    </row>
    <row r="56" spans="1:12" s="69" customFormat="1" ht="227.25" customHeight="1" x14ac:dyDescent="0.3">
      <c r="A56" s="1219" t="s">
        <v>521</v>
      </c>
      <c r="B56" s="1209" t="s">
        <v>50</v>
      </c>
      <c r="C56" s="1209" t="s">
        <v>51</v>
      </c>
      <c r="D56" s="1222" t="s">
        <v>516</v>
      </c>
      <c r="E56" s="829" t="s">
        <v>618</v>
      </c>
      <c r="F56" s="1234" t="s">
        <v>292</v>
      </c>
      <c r="G56" s="596">
        <v>4900988</v>
      </c>
      <c r="H56" s="596"/>
      <c r="I56" s="893">
        <v>0</v>
      </c>
      <c r="J56" s="596">
        <v>4658554</v>
      </c>
      <c r="K56" s="892">
        <v>1070190.22</v>
      </c>
      <c r="L56" s="894">
        <f>K56/G56</f>
        <v>0.21836213840964311</v>
      </c>
    </row>
    <row r="57" spans="1:12" s="69" customFormat="1" ht="14.25" customHeight="1" x14ac:dyDescent="0.3">
      <c r="A57" s="1219"/>
      <c r="B57" s="1209"/>
      <c r="C57" s="1209"/>
      <c r="D57" s="1222"/>
      <c r="E57" s="752" t="s">
        <v>531</v>
      </c>
      <c r="F57" s="1234"/>
      <c r="G57" s="897">
        <v>268825</v>
      </c>
      <c r="H57" s="897"/>
      <c r="I57" s="898">
        <v>0</v>
      </c>
      <c r="J57" s="897">
        <v>242435</v>
      </c>
      <c r="K57" s="899">
        <v>234332.96</v>
      </c>
      <c r="L57" s="900">
        <v>1</v>
      </c>
    </row>
    <row r="58" spans="1:12" s="69" customFormat="1" ht="132.75" customHeight="1" x14ac:dyDescent="0.3">
      <c r="A58" s="247" t="s">
        <v>521</v>
      </c>
      <c r="B58" s="664" t="s">
        <v>50</v>
      </c>
      <c r="C58" s="664" t="s">
        <v>51</v>
      </c>
      <c r="D58" s="825" t="s">
        <v>516</v>
      </c>
      <c r="E58" s="274" t="s">
        <v>669</v>
      </c>
      <c r="F58" s="905" t="s">
        <v>524</v>
      </c>
      <c r="G58" s="596">
        <v>258243</v>
      </c>
      <c r="H58" s="596"/>
      <c r="I58" s="893">
        <v>0</v>
      </c>
      <c r="J58" s="596">
        <v>258243</v>
      </c>
      <c r="K58" s="892"/>
      <c r="L58" s="894">
        <v>0</v>
      </c>
    </row>
    <row r="59" spans="1:12" s="69" customFormat="1" ht="111.75" customHeight="1" x14ac:dyDescent="0.3">
      <c r="A59" s="247" t="s">
        <v>526</v>
      </c>
      <c r="B59" s="664" t="s">
        <v>19</v>
      </c>
      <c r="C59" s="664" t="s">
        <v>20</v>
      </c>
      <c r="D59" s="826" t="s">
        <v>21</v>
      </c>
      <c r="E59" s="274" t="s">
        <v>527</v>
      </c>
      <c r="F59" s="625" t="s">
        <v>296</v>
      </c>
      <c r="G59" s="596">
        <v>1463482</v>
      </c>
      <c r="H59" s="596">
        <v>1264348</v>
      </c>
      <c r="I59" s="893">
        <f>(H59/G59)*100%</f>
        <v>0.86393136369289136</v>
      </c>
      <c r="J59" s="596">
        <v>103135</v>
      </c>
      <c r="K59" s="892"/>
      <c r="L59" s="894">
        <v>0.86</v>
      </c>
    </row>
    <row r="60" spans="1:12" s="69" customFormat="1" ht="75.75" customHeight="1" x14ac:dyDescent="0.3">
      <c r="A60" s="1213">
        <v>1514060</v>
      </c>
      <c r="B60" s="1214">
        <v>4060</v>
      </c>
      <c r="C60" s="1209" t="s">
        <v>106</v>
      </c>
      <c r="D60" s="1215" t="s">
        <v>107</v>
      </c>
      <c r="E60" s="906" t="s">
        <v>291</v>
      </c>
      <c r="F60" s="1232" t="s">
        <v>292</v>
      </c>
      <c r="G60" s="338">
        <v>6058427</v>
      </c>
      <c r="H60" s="254">
        <v>2726948.29</v>
      </c>
      <c r="I60" s="907">
        <f>H60/G60</f>
        <v>0.45010830203945679</v>
      </c>
      <c r="J60" s="908">
        <f>2295144-694188-1600956+3169264-690455</f>
        <v>2478809</v>
      </c>
      <c r="K60" s="892">
        <v>2478808.04</v>
      </c>
      <c r="L60" s="909">
        <v>1</v>
      </c>
    </row>
    <row r="61" spans="1:12" s="70" customFormat="1" ht="14.25" customHeight="1" x14ac:dyDescent="0.35">
      <c r="A61" s="1213"/>
      <c r="B61" s="1214"/>
      <c r="C61" s="1209"/>
      <c r="D61" s="1215"/>
      <c r="E61" s="910" t="s">
        <v>293</v>
      </c>
      <c r="F61" s="1232"/>
      <c r="G61" s="899">
        <v>181142</v>
      </c>
      <c r="H61" s="256">
        <v>178959.68</v>
      </c>
      <c r="I61" s="911">
        <v>1</v>
      </c>
      <c r="J61" s="908"/>
      <c r="K61" s="899"/>
      <c r="L61" s="912">
        <v>1</v>
      </c>
    </row>
    <row r="62" spans="1:12" s="69" customFormat="1" ht="111" customHeight="1" x14ac:dyDescent="0.3">
      <c r="A62" s="1213">
        <v>1516012</v>
      </c>
      <c r="B62" s="1214">
        <v>6012</v>
      </c>
      <c r="C62" s="1209" t="s">
        <v>27</v>
      </c>
      <c r="D62" s="1215" t="s">
        <v>236</v>
      </c>
      <c r="E62" s="913" t="s">
        <v>619</v>
      </c>
      <c r="F62" s="1214" t="s">
        <v>528</v>
      </c>
      <c r="G62" s="244">
        <v>15864964</v>
      </c>
      <c r="H62" s="596">
        <f>H63+H64</f>
        <v>549821.11</v>
      </c>
      <c r="I62" s="914">
        <f>H62/G62</f>
        <v>3.4656309967044364E-2</v>
      </c>
      <c r="J62" s="915">
        <f>1444539-1444539+752140+1183600+182148+8935634+2704350</f>
        <v>13757872</v>
      </c>
      <c r="K62" s="892">
        <v>11737650.67</v>
      </c>
      <c r="L62" s="916">
        <v>0.99</v>
      </c>
    </row>
    <row r="63" spans="1:12" s="69" customFormat="1" ht="14.25" customHeight="1" x14ac:dyDescent="0.3">
      <c r="A63" s="1213"/>
      <c r="B63" s="1214"/>
      <c r="C63" s="1209"/>
      <c r="D63" s="1215"/>
      <c r="E63" s="917" t="s">
        <v>529</v>
      </c>
      <c r="F63" s="1214"/>
      <c r="G63" s="897">
        <f>280375.62</f>
        <v>280375.62</v>
      </c>
      <c r="H63" s="897">
        <f>280375.62</f>
        <v>280375.62</v>
      </c>
      <c r="I63" s="918">
        <v>1</v>
      </c>
      <c r="J63" s="256"/>
      <c r="K63" s="892"/>
      <c r="L63" s="919">
        <v>1</v>
      </c>
    </row>
    <row r="64" spans="1:12" s="69" customFormat="1" ht="14.25" customHeight="1" x14ac:dyDescent="0.3">
      <c r="A64" s="1213"/>
      <c r="B64" s="1214"/>
      <c r="C64" s="1209"/>
      <c r="D64" s="1215"/>
      <c r="E64" s="917" t="s">
        <v>294</v>
      </c>
      <c r="F64" s="1214"/>
      <c r="G64" s="891">
        <v>269445</v>
      </c>
      <c r="H64" s="897">
        <v>269445.49</v>
      </c>
      <c r="I64" s="918">
        <v>1</v>
      </c>
      <c r="J64" s="256"/>
      <c r="K64" s="892"/>
      <c r="L64" s="919">
        <v>1</v>
      </c>
    </row>
    <row r="65" spans="1:12" s="69" customFormat="1" ht="111" customHeight="1" x14ac:dyDescent="0.3">
      <c r="A65" s="639">
        <v>1516012</v>
      </c>
      <c r="B65" s="514">
        <v>6012</v>
      </c>
      <c r="C65" s="664" t="s">
        <v>27</v>
      </c>
      <c r="D65" s="751" t="s">
        <v>236</v>
      </c>
      <c r="E65" s="913" t="s">
        <v>670</v>
      </c>
      <c r="F65" s="514" t="s">
        <v>524</v>
      </c>
      <c r="G65" s="254">
        <v>98014</v>
      </c>
      <c r="H65" s="596"/>
      <c r="I65" s="914">
        <v>0</v>
      </c>
      <c r="J65" s="244">
        <v>98014</v>
      </c>
      <c r="K65" s="892">
        <v>98013.35</v>
      </c>
      <c r="L65" s="916">
        <v>1</v>
      </c>
    </row>
    <row r="66" spans="1:12" s="69" customFormat="1" ht="114" customHeight="1" x14ac:dyDescent="0.3">
      <c r="A66" s="639">
        <v>1516012</v>
      </c>
      <c r="B66" s="514">
        <v>6012</v>
      </c>
      <c r="C66" s="664" t="s">
        <v>27</v>
      </c>
      <c r="D66" s="751" t="s">
        <v>236</v>
      </c>
      <c r="E66" s="913" t="s">
        <v>671</v>
      </c>
      <c r="F66" s="514" t="s">
        <v>524</v>
      </c>
      <c r="G66" s="254">
        <v>1786248</v>
      </c>
      <c r="H66" s="596"/>
      <c r="I66" s="914">
        <v>0</v>
      </c>
      <c r="J66" s="244">
        <f>1134373+651875</f>
        <v>1786248</v>
      </c>
      <c r="K66" s="892">
        <v>1780789.82</v>
      </c>
      <c r="L66" s="916">
        <v>1</v>
      </c>
    </row>
    <row r="67" spans="1:12" s="69" customFormat="1" ht="92.25" customHeight="1" x14ac:dyDescent="0.3">
      <c r="A67" s="1213">
        <v>1516012</v>
      </c>
      <c r="B67" s="1214">
        <v>6012</v>
      </c>
      <c r="C67" s="1209" t="s">
        <v>27</v>
      </c>
      <c r="D67" s="1215" t="s">
        <v>236</v>
      </c>
      <c r="E67" s="274" t="s">
        <v>620</v>
      </c>
      <c r="F67" s="1216" t="s">
        <v>524</v>
      </c>
      <c r="G67" s="892">
        <v>18595843</v>
      </c>
      <c r="H67" s="920"/>
      <c r="I67" s="921">
        <v>0</v>
      </c>
      <c r="J67" s="244">
        <f>1497526+4000000+10000000</f>
        <v>15497526</v>
      </c>
      <c r="K67" s="892">
        <f>K68+K70+25429.92</f>
        <v>3505666.5</v>
      </c>
      <c r="L67" s="909">
        <f>K67/G67*100%</f>
        <v>0.1885188264925661</v>
      </c>
    </row>
    <row r="68" spans="1:12" s="69" customFormat="1" ht="14.25" customHeight="1" x14ac:dyDescent="0.3">
      <c r="A68" s="1213"/>
      <c r="B68" s="1214"/>
      <c r="C68" s="1209"/>
      <c r="D68" s="1215"/>
      <c r="E68" s="752" t="s">
        <v>531</v>
      </c>
      <c r="F68" s="1216"/>
      <c r="G68" s="899">
        <v>1497526</v>
      </c>
      <c r="H68" s="819"/>
      <c r="I68" s="922">
        <v>0</v>
      </c>
      <c r="J68" s="891">
        <v>1497526</v>
      </c>
      <c r="K68" s="899">
        <v>1478212.98</v>
      </c>
      <c r="L68" s="912">
        <v>1</v>
      </c>
    </row>
    <row r="69" spans="1:12" s="69" customFormat="1" ht="16.5" customHeight="1" x14ac:dyDescent="0.3">
      <c r="A69" s="639" t="s">
        <v>672</v>
      </c>
      <c r="B69" s="514"/>
      <c r="C69" s="664"/>
      <c r="D69" s="751" t="s">
        <v>673</v>
      </c>
      <c r="E69" s="752"/>
      <c r="F69" s="625"/>
      <c r="G69" s="899"/>
      <c r="H69" s="819"/>
      <c r="I69" s="922"/>
      <c r="J69" s="891"/>
      <c r="K69" s="892"/>
      <c r="L69" s="912"/>
    </row>
    <row r="70" spans="1:12" s="69" customFormat="1" ht="21" customHeight="1" x14ac:dyDescent="0.3">
      <c r="A70" s="639"/>
      <c r="B70" s="514"/>
      <c r="C70" s="664"/>
      <c r="D70" s="821" t="s">
        <v>594</v>
      </c>
      <c r="E70" s="923"/>
      <c r="F70" s="625"/>
      <c r="G70" s="899"/>
      <c r="H70" s="819"/>
      <c r="I70" s="922"/>
      <c r="J70" s="891">
        <v>10000000</v>
      </c>
      <c r="K70" s="899">
        <v>2002023.6</v>
      </c>
      <c r="L70" s="919"/>
    </row>
    <row r="71" spans="1:12" s="69" customFormat="1" ht="91.5" customHeight="1" x14ac:dyDescent="0.3">
      <c r="A71" s="1213">
        <v>1516012</v>
      </c>
      <c r="B71" s="1214">
        <v>6012</v>
      </c>
      <c r="C71" s="1209" t="s">
        <v>27</v>
      </c>
      <c r="D71" s="1215" t="s">
        <v>236</v>
      </c>
      <c r="E71" s="274" t="s">
        <v>674</v>
      </c>
      <c r="F71" s="1216" t="s">
        <v>292</v>
      </c>
      <c r="G71" s="892">
        <v>2011948</v>
      </c>
      <c r="H71" s="920">
        <v>218940</v>
      </c>
      <c r="I71" s="921">
        <f>(H71/G71)*100%</f>
        <v>0.10881990985850529</v>
      </c>
      <c r="J71" s="254">
        <v>1748351</v>
      </c>
      <c r="K71" s="892">
        <v>1510522.8799999999</v>
      </c>
      <c r="L71" s="909">
        <v>1</v>
      </c>
    </row>
    <row r="72" spans="1:12" s="70" customFormat="1" ht="16.5" customHeight="1" x14ac:dyDescent="0.35">
      <c r="A72" s="1213"/>
      <c r="B72" s="1214"/>
      <c r="C72" s="1209"/>
      <c r="D72" s="1215"/>
      <c r="E72" s="752" t="s">
        <v>293</v>
      </c>
      <c r="F72" s="1216"/>
      <c r="G72" s="899">
        <v>263597</v>
      </c>
      <c r="H72" s="819">
        <v>218940</v>
      </c>
      <c r="I72" s="922">
        <v>1</v>
      </c>
      <c r="J72" s="891"/>
      <c r="K72" s="899"/>
      <c r="L72" s="912">
        <v>1</v>
      </c>
    </row>
    <row r="73" spans="1:12" s="69" customFormat="1" ht="76.5" customHeight="1" x14ac:dyDescent="0.3">
      <c r="A73" s="1213">
        <v>1516012</v>
      </c>
      <c r="B73" s="1214">
        <v>6012</v>
      </c>
      <c r="C73" s="1209" t="s">
        <v>27</v>
      </c>
      <c r="D73" s="1215" t="s">
        <v>236</v>
      </c>
      <c r="E73" s="274" t="s">
        <v>530</v>
      </c>
      <c r="F73" s="1216" t="s">
        <v>524</v>
      </c>
      <c r="G73" s="892">
        <v>3262468</v>
      </c>
      <c r="H73" s="920"/>
      <c r="I73" s="921">
        <v>0</v>
      </c>
      <c r="J73" s="254">
        <v>2894056</v>
      </c>
      <c r="K73" s="892">
        <v>2463355.75</v>
      </c>
      <c r="L73" s="916">
        <f>K73/G73*100%</f>
        <v>0.75505897682368073</v>
      </c>
    </row>
    <row r="74" spans="1:12" s="70" customFormat="1" ht="17.25" customHeight="1" x14ac:dyDescent="0.35">
      <c r="A74" s="1213"/>
      <c r="B74" s="1214"/>
      <c r="C74" s="1209"/>
      <c r="D74" s="1215"/>
      <c r="E74" s="752" t="s">
        <v>531</v>
      </c>
      <c r="F74" s="1216"/>
      <c r="G74" s="924">
        <v>49800</v>
      </c>
      <c r="H74" s="895"/>
      <c r="I74" s="918">
        <v>0</v>
      </c>
      <c r="J74" s="256">
        <v>49800</v>
      </c>
      <c r="K74" s="899">
        <v>49062.16</v>
      </c>
      <c r="L74" s="912">
        <v>1</v>
      </c>
    </row>
    <row r="75" spans="1:12" s="70" customFormat="1" ht="74.25" customHeight="1" x14ac:dyDescent="0.35">
      <c r="A75" s="639">
        <v>1516012</v>
      </c>
      <c r="B75" s="514">
        <v>6012</v>
      </c>
      <c r="C75" s="664" t="s">
        <v>27</v>
      </c>
      <c r="D75" s="751" t="s">
        <v>621</v>
      </c>
      <c r="E75" s="274" t="s">
        <v>622</v>
      </c>
      <c r="F75" s="625" t="s">
        <v>292</v>
      </c>
      <c r="G75" s="892">
        <v>187450</v>
      </c>
      <c r="H75" s="920"/>
      <c r="I75" s="921">
        <v>0</v>
      </c>
      <c r="J75" s="244">
        <v>187450</v>
      </c>
      <c r="K75" s="892">
        <v>186630.35</v>
      </c>
      <c r="L75" s="909">
        <v>1</v>
      </c>
    </row>
    <row r="76" spans="1:12" s="70" customFormat="1" ht="75.75" customHeight="1" x14ac:dyDescent="0.35">
      <c r="A76" s="639">
        <v>1516013</v>
      </c>
      <c r="B76" s="514">
        <v>6013</v>
      </c>
      <c r="C76" s="664" t="s">
        <v>27</v>
      </c>
      <c r="D76" s="827" t="s">
        <v>135</v>
      </c>
      <c r="E76" s="925" t="s">
        <v>623</v>
      </c>
      <c r="F76" s="625" t="s">
        <v>524</v>
      </c>
      <c r="G76" s="892">
        <v>60000</v>
      </c>
      <c r="H76" s="920"/>
      <c r="I76" s="921">
        <v>0</v>
      </c>
      <c r="J76" s="244">
        <v>60000</v>
      </c>
      <c r="K76" s="899"/>
      <c r="L76" s="909">
        <v>0</v>
      </c>
    </row>
    <row r="77" spans="1:12" s="70" customFormat="1" ht="42" customHeight="1" x14ac:dyDescent="0.35">
      <c r="A77" s="639">
        <v>1516013</v>
      </c>
      <c r="B77" s="514">
        <v>6013</v>
      </c>
      <c r="C77" s="664" t="s">
        <v>27</v>
      </c>
      <c r="D77" s="827" t="s">
        <v>135</v>
      </c>
      <c r="E77" s="925" t="s">
        <v>675</v>
      </c>
      <c r="F77" s="625" t="s">
        <v>546</v>
      </c>
      <c r="G77" s="892">
        <v>239729035</v>
      </c>
      <c r="H77" s="920">
        <v>1083210</v>
      </c>
      <c r="I77" s="921">
        <v>5.0000000000000001E-3</v>
      </c>
      <c r="J77" s="244">
        <v>22572500</v>
      </c>
      <c r="K77" s="899"/>
      <c r="L77" s="909">
        <v>5.0000000000000001E-3</v>
      </c>
    </row>
    <row r="78" spans="1:12" s="70" customFormat="1" ht="93.75" customHeight="1" x14ac:dyDescent="0.35">
      <c r="A78" s="639">
        <v>1516013</v>
      </c>
      <c r="B78" s="514">
        <v>6013</v>
      </c>
      <c r="C78" s="664" t="s">
        <v>27</v>
      </c>
      <c r="D78" s="827" t="s">
        <v>135</v>
      </c>
      <c r="E78" s="926" t="s">
        <v>676</v>
      </c>
      <c r="F78" s="625" t="s">
        <v>524</v>
      </c>
      <c r="G78" s="892">
        <v>226222</v>
      </c>
      <c r="H78" s="920"/>
      <c r="I78" s="921">
        <v>0</v>
      </c>
      <c r="J78" s="244">
        <v>226222</v>
      </c>
      <c r="K78" s="899"/>
      <c r="L78" s="909">
        <v>0</v>
      </c>
    </row>
    <row r="79" spans="1:12" s="69" customFormat="1" ht="73.5" customHeight="1" x14ac:dyDescent="0.3">
      <c r="A79" s="1213">
        <v>1516030</v>
      </c>
      <c r="B79" s="1214">
        <v>6030</v>
      </c>
      <c r="C79" s="1209" t="s">
        <v>27</v>
      </c>
      <c r="D79" s="1215" t="s">
        <v>28</v>
      </c>
      <c r="E79" s="274" t="s">
        <v>532</v>
      </c>
      <c r="F79" s="1216" t="s">
        <v>296</v>
      </c>
      <c r="G79" s="892">
        <v>3777567</v>
      </c>
      <c r="H79" s="595">
        <f>1516531+H81</f>
        <v>1640341.91</v>
      </c>
      <c r="I79" s="927">
        <f>H79/G79</f>
        <v>0.43423238025956917</v>
      </c>
      <c r="J79" s="254">
        <f>1011118+1104357</f>
        <v>2115475</v>
      </c>
      <c r="K79" s="892">
        <v>1553697.27</v>
      </c>
      <c r="L79" s="916">
        <v>0.98599999999999999</v>
      </c>
    </row>
    <row r="80" spans="1:12" s="69" customFormat="1" ht="17.25" customHeight="1" x14ac:dyDescent="0.3">
      <c r="A80" s="1213"/>
      <c r="B80" s="1214"/>
      <c r="C80" s="1209"/>
      <c r="D80" s="1215"/>
      <c r="E80" s="910" t="s">
        <v>306</v>
      </c>
      <c r="F80" s="1216"/>
      <c r="G80" s="899">
        <v>49800</v>
      </c>
      <c r="H80" s="895">
        <v>49763</v>
      </c>
      <c r="I80" s="922">
        <v>1</v>
      </c>
      <c r="J80" s="254"/>
      <c r="K80" s="892"/>
      <c r="L80" s="928">
        <v>1</v>
      </c>
    </row>
    <row r="81" spans="1:13" s="69" customFormat="1" ht="31.5" customHeight="1" x14ac:dyDescent="0.3">
      <c r="A81" s="1213"/>
      <c r="B81" s="1214"/>
      <c r="C81" s="1209"/>
      <c r="D81" s="1215"/>
      <c r="E81" s="910" t="s">
        <v>301</v>
      </c>
      <c r="F81" s="1216"/>
      <c r="G81" s="891">
        <v>140204</v>
      </c>
      <c r="H81" s="891">
        <v>123810.91</v>
      </c>
      <c r="I81" s="922">
        <v>1</v>
      </c>
      <c r="J81" s="254"/>
      <c r="K81" s="892"/>
      <c r="L81" s="928">
        <v>1</v>
      </c>
    </row>
    <row r="82" spans="1:13" s="69" customFormat="1" ht="76.5" customHeight="1" x14ac:dyDescent="0.3">
      <c r="A82" s="639">
        <v>1516030</v>
      </c>
      <c r="B82" s="514">
        <v>6030</v>
      </c>
      <c r="C82" s="664" t="s">
        <v>27</v>
      </c>
      <c r="D82" s="751" t="s">
        <v>28</v>
      </c>
      <c r="E82" s="929" t="s">
        <v>624</v>
      </c>
      <c r="F82" s="625" t="s">
        <v>524</v>
      </c>
      <c r="G82" s="254">
        <v>49800</v>
      </c>
      <c r="H82" s="254"/>
      <c r="I82" s="921">
        <v>0</v>
      </c>
      <c r="J82" s="254">
        <v>49800</v>
      </c>
      <c r="K82" s="892">
        <v>0</v>
      </c>
      <c r="L82" s="930">
        <v>1</v>
      </c>
    </row>
    <row r="83" spans="1:13" s="69" customFormat="1" ht="72.75" customHeight="1" x14ac:dyDescent="0.3">
      <c r="A83" s="639">
        <v>1516030</v>
      </c>
      <c r="B83" s="514">
        <v>6030</v>
      </c>
      <c r="C83" s="664" t="s">
        <v>27</v>
      </c>
      <c r="D83" s="751" t="s">
        <v>28</v>
      </c>
      <c r="E83" s="929" t="s">
        <v>625</v>
      </c>
      <c r="F83" s="625" t="s">
        <v>524</v>
      </c>
      <c r="G83" s="254">
        <v>898690</v>
      </c>
      <c r="H83" s="254"/>
      <c r="I83" s="921">
        <v>0</v>
      </c>
      <c r="J83" s="254">
        <f>500000+153683+67587+177420</f>
        <v>898690</v>
      </c>
      <c r="K83" s="892">
        <v>702403.38</v>
      </c>
      <c r="L83" s="930">
        <v>1</v>
      </c>
    </row>
    <row r="84" spans="1:13" s="69" customFormat="1" ht="93" customHeight="1" x14ac:dyDescent="0.3">
      <c r="A84" s="1233">
        <v>1516030</v>
      </c>
      <c r="B84" s="1209">
        <v>6030</v>
      </c>
      <c r="C84" s="1209" t="s">
        <v>27</v>
      </c>
      <c r="D84" s="1215" t="s">
        <v>28</v>
      </c>
      <c r="E84" s="825" t="s">
        <v>533</v>
      </c>
      <c r="F84" s="1216" t="s">
        <v>534</v>
      </c>
      <c r="G84" s="254">
        <v>3910004</v>
      </c>
      <c r="H84" s="254"/>
      <c r="I84" s="921">
        <v>0</v>
      </c>
      <c r="J84" s="254">
        <f>4003149-93145</f>
        <v>3910004</v>
      </c>
      <c r="K84" s="892">
        <v>658537.76</v>
      </c>
      <c r="L84" s="930">
        <f>K84/G84</f>
        <v>0.16842380723907188</v>
      </c>
    </row>
    <row r="85" spans="1:13" s="69" customFormat="1" ht="16.5" customHeight="1" x14ac:dyDescent="0.3">
      <c r="A85" s="1233"/>
      <c r="B85" s="1209"/>
      <c r="C85" s="1209"/>
      <c r="D85" s="1215"/>
      <c r="E85" s="910" t="s">
        <v>293</v>
      </c>
      <c r="F85" s="1216"/>
      <c r="G85" s="891">
        <v>174543</v>
      </c>
      <c r="H85" s="891"/>
      <c r="I85" s="922">
        <v>0</v>
      </c>
      <c r="J85" s="891">
        <v>174543</v>
      </c>
      <c r="K85" s="899">
        <v>154159.98000000001</v>
      </c>
      <c r="L85" s="928">
        <v>1</v>
      </c>
    </row>
    <row r="86" spans="1:13" s="69" customFormat="1" ht="134.25" customHeight="1" x14ac:dyDescent="0.3">
      <c r="A86" s="931">
        <v>1516030</v>
      </c>
      <c r="B86" s="664" t="s">
        <v>26</v>
      </c>
      <c r="C86" s="664" t="s">
        <v>27</v>
      </c>
      <c r="D86" s="751" t="s">
        <v>28</v>
      </c>
      <c r="E86" s="829" t="s">
        <v>626</v>
      </c>
      <c r="F86" s="625" t="s">
        <v>524</v>
      </c>
      <c r="G86" s="254">
        <v>406558</v>
      </c>
      <c r="H86" s="254"/>
      <c r="I86" s="921">
        <v>0</v>
      </c>
      <c r="J86" s="254">
        <v>406558</v>
      </c>
      <c r="K86" s="892">
        <v>105518.95</v>
      </c>
      <c r="L86" s="930">
        <f>K86/G86</f>
        <v>0.2595421809434324</v>
      </c>
    </row>
    <row r="87" spans="1:13" s="69" customFormat="1" ht="95.25" customHeight="1" x14ac:dyDescent="0.3">
      <c r="A87" s="1203" t="s">
        <v>298</v>
      </c>
      <c r="B87" s="1211" t="s">
        <v>299</v>
      </c>
      <c r="C87" s="1211" t="s">
        <v>300</v>
      </c>
      <c r="D87" s="1235" t="s">
        <v>302</v>
      </c>
      <c r="E87" s="274" t="s">
        <v>305</v>
      </c>
      <c r="F87" s="1216" t="s">
        <v>292</v>
      </c>
      <c r="G87" s="892">
        <v>6435596</v>
      </c>
      <c r="H87" s="595">
        <v>3693192.21</v>
      </c>
      <c r="I87" s="927">
        <f>H87/G87</f>
        <v>0.57386949242929486</v>
      </c>
      <c r="J87" s="254">
        <v>2138727</v>
      </c>
      <c r="K87" s="892">
        <v>1339325.8700000001</v>
      </c>
      <c r="L87" s="909">
        <v>1</v>
      </c>
    </row>
    <row r="88" spans="1:13" s="69" customFormat="1" ht="15.75" customHeight="1" x14ac:dyDescent="0.3">
      <c r="A88" s="1203"/>
      <c r="B88" s="1211"/>
      <c r="C88" s="1211"/>
      <c r="D88" s="1235"/>
      <c r="E88" s="821" t="s">
        <v>297</v>
      </c>
      <c r="F88" s="1216"/>
      <c r="G88" s="899">
        <v>169440</v>
      </c>
      <c r="H88" s="895">
        <v>167500</v>
      </c>
      <c r="I88" s="922">
        <v>1</v>
      </c>
      <c r="J88" s="254"/>
      <c r="K88" s="892"/>
      <c r="L88" s="912">
        <v>1</v>
      </c>
    </row>
    <row r="89" spans="1:13" s="69" customFormat="1" ht="112.5" customHeight="1" x14ac:dyDescent="0.3">
      <c r="A89" s="857" t="s">
        <v>298</v>
      </c>
      <c r="B89" s="884" t="s">
        <v>299</v>
      </c>
      <c r="C89" s="884" t="s">
        <v>300</v>
      </c>
      <c r="D89" s="824" t="s">
        <v>302</v>
      </c>
      <c r="E89" s="890" t="s">
        <v>535</v>
      </c>
      <c r="F89" s="664" t="s">
        <v>524</v>
      </c>
      <c r="G89" s="244">
        <v>49800</v>
      </c>
      <c r="H89" s="244"/>
      <c r="I89" s="932">
        <v>0</v>
      </c>
      <c r="J89" s="915">
        <v>49800</v>
      </c>
      <c r="K89" s="892">
        <v>48548.2</v>
      </c>
      <c r="L89" s="916">
        <v>1</v>
      </c>
    </row>
    <row r="90" spans="1:13" s="69" customFormat="1" ht="111" customHeight="1" x14ac:dyDescent="0.3">
      <c r="A90" s="857" t="s">
        <v>298</v>
      </c>
      <c r="B90" s="884" t="s">
        <v>299</v>
      </c>
      <c r="C90" s="884" t="s">
        <v>300</v>
      </c>
      <c r="D90" s="824" t="s">
        <v>302</v>
      </c>
      <c r="E90" s="890" t="s">
        <v>536</v>
      </c>
      <c r="F90" s="664" t="s">
        <v>524</v>
      </c>
      <c r="G90" s="244">
        <v>1600000</v>
      </c>
      <c r="H90" s="244"/>
      <c r="I90" s="932">
        <v>0</v>
      </c>
      <c r="J90" s="244">
        <f>1550200-400000</f>
        <v>1150200</v>
      </c>
      <c r="K90" s="892">
        <v>817921.5</v>
      </c>
      <c r="L90" s="916">
        <v>1</v>
      </c>
    </row>
    <row r="91" spans="1:13" s="69" customFormat="1" ht="73.5" customHeight="1" x14ac:dyDescent="0.3">
      <c r="A91" s="1203" t="s">
        <v>537</v>
      </c>
      <c r="B91" s="1211" t="s">
        <v>538</v>
      </c>
      <c r="C91" s="1211" t="s">
        <v>300</v>
      </c>
      <c r="D91" s="1212" t="s">
        <v>539</v>
      </c>
      <c r="E91" s="913" t="s">
        <v>627</v>
      </c>
      <c r="F91" s="1209" t="s">
        <v>540</v>
      </c>
      <c r="G91" s="244">
        <v>1630569</v>
      </c>
      <c r="H91" s="244">
        <v>120891</v>
      </c>
      <c r="I91" s="932">
        <f>(H91/G91)*100%</f>
        <v>7.4140376764184779E-2</v>
      </c>
      <c r="J91" s="244">
        <f>1501526-183812</f>
        <v>1317714</v>
      </c>
      <c r="K91" s="892">
        <v>1136638.2</v>
      </c>
      <c r="L91" s="916">
        <v>1</v>
      </c>
    </row>
    <row r="92" spans="1:13" s="70" customFormat="1" ht="32.25" customHeight="1" x14ac:dyDescent="0.35">
      <c r="A92" s="1203"/>
      <c r="B92" s="1211"/>
      <c r="C92" s="1211"/>
      <c r="D92" s="1212"/>
      <c r="E92" s="819" t="s">
        <v>301</v>
      </c>
      <c r="F92" s="1209"/>
      <c r="G92" s="256">
        <v>129043</v>
      </c>
      <c r="H92" s="256">
        <v>120891</v>
      </c>
      <c r="I92" s="933">
        <v>1</v>
      </c>
      <c r="J92" s="256"/>
      <c r="K92" s="899"/>
      <c r="L92" s="916">
        <v>1</v>
      </c>
    </row>
    <row r="93" spans="1:13" s="70" customFormat="1" ht="96.75" customHeight="1" x14ac:dyDescent="0.35">
      <c r="A93" s="857" t="s">
        <v>537</v>
      </c>
      <c r="B93" s="884" t="s">
        <v>538</v>
      </c>
      <c r="C93" s="884" t="s">
        <v>300</v>
      </c>
      <c r="D93" s="828" t="s">
        <v>539</v>
      </c>
      <c r="E93" s="920" t="s">
        <v>677</v>
      </c>
      <c r="F93" s="664" t="s">
        <v>524</v>
      </c>
      <c r="G93" s="244">
        <v>49950</v>
      </c>
      <c r="H93" s="244"/>
      <c r="I93" s="932">
        <v>0</v>
      </c>
      <c r="J93" s="244">
        <v>49950</v>
      </c>
      <c r="K93" s="892">
        <v>48426.16</v>
      </c>
      <c r="L93" s="916">
        <v>1</v>
      </c>
    </row>
    <row r="94" spans="1:13" s="70" customFormat="1" ht="75.75" customHeight="1" x14ac:dyDescent="0.35">
      <c r="A94" s="857" t="s">
        <v>537</v>
      </c>
      <c r="B94" s="884" t="s">
        <v>538</v>
      </c>
      <c r="C94" s="884" t="s">
        <v>300</v>
      </c>
      <c r="D94" s="828" t="s">
        <v>539</v>
      </c>
      <c r="E94" s="920" t="s">
        <v>678</v>
      </c>
      <c r="F94" s="664" t="s">
        <v>524</v>
      </c>
      <c r="G94" s="244">
        <v>541861</v>
      </c>
      <c r="H94" s="244"/>
      <c r="I94" s="932">
        <v>0</v>
      </c>
      <c r="J94" s="244">
        <v>541861</v>
      </c>
      <c r="K94" s="892">
        <v>525518.39</v>
      </c>
      <c r="L94" s="916">
        <v>1</v>
      </c>
    </row>
    <row r="95" spans="1:13" s="69" customFormat="1" ht="136.5" customHeight="1" x14ac:dyDescent="0.3">
      <c r="A95" s="247" t="s">
        <v>541</v>
      </c>
      <c r="B95" s="664" t="s">
        <v>542</v>
      </c>
      <c r="C95" s="664" t="s">
        <v>300</v>
      </c>
      <c r="D95" s="825" t="s">
        <v>543</v>
      </c>
      <c r="E95" s="825" t="s">
        <v>544</v>
      </c>
      <c r="F95" s="664" t="s">
        <v>524</v>
      </c>
      <c r="G95" s="596">
        <v>1477980</v>
      </c>
      <c r="H95" s="596"/>
      <c r="I95" s="914">
        <v>0</v>
      </c>
      <c r="J95" s="596">
        <f>1477980-213962</f>
        <v>1264018</v>
      </c>
      <c r="K95" s="892">
        <v>1263547.04</v>
      </c>
      <c r="L95" s="894">
        <v>1</v>
      </c>
    </row>
    <row r="96" spans="1:13" s="696" customFormat="1" ht="74.25" customHeight="1" x14ac:dyDescent="0.3">
      <c r="A96" s="1203" t="s">
        <v>545</v>
      </c>
      <c r="B96" s="1205" t="s">
        <v>138</v>
      </c>
      <c r="C96" s="1205" t="s">
        <v>139</v>
      </c>
      <c r="D96" s="1207" t="s">
        <v>140</v>
      </c>
      <c r="E96" s="934" t="s">
        <v>628</v>
      </c>
      <c r="F96" s="1209" t="s">
        <v>546</v>
      </c>
      <c r="G96" s="596">
        <v>45050824</v>
      </c>
      <c r="H96" s="244">
        <v>2753824</v>
      </c>
      <c r="I96" s="914">
        <v>7.0000000000000007E-2</v>
      </c>
      <c r="J96" s="244">
        <f>6418944-478735-5940209+7000000+531097-2799508</f>
        <v>4731589</v>
      </c>
      <c r="K96" s="338"/>
      <c r="L96" s="916">
        <f>7%</f>
        <v>7.0000000000000007E-2</v>
      </c>
      <c r="M96" s="753"/>
    </row>
    <row r="97" spans="1:13" s="696" customFormat="1" ht="18.75" customHeight="1" x14ac:dyDescent="0.3">
      <c r="A97" s="1203"/>
      <c r="B97" s="1205"/>
      <c r="C97" s="1205"/>
      <c r="D97" s="1207"/>
      <c r="E97" s="935" t="s">
        <v>293</v>
      </c>
      <c r="F97" s="1209"/>
      <c r="G97" s="897">
        <v>169781</v>
      </c>
      <c r="H97" s="256">
        <v>169781</v>
      </c>
      <c r="I97" s="918">
        <v>1</v>
      </c>
      <c r="J97" s="256"/>
      <c r="K97" s="338"/>
      <c r="L97" s="919">
        <v>1</v>
      </c>
    </row>
    <row r="98" spans="1:13" s="696" customFormat="1" ht="33" customHeight="1" x14ac:dyDescent="0.3">
      <c r="A98" s="1203"/>
      <c r="B98" s="1205"/>
      <c r="C98" s="1205"/>
      <c r="D98" s="1207"/>
      <c r="E98" s="895" t="s">
        <v>301</v>
      </c>
      <c r="F98" s="1209"/>
      <c r="G98" s="897">
        <v>1003085</v>
      </c>
      <c r="H98" s="256">
        <v>1003085</v>
      </c>
      <c r="I98" s="918">
        <v>1</v>
      </c>
      <c r="J98" s="256"/>
      <c r="K98" s="338"/>
      <c r="L98" s="919">
        <v>1</v>
      </c>
    </row>
    <row r="99" spans="1:13" s="696" customFormat="1" ht="76.5" customHeight="1" x14ac:dyDescent="0.3">
      <c r="A99" s="1203"/>
      <c r="B99" s="1205"/>
      <c r="C99" s="1205"/>
      <c r="D99" s="1207"/>
      <c r="E99" s="895" t="s">
        <v>679</v>
      </c>
      <c r="F99" s="1209"/>
      <c r="G99" s="897">
        <v>10458431</v>
      </c>
      <c r="H99" s="256"/>
      <c r="I99" s="918">
        <v>0</v>
      </c>
      <c r="J99" s="256">
        <f>7531097-2799508</f>
        <v>4731589</v>
      </c>
      <c r="K99" s="338"/>
      <c r="L99" s="919">
        <v>0</v>
      </c>
    </row>
    <row r="100" spans="1:13" s="696" customFormat="1" ht="75.75" customHeight="1" x14ac:dyDescent="0.3">
      <c r="A100" s="857" t="s">
        <v>545</v>
      </c>
      <c r="B100" s="858" t="s">
        <v>138</v>
      </c>
      <c r="C100" s="858" t="s">
        <v>139</v>
      </c>
      <c r="D100" s="829" t="s">
        <v>140</v>
      </c>
      <c r="E100" s="595" t="s">
        <v>629</v>
      </c>
      <c r="F100" s="664" t="s">
        <v>524</v>
      </c>
      <c r="G100" s="596">
        <v>148634</v>
      </c>
      <c r="H100" s="244"/>
      <c r="I100" s="914">
        <v>0</v>
      </c>
      <c r="J100" s="244">
        <v>148634</v>
      </c>
      <c r="K100" s="338">
        <v>148385.19</v>
      </c>
      <c r="L100" s="916">
        <v>1</v>
      </c>
    </row>
    <row r="101" spans="1:13" s="696" customFormat="1" ht="76.5" customHeight="1" x14ac:dyDescent="0.3">
      <c r="A101" s="1203" t="s">
        <v>630</v>
      </c>
      <c r="B101" s="1205" t="s">
        <v>631</v>
      </c>
      <c r="C101" s="1205" t="s">
        <v>231</v>
      </c>
      <c r="D101" s="1207" t="s">
        <v>232</v>
      </c>
      <c r="E101" s="829" t="s">
        <v>632</v>
      </c>
      <c r="F101" s="1209" t="s">
        <v>524</v>
      </c>
      <c r="G101" s="596">
        <f>G102+G104</f>
        <v>5455092</v>
      </c>
      <c r="H101" s="244"/>
      <c r="I101" s="914">
        <v>0</v>
      </c>
      <c r="J101" s="244">
        <f>J102+J104</f>
        <v>5441652</v>
      </c>
      <c r="K101" s="338">
        <f>K102</f>
        <v>96000</v>
      </c>
      <c r="L101" s="916">
        <f>K101/G101*100%</f>
        <v>1.7598236656687E-2</v>
      </c>
      <c r="M101" s="753"/>
    </row>
    <row r="102" spans="1:13" s="696" customFormat="1" ht="93.75" customHeight="1" x14ac:dyDescent="0.3">
      <c r="A102" s="1203"/>
      <c r="B102" s="1205"/>
      <c r="C102" s="1205"/>
      <c r="D102" s="1207"/>
      <c r="E102" s="895" t="s">
        <v>680</v>
      </c>
      <c r="F102" s="1209"/>
      <c r="G102" s="897">
        <v>3091468</v>
      </c>
      <c r="H102" s="256"/>
      <c r="I102" s="918">
        <v>0</v>
      </c>
      <c r="J102" s="256">
        <f>2042000+1036028</f>
        <v>3078028</v>
      </c>
      <c r="K102" s="924">
        <f>K103</f>
        <v>96000</v>
      </c>
      <c r="L102" s="919">
        <f>K102/G102*100%</f>
        <v>3.1053208378673175E-2</v>
      </c>
    </row>
    <row r="103" spans="1:13" s="696" customFormat="1" ht="19.5" customHeight="1" x14ac:dyDescent="0.3">
      <c r="A103" s="1203"/>
      <c r="B103" s="1205"/>
      <c r="C103" s="1205"/>
      <c r="D103" s="1207"/>
      <c r="E103" s="895" t="s">
        <v>531</v>
      </c>
      <c r="F103" s="1209"/>
      <c r="G103" s="897">
        <v>109440</v>
      </c>
      <c r="H103" s="256"/>
      <c r="I103" s="918">
        <v>0</v>
      </c>
      <c r="J103" s="256">
        <v>96000</v>
      </c>
      <c r="K103" s="924">
        <v>96000</v>
      </c>
      <c r="L103" s="919">
        <v>1</v>
      </c>
    </row>
    <row r="104" spans="1:13" s="696" customFormat="1" ht="117.75" customHeight="1" thickBot="1" x14ac:dyDescent="0.35">
      <c r="A104" s="1204"/>
      <c r="B104" s="1206"/>
      <c r="C104" s="1206"/>
      <c r="D104" s="1208"/>
      <c r="E104" s="979" t="s">
        <v>681</v>
      </c>
      <c r="F104" s="1210"/>
      <c r="G104" s="980">
        <v>2363624</v>
      </c>
      <c r="H104" s="981"/>
      <c r="I104" s="982">
        <v>0</v>
      </c>
      <c r="J104" s="981">
        <f>2363624</f>
        <v>2363624</v>
      </c>
      <c r="K104" s="983"/>
      <c r="L104" s="984">
        <v>0</v>
      </c>
    </row>
    <row r="105" spans="1:13" s="696" customFormat="1" ht="74.25" customHeight="1" thickBot="1" x14ac:dyDescent="0.35">
      <c r="A105" s="878" t="s">
        <v>199</v>
      </c>
      <c r="B105" s="985"/>
      <c r="C105" s="985"/>
      <c r="D105" s="750" t="s">
        <v>200</v>
      </c>
      <c r="E105" s="694"/>
      <c r="F105" s="986"/>
      <c r="G105" s="987"/>
      <c r="H105" s="695"/>
      <c r="I105" s="988"/>
      <c r="J105" s="275">
        <f>J106</f>
        <v>6968100</v>
      </c>
      <c r="K105" s="275">
        <f>K106</f>
        <v>6968099.3499999996</v>
      </c>
      <c r="L105" s="268"/>
    </row>
    <row r="106" spans="1:13" s="696" customFormat="1" ht="55.5" customHeight="1" thickBot="1" x14ac:dyDescent="0.35">
      <c r="A106" s="989" t="s">
        <v>201</v>
      </c>
      <c r="B106" s="985"/>
      <c r="C106" s="985"/>
      <c r="D106" s="832" t="s">
        <v>200</v>
      </c>
      <c r="E106" s="694"/>
      <c r="F106" s="986"/>
      <c r="G106" s="987"/>
      <c r="H106" s="695"/>
      <c r="I106" s="988"/>
      <c r="J106" s="695">
        <f>J107</f>
        <v>6968100</v>
      </c>
      <c r="K106" s="990">
        <f>K107</f>
        <v>6968099.3499999996</v>
      </c>
      <c r="L106" s="268"/>
    </row>
    <row r="107" spans="1:13" s="696" customFormat="1" ht="60" customHeight="1" thickBot="1" x14ac:dyDescent="0.35">
      <c r="A107" s="991" t="s">
        <v>682</v>
      </c>
      <c r="B107" s="744" t="s">
        <v>683</v>
      </c>
      <c r="C107" s="744" t="s">
        <v>300</v>
      </c>
      <c r="D107" s="992" t="s">
        <v>648</v>
      </c>
      <c r="E107" s="592" t="s">
        <v>684</v>
      </c>
      <c r="F107" s="993"/>
      <c r="G107" s="994"/>
      <c r="H107" s="995"/>
      <c r="I107" s="996"/>
      <c r="J107" s="589">
        <v>6968100</v>
      </c>
      <c r="K107" s="997">
        <v>6968099.3499999996</v>
      </c>
      <c r="L107" s="998"/>
    </row>
    <row r="108" spans="1:13" s="69" customFormat="1" ht="54.75" customHeight="1" thickBot="1" x14ac:dyDescent="0.35">
      <c r="A108" s="878" t="s">
        <v>207</v>
      </c>
      <c r="B108" s="879" t="s">
        <v>14</v>
      </c>
      <c r="C108" s="879" t="s">
        <v>14</v>
      </c>
      <c r="D108" s="750" t="s">
        <v>208</v>
      </c>
      <c r="E108" s="1002">
        <v>0</v>
      </c>
      <c r="F108" s="679"/>
      <c r="G108" s="1003"/>
      <c r="H108" s="1004"/>
      <c r="I108" s="1005"/>
      <c r="J108" s="230">
        <f>J109</f>
        <v>46000</v>
      </c>
      <c r="K108" s="230">
        <f>K109</f>
        <v>46000</v>
      </c>
      <c r="L108" s="237"/>
    </row>
    <row r="109" spans="1:13" s="69" customFormat="1" ht="54" customHeight="1" thickBot="1" x14ac:dyDescent="0.35">
      <c r="A109" s="882" t="s">
        <v>209</v>
      </c>
      <c r="B109" s="870" t="s">
        <v>14</v>
      </c>
      <c r="C109" s="870" t="s">
        <v>14</v>
      </c>
      <c r="D109" s="832" t="s">
        <v>208</v>
      </c>
      <c r="E109" s="1002"/>
      <c r="F109" s="679"/>
      <c r="G109" s="1003"/>
      <c r="H109" s="1004"/>
      <c r="I109" s="1005"/>
      <c r="J109" s="263">
        <f>J110</f>
        <v>46000</v>
      </c>
      <c r="K109" s="263">
        <f>K110</f>
        <v>46000</v>
      </c>
      <c r="L109" s="237"/>
    </row>
    <row r="110" spans="1:13" s="69" customFormat="1" ht="57.75" customHeight="1" thickBot="1" x14ac:dyDescent="0.35">
      <c r="A110" s="1006" t="s">
        <v>210</v>
      </c>
      <c r="B110" s="805" t="s">
        <v>44</v>
      </c>
      <c r="C110" s="805" t="s">
        <v>17</v>
      </c>
      <c r="D110" s="992" t="s">
        <v>175</v>
      </c>
      <c r="E110" s="1007" t="s">
        <v>286</v>
      </c>
      <c r="F110" s="631"/>
      <c r="G110" s="1008"/>
      <c r="H110" s="1009"/>
      <c r="I110" s="1010"/>
      <c r="J110" s="252">
        <f>23000+23000</f>
        <v>46000</v>
      </c>
      <c r="K110" s="1011">
        <v>46000</v>
      </c>
      <c r="L110" s="1012"/>
    </row>
    <row r="111" spans="1:13" s="69" customFormat="1" ht="57.75" customHeight="1" thickBot="1" x14ac:dyDescent="0.35">
      <c r="A111" s="878">
        <v>3700000</v>
      </c>
      <c r="B111" s="1013"/>
      <c r="C111" s="1013"/>
      <c r="D111" s="750" t="s">
        <v>212</v>
      </c>
      <c r="E111" s="880"/>
      <c r="F111" s="679"/>
      <c r="G111" s="1003"/>
      <c r="H111" s="1004"/>
      <c r="I111" s="1005"/>
      <c r="J111" s="230">
        <f>J112</f>
        <v>48200</v>
      </c>
      <c r="K111" s="230">
        <f>K112</f>
        <v>48200</v>
      </c>
      <c r="L111" s="237"/>
    </row>
    <row r="112" spans="1:13" s="69" customFormat="1" ht="36.75" customHeight="1" thickBot="1" x14ac:dyDescent="0.35">
      <c r="A112" s="882">
        <v>3710000</v>
      </c>
      <c r="B112" s="870" t="s">
        <v>14</v>
      </c>
      <c r="C112" s="870" t="s">
        <v>14</v>
      </c>
      <c r="D112" s="832" t="s">
        <v>212</v>
      </c>
      <c r="E112" s="880"/>
      <c r="F112" s="679"/>
      <c r="G112" s="1003"/>
      <c r="H112" s="1004"/>
      <c r="I112" s="1005"/>
      <c r="J112" s="263">
        <f>J113</f>
        <v>48200</v>
      </c>
      <c r="K112" s="263">
        <f>K113</f>
        <v>48200</v>
      </c>
      <c r="L112" s="237"/>
    </row>
    <row r="113" spans="1:16" s="69" customFormat="1" ht="57.75" customHeight="1" x14ac:dyDescent="0.3">
      <c r="A113" s="883">
        <v>3710160</v>
      </c>
      <c r="B113" s="806" t="s">
        <v>44</v>
      </c>
      <c r="C113" s="806" t="s">
        <v>17</v>
      </c>
      <c r="D113" s="834" t="s">
        <v>175</v>
      </c>
      <c r="E113" s="849" t="s">
        <v>286</v>
      </c>
      <c r="F113" s="647"/>
      <c r="G113" s="999"/>
      <c r="H113" s="513"/>
      <c r="I113" s="1000"/>
      <c r="J113" s="258">
        <f>0+48200</f>
        <v>48200</v>
      </c>
      <c r="K113" s="875">
        <v>48200</v>
      </c>
      <c r="L113" s="1001"/>
    </row>
    <row r="114" spans="1:16" ht="18" customHeight="1" thickBot="1" x14ac:dyDescent="0.3">
      <c r="A114" s="936" t="s">
        <v>295</v>
      </c>
      <c r="B114" s="937" t="s">
        <v>295</v>
      </c>
      <c r="C114" s="937" t="s">
        <v>295</v>
      </c>
      <c r="D114" s="938" t="s">
        <v>148</v>
      </c>
      <c r="E114" s="939" t="s">
        <v>295</v>
      </c>
      <c r="F114" s="940" t="s">
        <v>295</v>
      </c>
      <c r="G114" s="941" t="s">
        <v>295</v>
      </c>
      <c r="H114" s="941" t="s">
        <v>295</v>
      </c>
      <c r="I114" s="941" t="s">
        <v>295</v>
      </c>
      <c r="J114" s="942">
        <f>J15+J29+J34+J42+J47+J108+J25+J111+J105</f>
        <v>202287367</v>
      </c>
      <c r="K114" s="942">
        <f>K15+K29+K34+K42+K47+K108+K25+K111+K105</f>
        <v>115910783.55</v>
      </c>
      <c r="L114" s="943" t="s">
        <v>295</v>
      </c>
      <c r="M114" s="71"/>
    </row>
    <row r="115" spans="1:16" ht="20.399999999999999" x14ac:dyDescent="0.25">
      <c r="A115" s="754"/>
      <c r="B115" s="755"/>
      <c r="C115" s="755"/>
      <c r="D115" s="756"/>
      <c r="E115" s="757"/>
      <c r="F115" s="758"/>
      <c r="G115" s="759"/>
      <c r="H115" s="759"/>
      <c r="I115" s="759"/>
      <c r="J115" s="760"/>
      <c r="K115" s="761"/>
    </row>
    <row r="116" spans="1:16" s="25" customFormat="1" ht="45" customHeight="1" x14ac:dyDescent="0.3">
      <c r="A116" s="1202" t="s">
        <v>685</v>
      </c>
      <c r="B116" s="1202"/>
      <c r="C116" s="1202"/>
      <c r="D116" s="1202"/>
      <c r="E116" s="1202"/>
      <c r="F116" s="1202"/>
      <c r="G116" s="1202"/>
      <c r="H116" s="1202"/>
      <c r="I116" s="1202"/>
      <c r="J116" s="1202"/>
      <c r="K116" s="21"/>
      <c r="L116" s="22"/>
      <c r="M116" s="21"/>
      <c r="N116" s="21"/>
      <c r="O116" s="23"/>
      <c r="P116" s="24"/>
    </row>
    <row r="118" spans="1:16" s="18" customFormat="1" ht="21" x14ac:dyDescent="0.4">
      <c r="A118" s="697"/>
      <c r="B118" s="697"/>
      <c r="G118" s="698"/>
      <c r="J118" s="699"/>
    </row>
    <row r="119" spans="1:16" s="701" customFormat="1" ht="21" x14ac:dyDescent="0.4">
      <c r="A119" s="700"/>
      <c r="B119" s="700"/>
    </row>
    <row r="120" spans="1:16" s="546" customFormat="1" ht="21" x14ac:dyDescent="0.4">
      <c r="B120" s="555"/>
      <c r="C120" s="554"/>
      <c r="E120" s="702"/>
      <c r="F120" s="554"/>
      <c r="G120" s="698"/>
      <c r="H120" s="698"/>
      <c r="I120" s="698"/>
      <c r="J120" s="762"/>
      <c r="K120" s="703"/>
    </row>
    <row r="121" spans="1:16" x14ac:dyDescent="0.25">
      <c r="B121" s="59"/>
      <c r="C121" s="59"/>
      <c r="D121" s="59"/>
      <c r="E121" s="59"/>
      <c r="F121" s="59"/>
      <c r="G121" s="59"/>
      <c r="H121" s="59"/>
      <c r="I121" s="59"/>
      <c r="J121" s="59"/>
      <c r="K121" s="59"/>
    </row>
    <row r="122" spans="1:16" x14ac:dyDescent="0.25">
      <c r="B122" s="59"/>
      <c r="C122" s="59"/>
      <c r="D122" s="59"/>
      <c r="E122" s="59"/>
      <c r="F122" s="59"/>
      <c r="G122" s="59"/>
      <c r="H122" s="59"/>
      <c r="I122" s="59"/>
      <c r="J122" s="59"/>
      <c r="K122" s="59"/>
    </row>
  </sheetData>
  <mergeCells count="89">
    <mergeCell ref="I6:J6"/>
    <mergeCell ref="A84:A85"/>
    <mergeCell ref="B84:B85"/>
    <mergeCell ref="C84:C85"/>
    <mergeCell ref="D84:D85"/>
    <mergeCell ref="F84:F85"/>
    <mergeCell ref="A56:A57"/>
    <mergeCell ref="B56:B57"/>
    <mergeCell ref="C56:C57"/>
    <mergeCell ref="D56:D57"/>
    <mergeCell ref="F56:F57"/>
    <mergeCell ref="A62:A64"/>
    <mergeCell ref="B62:B64"/>
    <mergeCell ref="C62:C64"/>
    <mergeCell ref="D62:D64"/>
    <mergeCell ref="F62:F64"/>
    <mergeCell ref="A60:A61"/>
    <mergeCell ref="B60:B61"/>
    <mergeCell ref="C60:C61"/>
    <mergeCell ref="D60:D61"/>
    <mergeCell ref="F60:F61"/>
    <mergeCell ref="A67:A68"/>
    <mergeCell ref="B67:B68"/>
    <mergeCell ref="C67:C68"/>
    <mergeCell ref="D67:D68"/>
    <mergeCell ref="F67:F68"/>
    <mergeCell ref="A73:A74"/>
    <mergeCell ref="B73:B74"/>
    <mergeCell ref="C73:C74"/>
    <mergeCell ref="D73:D74"/>
    <mergeCell ref="F73:F74"/>
    <mergeCell ref="A9:K9"/>
    <mergeCell ref="A10:C10"/>
    <mergeCell ref="D10:K10"/>
    <mergeCell ref="A11:C11"/>
    <mergeCell ref="A12:A13"/>
    <mergeCell ref="B12:B13"/>
    <mergeCell ref="C12:C13"/>
    <mergeCell ref="D12:D13"/>
    <mergeCell ref="E12:E13"/>
    <mergeCell ref="F12:F13"/>
    <mergeCell ref="G12:G13"/>
    <mergeCell ref="H12:H13"/>
    <mergeCell ref="I12:I13"/>
    <mergeCell ref="J12:J13"/>
    <mergeCell ref="K12:K13"/>
    <mergeCell ref="L12:L13"/>
    <mergeCell ref="A54:A55"/>
    <mergeCell ref="B54:B55"/>
    <mergeCell ref="C54:C55"/>
    <mergeCell ref="D54:D55"/>
    <mergeCell ref="F54:F55"/>
    <mergeCell ref="A50:A52"/>
    <mergeCell ref="B50:B52"/>
    <mergeCell ref="C50:C52"/>
    <mergeCell ref="D50:D52"/>
    <mergeCell ref="F50:F52"/>
    <mergeCell ref="A71:A72"/>
    <mergeCell ref="B71:B72"/>
    <mergeCell ref="C71:C72"/>
    <mergeCell ref="D71:D72"/>
    <mergeCell ref="F71:F72"/>
    <mergeCell ref="F91:F92"/>
    <mergeCell ref="A79:A81"/>
    <mergeCell ref="B79:B81"/>
    <mergeCell ref="C79:C81"/>
    <mergeCell ref="D79:D81"/>
    <mergeCell ref="F79:F81"/>
    <mergeCell ref="A87:A88"/>
    <mergeCell ref="B87:B88"/>
    <mergeCell ref="C87:C88"/>
    <mergeCell ref="D87:D88"/>
    <mergeCell ref="F87:F88"/>
    <mergeCell ref="I5:J5"/>
    <mergeCell ref="A116:J116"/>
    <mergeCell ref="A101:A104"/>
    <mergeCell ref="B101:B104"/>
    <mergeCell ref="C101:C104"/>
    <mergeCell ref="D101:D104"/>
    <mergeCell ref="F101:F104"/>
    <mergeCell ref="A96:A99"/>
    <mergeCell ref="B96:B99"/>
    <mergeCell ref="C96:C99"/>
    <mergeCell ref="D96:D99"/>
    <mergeCell ref="F96:F99"/>
    <mergeCell ref="A91:A92"/>
    <mergeCell ref="B91:B92"/>
    <mergeCell ref="C91:C92"/>
    <mergeCell ref="D91:D92"/>
  </mergeCells>
  <pageMargins left="1.1811023622047245" right="0.39370078740157483" top="0.70866141732283472" bottom="0.70866141732283472"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32"/>
  <sheetViews>
    <sheetView view="pageBreakPreview" zoomScaleNormal="100" zoomScaleSheetLayoutView="100" workbookViewId="0">
      <selection activeCell="F3" sqref="F3:G4"/>
    </sheetView>
  </sheetViews>
  <sheetFormatPr defaultRowHeight="15.6" x14ac:dyDescent="0.3"/>
  <cols>
    <col min="1" max="1" width="12.88671875" style="64" customWidth="1"/>
    <col min="2" max="2" width="13" style="64" customWidth="1"/>
    <col min="3" max="3" width="13.44140625" style="134" customWidth="1"/>
    <col min="4" max="4" width="25.5546875" style="64" customWidth="1"/>
    <col min="5" max="5" width="50.5546875" style="64" customWidth="1"/>
    <col min="6" max="6" width="19.109375" style="64" customWidth="1"/>
    <col min="7" max="7" width="16.44140625" style="64" customWidth="1"/>
    <col min="8" max="8" width="13.6640625" style="64" customWidth="1"/>
    <col min="9" max="256" width="8.88671875" style="64"/>
    <col min="257" max="257" width="12.88671875" style="64" customWidth="1"/>
    <col min="258" max="258" width="13" style="64" customWidth="1"/>
    <col min="259" max="259" width="13.44140625" style="64" customWidth="1"/>
    <col min="260" max="260" width="25.5546875" style="64" customWidth="1"/>
    <col min="261" max="261" width="50.5546875" style="64" customWidth="1"/>
    <col min="262" max="262" width="19.109375" style="64" customWidth="1"/>
    <col min="263" max="263" width="16.44140625" style="64" customWidth="1"/>
    <col min="264" max="264" width="13.6640625" style="64" customWidth="1"/>
    <col min="265" max="512" width="8.88671875" style="64"/>
    <col min="513" max="513" width="12.88671875" style="64" customWidth="1"/>
    <col min="514" max="514" width="13" style="64" customWidth="1"/>
    <col min="515" max="515" width="13.44140625" style="64" customWidth="1"/>
    <col min="516" max="516" width="25.5546875" style="64" customWidth="1"/>
    <col min="517" max="517" width="50.5546875" style="64" customWidth="1"/>
    <col min="518" max="518" width="19.109375" style="64" customWidth="1"/>
    <col min="519" max="519" width="16.44140625" style="64" customWidth="1"/>
    <col min="520" max="520" width="13.6640625" style="64" customWidth="1"/>
    <col min="521" max="768" width="8.88671875" style="64"/>
    <col min="769" max="769" width="12.88671875" style="64" customWidth="1"/>
    <col min="770" max="770" width="13" style="64" customWidth="1"/>
    <col min="771" max="771" width="13.44140625" style="64" customWidth="1"/>
    <col min="772" max="772" width="25.5546875" style="64" customWidth="1"/>
    <col min="773" max="773" width="50.5546875" style="64" customWidth="1"/>
    <col min="774" max="774" width="19.109375" style="64" customWidth="1"/>
    <col min="775" max="775" width="16.44140625" style="64" customWidth="1"/>
    <col min="776" max="776" width="13.6640625" style="64" customWidth="1"/>
    <col min="777" max="1024" width="8.88671875" style="64"/>
    <col min="1025" max="1025" width="12.88671875" style="64" customWidth="1"/>
    <col min="1026" max="1026" width="13" style="64" customWidth="1"/>
    <col min="1027" max="1027" width="13.44140625" style="64" customWidth="1"/>
    <col min="1028" max="1028" width="25.5546875" style="64" customWidth="1"/>
    <col min="1029" max="1029" width="50.5546875" style="64" customWidth="1"/>
    <col min="1030" max="1030" width="19.109375" style="64" customWidth="1"/>
    <col min="1031" max="1031" width="16.44140625" style="64" customWidth="1"/>
    <col min="1032" max="1032" width="13.6640625" style="64" customWidth="1"/>
    <col min="1033" max="1280" width="8.88671875" style="64"/>
    <col min="1281" max="1281" width="12.88671875" style="64" customWidth="1"/>
    <col min="1282" max="1282" width="13" style="64" customWidth="1"/>
    <col min="1283" max="1283" width="13.44140625" style="64" customWidth="1"/>
    <col min="1284" max="1284" width="25.5546875" style="64" customWidth="1"/>
    <col min="1285" max="1285" width="50.5546875" style="64" customWidth="1"/>
    <col min="1286" max="1286" width="19.109375" style="64" customWidth="1"/>
    <col min="1287" max="1287" width="16.44140625" style="64" customWidth="1"/>
    <col min="1288" max="1288" width="13.6640625" style="64" customWidth="1"/>
    <col min="1289" max="1536" width="8.88671875" style="64"/>
    <col min="1537" max="1537" width="12.88671875" style="64" customWidth="1"/>
    <col min="1538" max="1538" width="13" style="64" customWidth="1"/>
    <col min="1539" max="1539" width="13.44140625" style="64" customWidth="1"/>
    <col min="1540" max="1540" width="25.5546875" style="64" customWidth="1"/>
    <col min="1541" max="1541" width="50.5546875" style="64" customWidth="1"/>
    <col min="1542" max="1542" width="19.109375" style="64" customWidth="1"/>
    <col min="1543" max="1543" width="16.44140625" style="64" customWidth="1"/>
    <col min="1544" max="1544" width="13.6640625" style="64" customWidth="1"/>
    <col min="1545" max="1792" width="8.88671875" style="64"/>
    <col min="1793" max="1793" width="12.88671875" style="64" customWidth="1"/>
    <col min="1794" max="1794" width="13" style="64" customWidth="1"/>
    <col min="1795" max="1795" width="13.44140625" style="64" customWidth="1"/>
    <col min="1796" max="1796" width="25.5546875" style="64" customWidth="1"/>
    <col min="1797" max="1797" width="50.5546875" style="64" customWidth="1"/>
    <col min="1798" max="1798" width="19.109375" style="64" customWidth="1"/>
    <col min="1799" max="1799" width="16.44140625" style="64" customWidth="1"/>
    <col min="1800" max="1800" width="13.6640625" style="64" customWidth="1"/>
    <col min="1801" max="2048" width="8.88671875" style="64"/>
    <col min="2049" max="2049" width="12.88671875" style="64" customWidth="1"/>
    <col min="2050" max="2050" width="13" style="64" customWidth="1"/>
    <col min="2051" max="2051" width="13.44140625" style="64" customWidth="1"/>
    <col min="2052" max="2052" width="25.5546875" style="64" customWidth="1"/>
    <col min="2053" max="2053" width="50.5546875" style="64" customWidth="1"/>
    <col min="2054" max="2054" width="19.109375" style="64" customWidth="1"/>
    <col min="2055" max="2055" width="16.44140625" style="64" customWidth="1"/>
    <col min="2056" max="2056" width="13.6640625" style="64" customWidth="1"/>
    <col min="2057" max="2304" width="8.88671875" style="64"/>
    <col min="2305" max="2305" width="12.88671875" style="64" customWidth="1"/>
    <col min="2306" max="2306" width="13" style="64" customWidth="1"/>
    <col min="2307" max="2307" width="13.44140625" style="64" customWidth="1"/>
    <col min="2308" max="2308" width="25.5546875" style="64" customWidth="1"/>
    <col min="2309" max="2309" width="50.5546875" style="64" customWidth="1"/>
    <col min="2310" max="2310" width="19.109375" style="64" customWidth="1"/>
    <col min="2311" max="2311" width="16.44140625" style="64" customWidth="1"/>
    <col min="2312" max="2312" width="13.6640625" style="64" customWidth="1"/>
    <col min="2313" max="2560" width="8.88671875" style="64"/>
    <col min="2561" max="2561" width="12.88671875" style="64" customWidth="1"/>
    <col min="2562" max="2562" width="13" style="64" customWidth="1"/>
    <col min="2563" max="2563" width="13.44140625" style="64" customWidth="1"/>
    <col min="2564" max="2564" width="25.5546875" style="64" customWidth="1"/>
    <col min="2565" max="2565" width="50.5546875" style="64" customWidth="1"/>
    <col min="2566" max="2566" width="19.109375" style="64" customWidth="1"/>
    <col min="2567" max="2567" width="16.44140625" style="64" customWidth="1"/>
    <col min="2568" max="2568" width="13.6640625" style="64" customWidth="1"/>
    <col min="2569" max="2816" width="8.88671875" style="64"/>
    <col min="2817" max="2817" width="12.88671875" style="64" customWidth="1"/>
    <col min="2818" max="2818" width="13" style="64" customWidth="1"/>
    <col min="2819" max="2819" width="13.44140625" style="64" customWidth="1"/>
    <col min="2820" max="2820" width="25.5546875" style="64" customWidth="1"/>
    <col min="2821" max="2821" width="50.5546875" style="64" customWidth="1"/>
    <col min="2822" max="2822" width="19.109375" style="64" customWidth="1"/>
    <col min="2823" max="2823" width="16.44140625" style="64" customWidth="1"/>
    <col min="2824" max="2824" width="13.6640625" style="64" customWidth="1"/>
    <col min="2825" max="3072" width="8.88671875" style="64"/>
    <col min="3073" max="3073" width="12.88671875" style="64" customWidth="1"/>
    <col min="3074" max="3074" width="13" style="64" customWidth="1"/>
    <col min="3075" max="3075" width="13.44140625" style="64" customWidth="1"/>
    <col min="3076" max="3076" width="25.5546875" style="64" customWidth="1"/>
    <col min="3077" max="3077" width="50.5546875" style="64" customWidth="1"/>
    <col min="3078" max="3078" width="19.109375" style="64" customWidth="1"/>
    <col min="3079" max="3079" width="16.44140625" style="64" customWidth="1"/>
    <col min="3080" max="3080" width="13.6640625" style="64" customWidth="1"/>
    <col min="3081" max="3328" width="8.88671875" style="64"/>
    <col min="3329" max="3329" width="12.88671875" style="64" customWidth="1"/>
    <col min="3330" max="3330" width="13" style="64" customWidth="1"/>
    <col min="3331" max="3331" width="13.44140625" style="64" customWidth="1"/>
    <col min="3332" max="3332" width="25.5546875" style="64" customWidth="1"/>
    <col min="3333" max="3333" width="50.5546875" style="64" customWidth="1"/>
    <col min="3334" max="3334" width="19.109375" style="64" customWidth="1"/>
    <col min="3335" max="3335" width="16.44140625" style="64" customWidth="1"/>
    <col min="3336" max="3336" width="13.6640625" style="64" customWidth="1"/>
    <col min="3337" max="3584" width="8.88671875" style="64"/>
    <col min="3585" max="3585" width="12.88671875" style="64" customWidth="1"/>
    <col min="3586" max="3586" width="13" style="64" customWidth="1"/>
    <col min="3587" max="3587" width="13.44140625" style="64" customWidth="1"/>
    <col min="3588" max="3588" width="25.5546875" style="64" customWidth="1"/>
    <col min="3589" max="3589" width="50.5546875" style="64" customWidth="1"/>
    <col min="3590" max="3590" width="19.109375" style="64" customWidth="1"/>
    <col min="3591" max="3591" width="16.44140625" style="64" customWidth="1"/>
    <col min="3592" max="3592" width="13.6640625" style="64" customWidth="1"/>
    <col min="3593" max="3840" width="8.88671875" style="64"/>
    <col min="3841" max="3841" width="12.88671875" style="64" customWidth="1"/>
    <col min="3842" max="3842" width="13" style="64" customWidth="1"/>
    <col min="3843" max="3843" width="13.44140625" style="64" customWidth="1"/>
    <col min="3844" max="3844" width="25.5546875" style="64" customWidth="1"/>
    <col min="3845" max="3845" width="50.5546875" style="64" customWidth="1"/>
    <col min="3846" max="3846" width="19.109375" style="64" customWidth="1"/>
    <col min="3847" max="3847" width="16.44140625" style="64" customWidth="1"/>
    <col min="3848" max="3848" width="13.6640625" style="64" customWidth="1"/>
    <col min="3849" max="4096" width="8.88671875" style="64"/>
    <col min="4097" max="4097" width="12.88671875" style="64" customWidth="1"/>
    <col min="4098" max="4098" width="13" style="64" customWidth="1"/>
    <col min="4099" max="4099" width="13.44140625" style="64" customWidth="1"/>
    <col min="4100" max="4100" width="25.5546875" style="64" customWidth="1"/>
    <col min="4101" max="4101" width="50.5546875" style="64" customWidth="1"/>
    <col min="4102" max="4102" width="19.109375" style="64" customWidth="1"/>
    <col min="4103" max="4103" width="16.44140625" style="64" customWidth="1"/>
    <col min="4104" max="4104" width="13.6640625" style="64" customWidth="1"/>
    <col min="4105" max="4352" width="8.88671875" style="64"/>
    <col min="4353" max="4353" width="12.88671875" style="64" customWidth="1"/>
    <col min="4354" max="4354" width="13" style="64" customWidth="1"/>
    <col min="4355" max="4355" width="13.44140625" style="64" customWidth="1"/>
    <col min="4356" max="4356" width="25.5546875" style="64" customWidth="1"/>
    <col min="4357" max="4357" width="50.5546875" style="64" customWidth="1"/>
    <col min="4358" max="4358" width="19.109375" style="64" customWidth="1"/>
    <col min="4359" max="4359" width="16.44140625" style="64" customWidth="1"/>
    <col min="4360" max="4360" width="13.6640625" style="64" customWidth="1"/>
    <col min="4361" max="4608" width="8.88671875" style="64"/>
    <col min="4609" max="4609" width="12.88671875" style="64" customWidth="1"/>
    <col min="4610" max="4610" width="13" style="64" customWidth="1"/>
    <col min="4611" max="4611" width="13.44140625" style="64" customWidth="1"/>
    <col min="4612" max="4612" width="25.5546875" style="64" customWidth="1"/>
    <col min="4613" max="4613" width="50.5546875" style="64" customWidth="1"/>
    <col min="4614" max="4614" width="19.109375" style="64" customWidth="1"/>
    <col min="4615" max="4615" width="16.44140625" style="64" customWidth="1"/>
    <col min="4616" max="4616" width="13.6640625" style="64" customWidth="1"/>
    <col min="4617" max="4864" width="8.88671875" style="64"/>
    <col min="4865" max="4865" width="12.88671875" style="64" customWidth="1"/>
    <col min="4866" max="4866" width="13" style="64" customWidth="1"/>
    <col min="4867" max="4867" width="13.44140625" style="64" customWidth="1"/>
    <col min="4868" max="4868" width="25.5546875" style="64" customWidth="1"/>
    <col min="4869" max="4869" width="50.5546875" style="64" customWidth="1"/>
    <col min="4870" max="4870" width="19.109375" style="64" customWidth="1"/>
    <col min="4871" max="4871" width="16.44140625" style="64" customWidth="1"/>
    <col min="4872" max="4872" width="13.6640625" style="64" customWidth="1"/>
    <col min="4873" max="5120" width="8.88671875" style="64"/>
    <col min="5121" max="5121" width="12.88671875" style="64" customWidth="1"/>
    <col min="5122" max="5122" width="13" style="64" customWidth="1"/>
    <col min="5123" max="5123" width="13.44140625" style="64" customWidth="1"/>
    <col min="5124" max="5124" width="25.5546875" style="64" customWidth="1"/>
    <col min="5125" max="5125" width="50.5546875" style="64" customWidth="1"/>
    <col min="5126" max="5126" width="19.109375" style="64" customWidth="1"/>
    <col min="5127" max="5127" width="16.44140625" style="64" customWidth="1"/>
    <col min="5128" max="5128" width="13.6640625" style="64" customWidth="1"/>
    <col min="5129" max="5376" width="8.88671875" style="64"/>
    <col min="5377" max="5377" width="12.88671875" style="64" customWidth="1"/>
    <col min="5378" max="5378" width="13" style="64" customWidth="1"/>
    <col min="5379" max="5379" width="13.44140625" style="64" customWidth="1"/>
    <col min="5380" max="5380" width="25.5546875" style="64" customWidth="1"/>
    <col min="5381" max="5381" width="50.5546875" style="64" customWidth="1"/>
    <col min="5382" max="5382" width="19.109375" style="64" customWidth="1"/>
    <col min="5383" max="5383" width="16.44140625" style="64" customWidth="1"/>
    <col min="5384" max="5384" width="13.6640625" style="64" customWidth="1"/>
    <col min="5385" max="5632" width="8.88671875" style="64"/>
    <col min="5633" max="5633" width="12.88671875" style="64" customWidth="1"/>
    <col min="5634" max="5634" width="13" style="64" customWidth="1"/>
    <col min="5635" max="5635" width="13.44140625" style="64" customWidth="1"/>
    <col min="5636" max="5636" width="25.5546875" style="64" customWidth="1"/>
    <col min="5637" max="5637" width="50.5546875" style="64" customWidth="1"/>
    <col min="5638" max="5638" width="19.109375" style="64" customWidth="1"/>
    <col min="5639" max="5639" width="16.44140625" style="64" customWidth="1"/>
    <col min="5640" max="5640" width="13.6640625" style="64" customWidth="1"/>
    <col min="5641" max="5888" width="8.88671875" style="64"/>
    <col min="5889" max="5889" width="12.88671875" style="64" customWidth="1"/>
    <col min="5890" max="5890" width="13" style="64" customWidth="1"/>
    <col min="5891" max="5891" width="13.44140625" style="64" customWidth="1"/>
    <col min="5892" max="5892" width="25.5546875" style="64" customWidth="1"/>
    <col min="5893" max="5893" width="50.5546875" style="64" customWidth="1"/>
    <col min="5894" max="5894" width="19.109375" style="64" customWidth="1"/>
    <col min="5895" max="5895" width="16.44140625" style="64" customWidth="1"/>
    <col min="5896" max="5896" width="13.6640625" style="64" customWidth="1"/>
    <col min="5897" max="6144" width="8.88671875" style="64"/>
    <col min="6145" max="6145" width="12.88671875" style="64" customWidth="1"/>
    <col min="6146" max="6146" width="13" style="64" customWidth="1"/>
    <col min="6147" max="6147" width="13.44140625" style="64" customWidth="1"/>
    <col min="6148" max="6148" width="25.5546875" style="64" customWidth="1"/>
    <col min="6149" max="6149" width="50.5546875" style="64" customWidth="1"/>
    <col min="6150" max="6150" width="19.109375" style="64" customWidth="1"/>
    <col min="6151" max="6151" width="16.44140625" style="64" customWidth="1"/>
    <col min="6152" max="6152" width="13.6640625" style="64" customWidth="1"/>
    <col min="6153" max="6400" width="8.88671875" style="64"/>
    <col min="6401" max="6401" width="12.88671875" style="64" customWidth="1"/>
    <col min="6402" max="6402" width="13" style="64" customWidth="1"/>
    <col min="6403" max="6403" width="13.44140625" style="64" customWidth="1"/>
    <col min="6404" max="6404" width="25.5546875" style="64" customWidth="1"/>
    <col min="6405" max="6405" width="50.5546875" style="64" customWidth="1"/>
    <col min="6406" max="6406" width="19.109375" style="64" customWidth="1"/>
    <col min="6407" max="6407" width="16.44140625" style="64" customWidth="1"/>
    <col min="6408" max="6408" width="13.6640625" style="64" customWidth="1"/>
    <col min="6409" max="6656" width="8.88671875" style="64"/>
    <col min="6657" max="6657" width="12.88671875" style="64" customWidth="1"/>
    <col min="6658" max="6658" width="13" style="64" customWidth="1"/>
    <col min="6659" max="6659" width="13.44140625" style="64" customWidth="1"/>
    <col min="6660" max="6660" width="25.5546875" style="64" customWidth="1"/>
    <col min="6661" max="6661" width="50.5546875" style="64" customWidth="1"/>
    <col min="6662" max="6662" width="19.109375" style="64" customWidth="1"/>
    <col min="6663" max="6663" width="16.44140625" style="64" customWidth="1"/>
    <col min="6664" max="6664" width="13.6640625" style="64" customWidth="1"/>
    <col min="6665" max="6912" width="8.88671875" style="64"/>
    <col min="6913" max="6913" width="12.88671875" style="64" customWidth="1"/>
    <col min="6914" max="6914" width="13" style="64" customWidth="1"/>
    <col min="6915" max="6915" width="13.44140625" style="64" customWidth="1"/>
    <col min="6916" max="6916" width="25.5546875" style="64" customWidth="1"/>
    <col min="6917" max="6917" width="50.5546875" style="64" customWidth="1"/>
    <col min="6918" max="6918" width="19.109375" style="64" customWidth="1"/>
    <col min="6919" max="6919" width="16.44140625" style="64" customWidth="1"/>
    <col min="6920" max="6920" width="13.6640625" style="64" customWidth="1"/>
    <col min="6921" max="7168" width="8.88671875" style="64"/>
    <col min="7169" max="7169" width="12.88671875" style="64" customWidth="1"/>
    <col min="7170" max="7170" width="13" style="64" customWidth="1"/>
    <col min="7171" max="7171" width="13.44140625" style="64" customWidth="1"/>
    <col min="7172" max="7172" width="25.5546875" style="64" customWidth="1"/>
    <col min="7173" max="7173" width="50.5546875" style="64" customWidth="1"/>
    <col min="7174" max="7174" width="19.109375" style="64" customWidth="1"/>
    <col min="7175" max="7175" width="16.44140625" style="64" customWidth="1"/>
    <col min="7176" max="7176" width="13.6640625" style="64" customWidth="1"/>
    <col min="7177" max="7424" width="8.88671875" style="64"/>
    <col min="7425" max="7425" width="12.88671875" style="64" customWidth="1"/>
    <col min="7426" max="7426" width="13" style="64" customWidth="1"/>
    <col min="7427" max="7427" width="13.44140625" style="64" customWidth="1"/>
    <col min="7428" max="7428" width="25.5546875" style="64" customWidth="1"/>
    <col min="7429" max="7429" width="50.5546875" style="64" customWidth="1"/>
    <col min="7430" max="7430" width="19.109375" style="64" customWidth="1"/>
    <col min="7431" max="7431" width="16.44140625" style="64" customWidth="1"/>
    <col min="7432" max="7432" width="13.6640625" style="64" customWidth="1"/>
    <col min="7433" max="7680" width="8.88671875" style="64"/>
    <col min="7681" max="7681" width="12.88671875" style="64" customWidth="1"/>
    <col min="7682" max="7682" width="13" style="64" customWidth="1"/>
    <col min="7683" max="7683" width="13.44140625" style="64" customWidth="1"/>
    <col min="7684" max="7684" width="25.5546875" style="64" customWidth="1"/>
    <col min="7685" max="7685" width="50.5546875" style="64" customWidth="1"/>
    <col min="7686" max="7686" width="19.109375" style="64" customWidth="1"/>
    <col min="7687" max="7687" width="16.44140625" style="64" customWidth="1"/>
    <col min="7688" max="7688" width="13.6640625" style="64" customWidth="1"/>
    <col min="7689" max="7936" width="8.88671875" style="64"/>
    <col min="7937" max="7937" width="12.88671875" style="64" customWidth="1"/>
    <col min="7938" max="7938" width="13" style="64" customWidth="1"/>
    <col min="7939" max="7939" width="13.44140625" style="64" customWidth="1"/>
    <col min="7940" max="7940" width="25.5546875" style="64" customWidth="1"/>
    <col min="7941" max="7941" width="50.5546875" style="64" customWidth="1"/>
    <col min="7942" max="7942" width="19.109375" style="64" customWidth="1"/>
    <col min="7943" max="7943" width="16.44140625" style="64" customWidth="1"/>
    <col min="7944" max="7944" width="13.6640625" style="64" customWidth="1"/>
    <col min="7945" max="8192" width="8.88671875" style="64"/>
    <col min="8193" max="8193" width="12.88671875" style="64" customWidth="1"/>
    <col min="8194" max="8194" width="13" style="64" customWidth="1"/>
    <col min="8195" max="8195" width="13.44140625" style="64" customWidth="1"/>
    <col min="8196" max="8196" width="25.5546875" style="64" customWidth="1"/>
    <col min="8197" max="8197" width="50.5546875" style="64" customWidth="1"/>
    <col min="8198" max="8198" width="19.109375" style="64" customWidth="1"/>
    <col min="8199" max="8199" width="16.44140625" style="64" customWidth="1"/>
    <col min="8200" max="8200" width="13.6640625" style="64" customWidth="1"/>
    <col min="8201" max="8448" width="8.88671875" style="64"/>
    <col min="8449" max="8449" width="12.88671875" style="64" customWidth="1"/>
    <col min="8450" max="8450" width="13" style="64" customWidth="1"/>
    <col min="8451" max="8451" width="13.44140625" style="64" customWidth="1"/>
    <col min="8452" max="8452" width="25.5546875" style="64" customWidth="1"/>
    <col min="8453" max="8453" width="50.5546875" style="64" customWidth="1"/>
    <col min="8454" max="8454" width="19.109375" style="64" customWidth="1"/>
    <col min="8455" max="8455" width="16.44140625" style="64" customWidth="1"/>
    <col min="8456" max="8456" width="13.6640625" style="64" customWidth="1"/>
    <col min="8457" max="8704" width="8.88671875" style="64"/>
    <col min="8705" max="8705" width="12.88671875" style="64" customWidth="1"/>
    <col min="8706" max="8706" width="13" style="64" customWidth="1"/>
    <col min="8707" max="8707" width="13.44140625" style="64" customWidth="1"/>
    <col min="8708" max="8708" width="25.5546875" style="64" customWidth="1"/>
    <col min="8709" max="8709" width="50.5546875" style="64" customWidth="1"/>
    <col min="8710" max="8710" width="19.109375" style="64" customWidth="1"/>
    <col min="8711" max="8711" width="16.44140625" style="64" customWidth="1"/>
    <col min="8712" max="8712" width="13.6640625" style="64" customWidth="1"/>
    <col min="8713" max="8960" width="8.88671875" style="64"/>
    <col min="8961" max="8961" width="12.88671875" style="64" customWidth="1"/>
    <col min="8962" max="8962" width="13" style="64" customWidth="1"/>
    <col min="8963" max="8963" width="13.44140625" style="64" customWidth="1"/>
    <col min="8964" max="8964" width="25.5546875" style="64" customWidth="1"/>
    <col min="8965" max="8965" width="50.5546875" style="64" customWidth="1"/>
    <col min="8966" max="8966" width="19.109375" style="64" customWidth="1"/>
    <col min="8967" max="8967" width="16.44140625" style="64" customWidth="1"/>
    <col min="8968" max="8968" width="13.6640625" style="64" customWidth="1"/>
    <col min="8969" max="9216" width="8.88671875" style="64"/>
    <col min="9217" max="9217" width="12.88671875" style="64" customWidth="1"/>
    <col min="9218" max="9218" width="13" style="64" customWidth="1"/>
    <col min="9219" max="9219" width="13.44140625" style="64" customWidth="1"/>
    <col min="9220" max="9220" width="25.5546875" style="64" customWidth="1"/>
    <col min="9221" max="9221" width="50.5546875" style="64" customWidth="1"/>
    <col min="9222" max="9222" width="19.109375" style="64" customWidth="1"/>
    <col min="9223" max="9223" width="16.44140625" style="64" customWidth="1"/>
    <col min="9224" max="9224" width="13.6640625" style="64" customWidth="1"/>
    <col min="9225" max="9472" width="8.88671875" style="64"/>
    <col min="9473" max="9473" width="12.88671875" style="64" customWidth="1"/>
    <col min="9474" max="9474" width="13" style="64" customWidth="1"/>
    <col min="9475" max="9475" width="13.44140625" style="64" customWidth="1"/>
    <col min="9476" max="9476" width="25.5546875" style="64" customWidth="1"/>
    <col min="9477" max="9477" width="50.5546875" style="64" customWidth="1"/>
    <col min="9478" max="9478" width="19.109375" style="64" customWidth="1"/>
    <col min="9479" max="9479" width="16.44140625" style="64" customWidth="1"/>
    <col min="9480" max="9480" width="13.6640625" style="64" customWidth="1"/>
    <col min="9481" max="9728" width="8.88671875" style="64"/>
    <col min="9729" max="9729" width="12.88671875" style="64" customWidth="1"/>
    <col min="9730" max="9730" width="13" style="64" customWidth="1"/>
    <col min="9731" max="9731" width="13.44140625" style="64" customWidth="1"/>
    <col min="9732" max="9732" width="25.5546875" style="64" customWidth="1"/>
    <col min="9733" max="9733" width="50.5546875" style="64" customWidth="1"/>
    <col min="9734" max="9734" width="19.109375" style="64" customWidth="1"/>
    <col min="9735" max="9735" width="16.44140625" style="64" customWidth="1"/>
    <col min="9736" max="9736" width="13.6640625" style="64" customWidth="1"/>
    <col min="9737" max="9984" width="8.88671875" style="64"/>
    <col min="9985" max="9985" width="12.88671875" style="64" customWidth="1"/>
    <col min="9986" max="9986" width="13" style="64" customWidth="1"/>
    <col min="9987" max="9987" width="13.44140625" style="64" customWidth="1"/>
    <col min="9988" max="9988" width="25.5546875" style="64" customWidth="1"/>
    <col min="9989" max="9989" width="50.5546875" style="64" customWidth="1"/>
    <col min="9990" max="9990" width="19.109375" style="64" customWidth="1"/>
    <col min="9991" max="9991" width="16.44140625" style="64" customWidth="1"/>
    <col min="9992" max="9992" width="13.6640625" style="64" customWidth="1"/>
    <col min="9993" max="10240" width="8.88671875" style="64"/>
    <col min="10241" max="10241" width="12.88671875" style="64" customWidth="1"/>
    <col min="10242" max="10242" width="13" style="64" customWidth="1"/>
    <col min="10243" max="10243" width="13.44140625" style="64" customWidth="1"/>
    <col min="10244" max="10244" width="25.5546875" style="64" customWidth="1"/>
    <col min="10245" max="10245" width="50.5546875" style="64" customWidth="1"/>
    <col min="10246" max="10246" width="19.109375" style="64" customWidth="1"/>
    <col min="10247" max="10247" width="16.44140625" style="64" customWidth="1"/>
    <col min="10248" max="10248" width="13.6640625" style="64" customWidth="1"/>
    <col min="10249" max="10496" width="8.88671875" style="64"/>
    <col min="10497" max="10497" width="12.88671875" style="64" customWidth="1"/>
    <col min="10498" max="10498" width="13" style="64" customWidth="1"/>
    <col min="10499" max="10499" width="13.44140625" style="64" customWidth="1"/>
    <col min="10500" max="10500" width="25.5546875" style="64" customWidth="1"/>
    <col min="10501" max="10501" width="50.5546875" style="64" customWidth="1"/>
    <col min="10502" max="10502" width="19.109375" style="64" customWidth="1"/>
    <col min="10503" max="10503" width="16.44140625" style="64" customWidth="1"/>
    <col min="10504" max="10504" width="13.6640625" style="64" customWidth="1"/>
    <col min="10505" max="10752" width="8.88671875" style="64"/>
    <col min="10753" max="10753" width="12.88671875" style="64" customWidth="1"/>
    <col min="10754" max="10754" width="13" style="64" customWidth="1"/>
    <col min="10755" max="10755" width="13.44140625" style="64" customWidth="1"/>
    <col min="10756" max="10756" width="25.5546875" style="64" customWidth="1"/>
    <col min="10757" max="10757" width="50.5546875" style="64" customWidth="1"/>
    <col min="10758" max="10758" width="19.109375" style="64" customWidth="1"/>
    <col min="10759" max="10759" width="16.44140625" style="64" customWidth="1"/>
    <col min="10760" max="10760" width="13.6640625" style="64" customWidth="1"/>
    <col min="10761" max="11008" width="8.88671875" style="64"/>
    <col min="11009" max="11009" width="12.88671875" style="64" customWidth="1"/>
    <col min="11010" max="11010" width="13" style="64" customWidth="1"/>
    <col min="11011" max="11011" width="13.44140625" style="64" customWidth="1"/>
    <col min="11012" max="11012" width="25.5546875" style="64" customWidth="1"/>
    <col min="11013" max="11013" width="50.5546875" style="64" customWidth="1"/>
    <col min="11014" max="11014" width="19.109375" style="64" customWidth="1"/>
    <col min="11015" max="11015" width="16.44140625" style="64" customWidth="1"/>
    <col min="11016" max="11016" width="13.6640625" style="64" customWidth="1"/>
    <col min="11017" max="11264" width="8.88671875" style="64"/>
    <col min="11265" max="11265" width="12.88671875" style="64" customWidth="1"/>
    <col min="11266" max="11266" width="13" style="64" customWidth="1"/>
    <col min="11267" max="11267" width="13.44140625" style="64" customWidth="1"/>
    <col min="11268" max="11268" width="25.5546875" style="64" customWidth="1"/>
    <col min="11269" max="11269" width="50.5546875" style="64" customWidth="1"/>
    <col min="11270" max="11270" width="19.109375" style="64" customWidth="1"/>
    <col min="11271" max="11271" width="16.44140625" style="64" customWidth="1"/>
    <col min="11272" max="11272" width="13.6640625" style="64" customWidth="1"/>
    <col min="11273" max="11520" width="8.88671875" style="64"/>
    <col min="11521" max="11521" width="12.88671875" style="64" customWidth="1"/>
    <col min="11522" max="11522" width="13" style="64" customWidth="1"/>
    <col min="11523" max="11523" width="13.44140625" style="64" customWidth="1"/>
    <col min="11524" max="11524" width="25.5546875" style="64" customWidth="1"/>
    <col min="11525" max="11525" width="50.5546875" style="64" customWidth="1"/>
    <col min="11526" max="11526" width="19.109375" style="64" customWidth="1"/>
    <col min="11527" max="11527" width="16.44140625" style="64" customWidth="1"/>
    <col min="11528" max="11528" width="13.6640625" style="64" customWidth="1"/>
    <col min="11529" max="11776" width="8.88671875" style="64"/>
    <col min="11777" max="11777" width="12.88671875" style="64" customWidth="1"/>
    <col min="11778" max="11778" width="13" style="64" customWidth="1"/>
    <col min="11779" max="11779" width="13.44140625" style="64" customWidth="1"/>
    <col min="11780" max="11780" width="25.5546875" style="64" customWidth="1"/>
    <col min="11781" max="11781" width="50.5546875" style="64" customWidth="1"/>
    <col min="11782" max="11782" width="19.109375" style="64" customWidth="1"/>
    <col min="11783" max="11783" width="16.44140625" style="64" customWidth="1"/>
    <col min="11784" max="11784" width="13.6640625" style="64" customWidth="1"/>
    <col min="11785" max="12032" width="8.88671875" style="64"/>
    <col min="12033" max="12033" width="12.88671875" style="64" customWidth="1"/>
    <col min="12034" max="12034" width="13" style="64" customWidth="1"/>
    <col min="12035" max="12035" width="13.44140625" style="64" customWidth="1"/>
    <col min="12036" max="12036" width="25.5546875" style="64" customWidth="1"/>
    <col min="12037" max="12037" width="50.5546875" style="64" customWidth="1"/>
    <col min="12038" max="12038" width="19.109375" style="64" customWidth="1"/>
    <col min="12039" max="12039" width="16.44140625" style="64" customWidth="1"/>
    <col min="12040" max="12040" width="13.6640625" style="64" customWidth="1"/>
    <col min="12041" max="12288" width="8.88671875" style="64"/>
    <col min="12289" max="12289" width="12.88671875" style="64" customWidth="1"/>
    <col min="12290" max="12290" width="13" style="64" customWidth="1"/>
    <col min="12291" max="12291" width="13.44140625" style="64" customWidth="1"/>
    <col min="12292" max="12292" width="25.5546875" style="64" customWidth="1"/>
    <col min="12293" max="12293" width="50.5546875" style="64" customWidth="1"/>
    <col min="12294" max="12294" width="19.109375" style="64" customWidth="1"/>
    <col min="12295" max="12295" width="16.44140625" style="64" customWidth="1"/>
    <col min="12296" max="12296" width="13.6640625" style="64" customWidth="1"/>
    <col min="12297" max="12544" width="8.88671875" style="64"/>
    <col min="12545" max="12545" width="12.88671875" style="64" customWidth="1"/>
    <col min="12546" max="12546" width="13" style="64" customWidth="1"/>
    <col min="12547" max="12547" width="13.44140625" style="64" customWidth="1"/>
    <col min="12548" max="12548" width="25.5546875" style="64" customWidth="1"/>
    <col min="12549" max="12549" width="50.5546875" style="64" customWidth="1"/>
    <col min="12550" max="12550" width="19.109375" style="64" customWidth="1"/>
    <col min="12551" max="12551" width="16.44140625" style="64" customWidth="1"/>
    <col min="12552" max="12552" width="13.6640625" style="64" customWidth="1"/>
    <col min="12553" max="12800" width="8.88671875" style="64"/>
    <col min="12801" max="12801" width="12.88671875" style="64" customWidth="1"/>
    <col min="12802" max="12802" width="13" style="64" customWidth="1"/>
    <col min="12803" max="12803" width="13.44140625" style="64" customWidth="1"/>
    <col min="12804" max="12804" width="25.5546875" style="64" customWidth="1"/>
    <col min="12805" max="12805" width="50.5546875" style="64" customWidth="1"/>
    <col min="12806" max="12806" width="19.109375" style="64" customWidth="1"/>
    <col min="12807" max="12807" width="16.44140625" style="64" customWidth="1"/>
    <col min="12808" max="12808" width="13.6640625" style="64" customWidth="1"/>
    <col min="12809" max="13056" width="8.88671875" style="64"/>
    <col min="13057" max="13057" width="12.88671875" style="64" customWidth="1"/>
    <col min="13058" max="13058" width="13" style="64" customWidth="1"/>
    <col min="13059" max="13059" width="13.44140625" style="64" customWidth="1"/>
    <col min="13060" max="13060" width="25.5546875" style="64" customWidth="1"/>
    <col min="13061" max="13061" width="50.5546875" style="64" customWidth="1"/>
    <col min="13062" max="13062" width="19.109375" style="64" customWidth="1"/>
    <col min="13063" max="13063" width="16.44140625" style="64" customWidth="1"/>
    <col min="13064" max="13064" width="13.6640625" style="64" customWidth="1"/>
    <col min="13065" max="13312" width="8.88671875" style="64"/>
    <col min="13313" max="13313" width="12.88671875" style="64" customWidth="1"/>
    <col min="13314" max="13314" width="13" style="64" customWidth="1"/>
    <col min="13315" max="13315" width="13.44140625" style="64" customWidth="1"/>
    <col min="13316" max="13316" width="25.5546875" style="64" customWidth="1"/>
    <col min="13317" max="13317" width="50.5546875" style="64" customWidth="1"/>
    <col min="13318" max="13318" width="19.109375" style="64" customWidth="1"/>
    <col min="13319" max="13319" width="16.44140625" style="64" customWidth="1"/>
    <col min="13320" max="13320" width="13.6640625" style="64" customWidth="1"/>
    <col min="13321" max="13568" width="8.88671875" style="64"/>
    <col min="13569" max="13569" width="12.88671875" style="64" customWidth="1"/>
    <col min="13570" max="13570" width="13" style="64" customWidth="1"/>
    <col min="13571" max="13571" width="13.44140625" style="64" customWidth="1"/>
    <col min="13572" max="13572" width="25.5546875" style="64" customWidth="1"/>
    <col min="13573" max="13573" width="50.5546875" style="64" customWidth="1"/>
    <col min="13574" max="13574" width="19.109375" style="64" customWidth="1"/>
    <col min="13575" max="13575" width="16.44140625" style="64" customWidth="1"/>
    <col min="13576" max="13576" width="13.6640625" style="64" customWidth="1"/>
    <col min="13577" max="13824" width="8.88671875" style="64"/>
    <col min="13825" max="13825" width="12.88671875" style="64" customWidth="1"/>
    <col min="13826" max="13826" width="13" style="64" customWidth="1"/>
    <col min="13827" max="13827" width="13.44140625" style="64" customWidth="1"/>
    <col min="13828" max="13828" width="25.5546875" style="64" customWidth="1"/>
    <col min="13829" max="13829" width="50.5546875" style="64" customWidth="1"/>
    <col min="13830" max="13830" width="19.109375" style="64" customWidth="1"/>
    <col min="13831" max="13831" width="16.44140625" style="64" customWidth="1"/>
    <col min="13832" max="13832" width="13.6640625" style="64" customWidth="1"/>
    <col min="13833" max="14080" width="8.88671875" style="64"/>
    <col min="14081" max="14081" width="12.88671875" style="64" customWidth="1"/>
    <col min="14082" max="14082" width="13" style="64" customWidth="1"/>
    <col min="14083" max="14083" width="13.44140625" style="64" customWidth="1"/>
    <col min="14084" max="14084" width="25.5546875" style="64" customWidth="1"/>
    <col min="14085" max="14085" width="50.5546875" style="64" customWidth="1"/>
    <col min="14086" max="14086" width="19.109375" style="64" customWidth="1"/>
    <col min="14087" max="14087" width="16.44140625" style="64" customWidth="1"/>
    <col min="14088" max="14088" width="13.6640625" style="64" customWidth="1"/>
    <col min="14089" max="14336" width="8.88671875" style="64"/>
    <col min="14337" max="14337" width="12.88671875" style="64" customWidth="1"/>
    <col min="14338" max="14338" width="13" style="64" customWidth="1"/>
    <col min="14339" max="14339" width="13.44140625" style="64" customWidth="1"/>
    <col min="14340" max="14340" width="25.5546875" style="64" customWidth="1"/>
    <col min="14341" max="14341" width="50.5546875" style="64" customWidth="1"/>
    <col min="14342" max="14342" width="19.109375" style="64" customWidth="1"/>
    <col min="14343" max="14343" width="16.44140625" style="64" customWidth="1"/>
    <col min="14344" max="14344" width="13.6640625" style="64" customWidth="1"/>
    <col min="14345" max="14592" width="8.88671875" style="64"/>
    <col min="14593" max="14593" width="12.88671875" style="64" customWidth="1"/>
    <col min="14594" max="14594" width="13" style="64" customWidth="1"/>
    <col min="14595" max="14595" width="13.44140625" style="64" customWidth="1"/>
    <col min="14596" max="14596" width="25.5546875" style="64" customWidth="1"/>
    <col min="14597" max="14597" width="50.5546875" style="64" customWidth="1"/>
    <col min="14598" max="14598" width="19.109375" style="64" customWidth="1"/>
    <col min="14599" max="14599" width="16.44140625" style="64" customWidth="1"/>
    <col min="14600" max="14600" width="13.6640625" style="64" customWidth="1"/>
    <col min="14601" max="14848" width="8.88671875" style="64"/>
    <col min="14849" max="14849" width="12.88671875" style="64" customWidth="1"/>
    <col min="14850" max="14850" width="13" style="64" customWidth="1"/>
    <col min="14851" max="14851" width="13.44140625" style="64" customWidth="1"/>
    <col min="14852" max="14852" width="25.5546875" style="64" customWidth="1"/>
    <col min="14853" max="14853" width="50.5546875" style="64" customWidth="1"/>
    <col min="14854" max="14854" width="19.109375" style="64" customWidth="1"/>
    <col min="14855" max="14855" width="16.44140625" style="64" customWidth="1"/>
    <col min="14856" max="14856" width="13.6640625" style="64" customWidth="1"/>
    <col min="14857" max="15104" width="8.88671875" style="64"/>
    <col min="15105" max="15105" width="12.88671875" style="64" customWidth="1"/>
    <col min="15106" max="15106" width="13" style="64" customWidth="1"/>
    <col min="15107" max="15107" width="13.44140625" style="64" customWidth="1"/>
    <col min="15108" max="15108" width="25.5546875" style="64" customWidth="1"/>
    <col min="15109" max="15109" width="50.5546875" style="64" customWidth="1"/>
    <col min="15110" max="15110" width="19.109375" style="64" customWidth="1"/>
    <col min="15111" max="15111" width="16.44140625" style="64" customWidth="1"/>
    <col min="15112" max="15112" width="13.6640625" style="64" customWidth="1"/>
    <col min="15113" max="15360" width="8.88671875" style="64"/>
    <col min="15361" max="15361" width="12.88671875" style="64" customWidth="1"/>
    <col min="15362" max="15362" width="13" style="64" customWidth="1"/>
    <col min="15363" max="15363" width="13.44140625" style="64" customWidth="1"/>
    <col min="15364" max="15364" width="25.5546875" style="64" customWidth="1"/>
    <col min="15365" max="15365" width="50.5546875" style="64" customWidth="1"/>
    <col min="15366" max="15366" width="19.109375" style="64" customWidth="1"/>
    <col min="15367" max="15367" width="16.44140625" style="64" customWidth="1"/>
    <col min="15368" max="15368" width="13.6640625" style="64" customWidth="1"/>
    <col min="15369" max="15616" width="8.88671875" style="64"/>
    <col min="15617" max="15617" width="12.88671875" style="64" customWidth="1"/>
    <col min="15618" max="15618" width="13" style="64" customWidth="1"/>
    <col min="15619" max="15619" width="13.44140625" style="64" customWidth="1"/>
    <col min="15620" max="15620" width="25.5546875" style="64" customWidth="1"/>
    <col min="15621" max="15621" width="50.5546875" style="64" customWidth="1"/>
    <col min="15622" max="15622" width="19.109375" style="64" customWidth="1"/>
    <col min="15623" max="15623" width="16.44140625" style="64" customWidth="1"/>
    <col min="15624" max="15624" width="13.6640625" style="64" customWidth="1"/>
    <col min="15625" max="15872" width="8.88671875" style="64"/>
    <col min="15873" max="15873" width="12.88671875" style="64" customWidth="1"/>
    <col min="15874" max="15874" width="13" style="64" customWidth="1"/>
    <col min="15875" max="15875" width="13.44140625" style="64" customWidth="1"/>
    <col min="15876" max="15876" width="25.5546875" style="64" customWidth="1"/>
    <col min="15877" max="15877" width="50.5546875" style="64" customWidth="1"/>
    <col min="15878" max="15878" width="19.109375" style="64" customWidth="1"/>
    <col min="15879" max="15879" width="16.44140625" style="64" customWidth="1"/>
    <col min="15880" max="15880" width="13.6640625" style="64" customWidth="1"/>
    <col min="15881" max="16128" width="8.88671875" style="64"/>
    <col min="16129" max="16129" width="12.88671875" style="64" customWidth="1"/>
    <col min="16130" max="16130" width="13" style="64" customWidth="1"/>
    <col min="16131" max="16131" width="13.44140625" style="64" customWidth="1"/>
    <col min="16132" max="16132" width="25.5546875" style="64" customWidth="1"/>
    <col min="16133" max="16133" width="50.5546875" style="64" customWidth="1"/>
    <col min="16134" max="16134" width="19.109375" style="64" customWidth="1"/>
    <col min="16135" max="16135" width="16.44140625" style="64" customWidth="1"/>
    <col min="16136" max="16136" width="13.6640625" style="64" customWidth="1"/>
    <col min="16137" max="16384" width="8.88671875" style="64"/>
  </cols>
  <sheetData>
    <row r="1" spans="1:8" x14ac:dyDescent="0.3">
      <c r="F1" s="704" t="s">
        <v>449</v>
      </c>
      <c r="G1" s="62"/>
      <c r="H1" s="62"/>
    </row>
    <row r="2" spans="1:8" ht="15.6" customHeight="1" x14ac:dyDescent="0.3">
      <c r="F2" s="1072" t="s">
        <v>638</v>
      </c>
      <c r="G2" s="1072"/>
      <c r="H2" s="1072"/>
    </row>
    <row r="3" spans="1:8" ht="15" customHeight="1" x14ac:dyDescent="0.3">
      <c r="F3" s="6" t="s">
        <v>736</v>
      </c>
      <c r="G3" s="6"/>
      <c r="H3" s="190"/>
    </row>
    <row r="4" spans="1:8" x14ac:dyDescent="0.3">
      <c r="F4" s="1074" t="s">
        <v>737</v>
      </c>
      <c r="G4" s="1074"/>
      <c r="H4" s="191"/>
    </row>
    <row r="5" spans="1:8" ht="15.6" customHeight="1" x14ac:dyDescent="0.3"/>
    <row r="6" spans="1:8" s="136" customFormat="1" ht="36" customHeight="1" x14ac:dyDescent="0.35">
      <c r="A6" s="1237" t="s">
        <v>686</v>
      </c>
      <c r="B6" s="1237"/>
      <c r="C6" s="1237"/>
      <c r="D6" s="1237"/>
      <c r="E6" s="1237"/>
      <c r="F6" s="1237"/>
      <c r="G6" s="1237"/>
      <c r="H6" s="1237"/>
    </row>
    <row r="7" spans="1:8" s="136" customFormat="1" ht="12.6" customHeight="1" x14ac:dyDescent="0.35">
      <c r="A7" s="1190">
        <v>15591000000</v>
      </c>
      <c r="B7" s="1190"/>
      <c r="C7" s="1190"/>
      <c r="D7" s="542"/>
      <c r="E7" s="542"/>
      <c r="F7" s="542"/>
    </row>
    <row r="8" spans="1:8" s="136" customFormat="1" ht="13.2" customHeight="1" x14ac:dyDescent="0.35">
      <c r="A8" s="1191" t="s">
        <v>0</v>
      </c>
      <c r="B8" s="1191"/>
      <c r="C8" s="1191"/>
      <c r="D8" s="542"/>
      <c r="E8" s="542"/>
      <c r="F8" s="542"/>
    </row>
    <row r="9" spans="1:8" ht="15.6" customHeight="1" thickBot="1" x14ac:dyDescent="0.35">
      <c r="A9" s="192"/>
      <c r="B9" s="192"/>
      <c r="C9" s="192"/>
      <c r="D9" s="192"/>
      <c r="E9" s="192"/>
      <c r="G9" s="137" t="s">
        <v>268</v>
      </c>
    </row>
    <row r="10" spans="1:8" ht="55.5" customHeight="1" x14ac:dyDescent="0.3">
      <c r="A10" s="1238" t="s">
        <v>8</v>
      </c>
      <c r="B10" s="1240" t="s">
        <v>9</v>
      </c>
      <c r="C10" s="1242" t="s">
        <v>269</v>
      </c>
      <c r="D10" s="1244" t="s">
        <v>270</v>
      </c>
      <c r="E10" s="1228" t="s">
        <v>450</v>
      </c>
      <c r="F10" s="1247" t="s">
        <v>451</v>
      </c>
      <c r="G10" s="1249" t="s">
        <v>687</v>
      </c>
      <c r="H10" s="1251" t="s">
        <v>456</v>
      </c>
    </row>
    <row r="11" spans="1:8" s="136" customFormat="1" ht="58.5" customHeight="1" thickBot="1" x14ac:dyDescent="0.4">
      <c r="A11" s="1239"/>
      <c r="B11" s="1241"/>
      <c r="C11" s="1243"/>
      <c r="D11" s="1245"/>
      <c r="E11" s="1246"/>
      <c r="F11" s="1248"/>
      <c r="G11" s="1250"/>
      <c r="H11" s="1252"/>
    </row>
    <row r="12" spans="1:8" s="193" customFormat="1" ht="14.25" customHeight="1" thickBot="1" x14ac:dyDescent="0.4">
      <c r="A12" s="807" t="s">
        <v>277</v>
      </c>
      <c r="B12" s="808" t="s">
        <v>278</v>
      </c>
      <c r="C12" s="809" t="s">
        <v>279</v>
      </c>
      <c r="D12" s="809" t="s">
        <v>452</v>
      </c>
      <c r="E12" s="809" t="s">
        <v>280</v>
      </c>
      <c r="F12" s="810" t="s">
        <v>281</v>
      </c>
      <c r="G12" s="811">
        <v>7</v>
      </c>
      <c r="H12" s="812">
        <v>8</v>
      </c>
    </row>
    <row r="13" spans="1:8" s="193" customFormat="1" ht="30.75" customHeight="1" thickBot="1" x14ac:dyDescent="0.4">
      <c r="A13" s="198">
        <v>1200000</v>
      </c>
      <c r="B13" s="199"/>
      <c r="C13" s="200"/>
      <c r="D13" s="1236" t="s">
        <v>453</v>
      </c>
      <c r="E13" s="1236"/>
      <c r="F13" s="201">
        <f>F14</f>
        <v>359600</v>
      </c>
      <c r="G13" s="201">
        <f>G14</f>
        <v>310150</v>
      </c>
      <c r="H13" s="202"/>
    </row>
    <row r="14" spans="1:8" s="136" customFormat="1" ht="30" customHeight="1" thickBot="1" x14ac:dyDescent="0.4">
      <c r="A14" s="143">
        <v>1210000</v>
      </c>
      <c r="B14" s="144"/>
      <c r="C14" s="145"/>
      <c r="D14" s="1253" t="s">
        <v>453</v>
      </c>
      <c r="E14" s="1253"/>
      <c r="F14" s="196">
        <f>F15+F18+F20</f>
        <v>359600</v>
      </c>
      <c r="G14" s="196">
        <f>G15+G18+G20</f>
        <v>310150</v>
      </c>
      <c r="H14" s="206"/>
    </row>
    <row r="15" spans="1:8" s="136" customFormat="1" ht="30" customHeight="1" x14ac:dyDescent="0.35">
      <c r="A15" s="1254" t="s">
        <v>141</v>
      </c>
      <c r="B15" s="1255">
        <v>8340</v>
      </c>
      <c r="C15" s="1256" t="s">
        <v>143</v>
      </c>
      <c r="D15" s="1257" t="s">
        <v>144</v>
      </c>
      <c r="E15" s="203" t="s">
        <v>454</v>
      </c>
      <c r="F15" s="204">
        <f>F16+F17</f>
        <v>318703</v>
      </c>
      <c r="G15" s="204">
        <f>G16+G17</f>
        <v>269650</v>
      </c>
      <c r="H15" s="205">
        <v>1</v>
      </c>
    </row>
    <row r="16" spans="1:8" ht="17.25" customHeight="1" x14ac:dyDescent="0.3">
      <c r="A16" s="1254"/>
      <c r="B16" s="1255"/>
      <c r="C16" s="1256"/>
      <c r="D16" s="1257"/>
      <c r="E16" s="146" t="s">
        <v>12</v>
      </c>
      <c r="F16" s="763">
        <v>223753</v>
      </c>
      <c r="G16" s="764">
        <f>103000+22850+22000+26850</f>
        <v>174700</v>
      </c>
      <c r="H16" s="765">
        <v>1</v>
      </c>
    </row>
    <row r="17" spans="1:8" ht="17.25" customHeight="1" x14ac:dyDescent="0.3">
      <c r="A17" s="1254"/>
      <c r="B17" s="1255"/>
      <c r="C17" s="1256"/>
      <c r="D17" s="1257"/>
      <c r="E17" s="146" t="s">
        <v>466</v>
      </c>
      <c r="F17" s="763">
        <v>94950</v>
      </c>
      <c r="G17" s="766">
        <v>94950</v>
      </c>
      <c r="H17" s="765">
        <v>1</v>
      </c>
    </row>
    <row r="18" spans="1:8" ht="30" customHeight="1" x14ac:dyDescent="0.3">
      <c r="A18" s="1254"/>
      <c r="B18" s="1255"/>
      <c r="C18" s="1256"/>
      <c r="D18" s="1257"/>
      <c r="E18" s="27" t="s">
        <v>467</v>
      </c>
      <c r="F18" s="197">
        <f>F19</f>
        <v>8271</v>
      </c>
      <c r="G18" s="194">
        <f>G19</f>
        <v>8250</v>
      </c>
      <c r="H18" s="195">
        <v>1</v>
      </c>
    </row>
    <row r="19" spans="1:8" ht="20.399999999999999" customHeight="1" x14ac:dyDescent="0.3">
      <c r="A19" s="1254"/>
      <c r="B19" s="1255"/>
      <c r="C19" s="1256"/>
      <c r="D19" s="1257"/>
      <c r="E19" s="146" t="s">
        <v>12</v>
      </c>
      <c r="F19" s="763">
        <v>8271</v>
      </c>
      <c r="G19" s="766">
        <v>8250</v>
      </c>
      <c r="H19" s="765">
        <v>1</v>
      </c>
    </row>
    <row r="20" spans="1:8" ht="30" customHeight="1" x14ac:dyDescent="0.3">
      <c r="A20" s="1254"/>
      <c r="B20" s="1255"/>
      <c r="C20" s="1256"/>
      <c r="D20" s="1257"/>
      <c r="E20" s="27" t="s">
        <v>633</v>
      </c>
      <c r="F20" s="197">
        <f>F21</f>
        <v>32626</v>
      </c>
      <c r="G20" s="515">
        <f>G21</f>
        <v>32250</v>
      </c>
      <c r="H20" s="195">
        <v>1</v>
      </c>
    </row>
    <row r="21" spans="1:8" ht="18.75" customHeight="1" thickBot="1" x14ac:dyDescent="0.35">
      <c r="A21" s="1254"/>
      <c r="B21" s="1255"/>
      <c r="C21" s="1256"/>
      <c r="D21" s="1257"/>
      <c r="E21" s="146" t="s">
        <v>12</v>
      </c>
      <c r="F21" s="767">
        <v>32626</v>
      </c>
      <c r="G21" s="764">
        <v>32250</v>
      </c>
      <c r="H21" s="765">
        <v>1</v>
      </c>
    </row>
    <row r="22" spans="1:8" ht="17.399999999999999" thickBot="1" x14ac:dyDescent="0.35">
      <c r="A22" s="140" t="s">
        <v>295</v>
      </c>
      <c r="B22" s="141" t="s">
        <v>295</v>
      </c>
      <c r="C22" s="142" t="s">
        <v>295</v>
      </c>
      <c r="D22" s="147" t="s">
        <v>148</v>
      </c>
      <c r="E22" s="148" t="s">
        <v>295</v>
      </c>
      <c r="F22" s="818">
        <f>F13</f>
        <v>359600</v>
      </c>
      <c r="G22" s="818">
        <f>G13</f>
        <v>310150</v>
      </c>
      <c r="H22" s="768" t="s">
        <v>295</v>
      </c>
    </row>
    <row r="23" spans="1:8" ht="16.2" x14ac:dyDescent="0.3">
      <c r="A23" s="150"/>
      <c r="B23" s="151"/>
      <c r="C23" s="152"/>
      <c r="D23" s="153"/>
      <c r="E23" s="154"/>
      <c r="F23" s="155"/>
    </row>
    <row r="24" spans="1:8" customFormat="1" ht="17.399999999999999" x14ac:dyDescent="0.3">
      <c r="A24" s="25" t="s">
        <v>649</v>
      </c>
      <c r="B24" s="25"/>
      <c r="D24" s="64"/>
      <c r="F24" s="149" t="s">
        <v>468</v>
      </c>
    </row>
    <row r="32" spans="1:8" x14ac:dyDescent="0.3">
      <c r="E32" s="135"/>
    </row>
  </sheetData>
  <mergeCells count="19">
    <mergeCell ref="D14:E14"/>
    <mergeCell ref="A15:A21"/>
    <mergeCell ref="B15:B21"/>
    <mergeCell ref="C15:C21"/>
    <mergeCell ref="D15:D21"/>
    <mergeCell ref="D13:E13"/>
    <mergeCell ref="F2:H2"/>
    <mergeCell ref="A6:H6"/>
    <mergeCell ref="A7:C7"/>
    <mergeCell ref="A8:C8"/>
    <mergeCell ref="A10:A11"/>
    <mergeCell ref="B10:B11"/>
    <mergeCell ref="C10:C11"/>
    <mergeCell ref="D10:D11"/>
    <mergeCell ref="E10:E11"/>
    <mergeCell ref="F10:F11"/>
    <mergeCell ref="G10:G11"/>
    <mergeCell ref="H10:H11"/>
    <mergeCell ref="F4:G4"/>
  </mergeCells>
  <pageMargins left="1.1811023622047245" right="0.39370078740157483" top="0.78740157480314965" bottom="0.78740157480314965"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60" zoomScaleNormal="100" workbookViewId="0">
      <selection activeCell="F3" sqref="F3:G4"/>
    </sheetView>
  </sheetViews>
  <sheetFormatPr defaultColWidth="9.33203125" defaultRowHeight="13.2" x14ac:dyDescent="0.25"/>
  <cols>
    <col min="1" max="1" width="16.44140625" style="62" customWidth="1"/>
    <col min="2" max="2" width="11.6640625" style="62" customWidth="1"/>
    <col min="3" max="3" width="10.33203125" style="541" customWidth="1"/>
    <col min="4" max="4" width="22.6640625" style="62" customWidth="1"/>
    <col min="5" max="5" width="76.88671875" style="62" customWidth="1"/>
    <col min="6" max="6" width="19" style="62" customWidth="1"/>
    <col min="7" max="7" width="21.88671875" style="62" customWidth="1"/>
    <col min="8" max="8" width="15.6640625" style="62" customWidth="1"/>
    <col min="9" max="251" width="9.33203125" style="62"/>
    <col min="252" max="252" width="12.33203125" style="62" customWidth="1"/>
    <col min="253" max="253" width="11.6640625" style="62" customWidth="1"/>
    <col min="254" max="254" width="12.5546875" style="62" customWidth="1"/>
    <col min="255" max="255" width="22.6640625" style="62" customWidth="1"/>
    <col min="256" max="256" width="51.44140625" style="62" customWidth="1"/>
    <col min="257" max="257" width="16.109375" style="62" customWidth="1"/>
    <col min="258" max="507" width="9.33203125" style="62"/>
    <col min="508" max="508" width="12.33203125" style="62" customWidth="1"/>
    <col min="509" max="509" width="11.6640625" style="62" customWidth="1"/>
    <col min="510" max="510" width="12.5546875" style="62" customWidth="1"/>
    <col min="511" max="511" width="22.6640625" style="62" customWidth="1"/>
    <col min="512" max="512" width="51.44140625" style="62" customWidth="1"/>
    <col min="513" max="513" width="16.109375" style="62" customWidth="1"/>
    <col min="514" max="763" width="9.33203125" style="62"/>
    <col min="764" max="764" width="12.33203125" style="62" customWidth="1"/>
    <col min="765" max="765" width="11.6640625" style="62" customWidth="1"/>
    <col min="766" max="766" width="12.5546875" style="62" customWidth="1"/>
    <col min="767" max="767" width="22.6640625" style="62" customWidth="1"/>
    <col min="768" max="768" width="51.44140625" style="62" customWidth="1"/>
    <col min="769" max="769" width="16.109375" style="62" customWidth="1"/>
    <col min="770" max="1019" width="9.33203125" style="62"/>
    <col min="1020" max="1020" width="12.33203125" style="62" customWidth="1"/>
    <col min="1021" max="1021" width="11.6640625" style="62" customWidth="1"/>
    <col min="1022" max="1022" width="12.5546875" style="62" customWidth="1"/>
    <col min="1023" max="1023" width="22.6640625" style="62" customWidth="1"/>
    <col min="1024" max="1024" width="51.44140625" style="62" customWidth="1"/>
    <col min="1025" max="1025" width="16.109375" style="62" customWidth="1"/>
    <col min="1026" max="1275" width="9.33203125" style="62"/>
    <col min="1276" max="1276" width="12.33203125" style="62" customWidth="1"/>
    <col min="1277" max="1277" width="11.6640625" style="62" customWidth="1"/>
    <col min="1278" max="1278" width="12.5546875" style="62" customWidth="1"/>
    <col min="1279" max="1279" width="22.6640625" style="62" customWidth="1"/>
    <col min="1280" max="1280" width="51.44140625" style="62" customWidth="1"/>
    <col min="1281" max="1281" width="16.109375" style="62" customWidth="1"/>
    <col min="1282" max="1531" width="9.33203125" style="62"/>
    <col min="1532" max="1532" width="12.33203125" style="62" customWidth="1"/>
    <col min="1533" max="1533" width="11.6640625" style="62" customWidth="1"/>
    <col min="1534" max="1534" width="12.5546875" style="62" customWidth="1"/>
    <col min="1535" max="1535" width="22.6640625" style="62" customWidth="1"/>
    <col min="1536" max="1536" width="51.44140625" style="62" customWidth="1"/>
    <col min="1537" max="1537" width="16.109375" style="62" customWidth="1"/>
    <col min="1538" max="1787" width="9.33203125" style="62"/>
    <col min="1788" max="1788" width="12.33203125" style="62" customWidth="1"/>
    <col min="1789" max="1789" width="11.6640625" style="62" customWidth="1"/>
    <col min="1790" max="1790" width="12.5546875" style="62" customWidth="1"/>
    <col min="1791" max="1791" width="22.6640625" style="62" customWidth="1"/>
    <col min="1792" max="1792" width="51.44140625" style="62" customWidth="1"/>
    <col min="1793" max="1793" width="16.109375" style="62" customWidth="1"/>
    <col min="1794" max="2043" width="9.33203125" style="62"/>
    <col min="2044" max="2044" width="12.33203125" style="62" customWidth="1"/>
    <col min="2045" max="2045" width="11.6640625" style="62" customWidth="1"/>
    <col min="2046" max="2046" width="12.5546875" style="62" customWidth="1"/>
    <col min="2047" max="2047" width="22.6640625" style="62" customWidth="1"/>
    <col min="2048" max="2048" width="51.44140625" style="62" customWidth="1"/>
    <col min="2049" max="2049" width="16.109375" style="62" customWidth="1"/>
    <col min="2050" max="2299" width="9.33203125" style="62"/>
    <col min="2300" max="2300" width="12.33203125" style="62" customWidth="1"/>
    <col min="2301" max="2301" width="11.6640625" style="62" customWidth="1"/>
    <col min="2302" max="2302" width="12.5546875" style="62" customWidth="1"/>
    <col min="2303" max="2303" width="22.6640625" style="62" customWidth="1"/>
    <col min="2304" max="2304" width="51.44140625" style="62" customWidth="1"/>
    <col min="2305" max="2305" width="16.109375" style="62" customWidth="1"/>
    <col min="2306" max="2555" width="9.33203125" style="62"/>
    <col min="2556" max="2556" width="12.33203125" style="62" customWidth="1"/>
    <col min="2557" max="2557" width="11.6640625" style="62" customWidth="1"/>
    <col min="2558" max="2558" width="12.5546875" style="62" customWidth="1"/>
    <col min="2559" max="2559" width="22.6640625" style="62" customWidth="1"/>
    <col min="2560" max="2560" width="51.44140625" style="62" customWidth="1"/>
    <col min="2561" max="2561" width="16.109375" style="62" customWidth="1"/>
    <col min="2562" max="2811" width="9.33203125" style="62"/>
    <col min="2812" max="2812" width="12.33203125" style="62" customWidth="1"/>
    <col min="2813" max="2813" width="11.6640625" style="62" customWidth="1"/>
    <col min="2814" max="2814" width="12.5546875" style="62" customWidth="1"/>
    <col min="2815" max="2815" width="22.6640625" style="62" customWidth="1"/>
    <col min="2816" max="2816" width="51.44140625" style="62" customWidth="1"/>
    <col min="2817" max="2817" width="16.109375" style="62" customWidth="1"/>
    <col min="2818" max="3067" width="9.33203125" style="62"/>
    <col min="3068" max="3068" width="12.33203125" style="62" customWidth="1"/>
    <col min="3069" max="3069" width="11.6640625" style="62" customWidth="1"/>
    <col min="3070" max="3070" width="12.5546875" style="62" customWidth="1"/>
    <col min="3071" max="3071" width="22.6640625" style="62" customWidth="1"/>
    <col min="3072" max="3072" width="51.44140625" style="62" customWidth="1"/>
    <col min="3073" max="3073" width="16.109375" style="62" customWidth="1"/>
    <col min="3074" max="3323" width="9.33203125" style="62"/>
    <col min="3324" max="3324" width="12.33203125" style="62" customWidth="1"/>
    <col min="3325" max="3325" width="11.6640625" style="62" customWidth="1"/>
    <col min="3326" max="3326" width="12.5546875" style="62" customWidth="1"/>
    <col min="3327" max="3327" width="22.6640625" style="62" customWidth="1"/>
    <col min="3328" max="3328" width="51.44140625" style="62" customWidth="1"/>
    <col min="3329" max="3329" width="16.109375" style="62" customWidth="1"/>
    <col min="3330" max="3579" width="9.33203125" style="62"/>
    <col min="3580" max="3580" width="12.33203125" style="62" customWidth="1"/>
    <col min="3581" max="3581" width="11.6640625" style="62" customWidth="1"/>
    <col min="3582" max="3582" width="12.5546875" style="62" customWidth="1"/>
    <col min="3583" max="3583" width="22.6640625" style="62" customWidth="1"/>
    <col min="3584" max="3584" width="51.44140625" style="62" customWidth="1"/>
    <col min="3585" max="3585" width="16.109375" style="62" customWidth="1"/>
    <col min="3586" max="3835" width="9.33203125" style="62"/>
    <col min="3836" max="3836" width="12.33203125" style="62" customWidth="1"/>
    <col min="3837" max="3837" width="11.6640625" style="62" customWidth="1"/>
    <col min="3838" max="3838" width="12.5546875" style="62" customWidth="1"/>
    <col min="3839" max="3839" width="22.6640625" style="62" customWidth="1"/>
    <col min="3840" max="3840" width="51.44140625" style="62" customWidth="1"/>
    <col min="3841" max="3841" width="16.109375" style="62" customWidth="1"/>
    <col min="3842" max="4091" width="9.33203125" style="62"/>
    <col min="4092" max="4092" width="12.33203125" style="62" customWidth="1"/>
    <col min="4093" max="4093" width="11.6640625" style="62" customWidth="1"/>
    <col min="4094" max="4094" width="12.5546875" style="62" customWidth="1"/>
    <col min="4095" max="4095" width="22.6640625" style="62" customWidth="1"/>
    <col min="4096" max="4096" width="51.44140625" style="62" customWidth="1"/>
    <col min="4097" max="4097" width="16.109375" style="62" customWidth="1"/>
    <col min="4098" max="4347" width="9.33203125" style="62"/>
    <col min="4348" max="4348" width="12.33203125" style="62" customWidth="1"/>
    <col min="4349" max="4349" width="11.6640625" style="62" customWidth="1"/>
    <col min="4350" max="4350" width="12.5546875" style="62" customWidth="1"/>
    <col min="4351" max="4351" width="22.6640625" style="62" customWidth="1"/>
    <col min="4352" max="4352" width="51.44140625" style="62" customWidth="1"/>
    <col min="4353" max="4353" width="16.109375" style="62" customWidth="1"/>
    <col min="4354" max="4603" width="9.33203125" style="62"/>
    <col min="4604" max="4604" width="12.33203125" style="62" customWidth="1"/>
    <col min="4605" max="4605" width="11.6640625" style="62" customWidth="1"/>
    <col min="4606" max="4606" width="12.5546875" style="62" customWidth="1"/>
    <col min="4607" max="4607" width="22.6640625" style="62" customWidth="1"/>
    <col min="4608" max="4608" width="51.44140625" style="62" customWidth="1"/>
    <col min="4609" max="4609" width="16.109375" style="62" customWidth="1"/>
    <col min="4610" max="4859" width="9.33203125" style="62"/>
    <col min="4860" max="4860" width="12.33203125" style="62" customWidth="1"/>
    <col min="4861" max="4861" width="11.6640625" style="62" customWidth="1"/>
    <col min="4862" max="4862" width="12.5546875" style="62" customWidth="1"/>
    <col min="4863" max="4863" width="22.6640625" style="62" customWidth="1"/>
    <col min="4864" max="4864" width="51.44140625" style="62" customWidth="1"/>
    <col min="4865" max="4865" width="16.109375" style="62" customWidth="1"/>
    <col min="4866" max="5115" width="9.33203125" style="62"/>
    <col min="5116" max="5116" width="12.33203125" style="62" customWidth="1"/>
    <col min="5117" max="5117" width="11.6640625" style="62" customWidth="1"/>
    <col min="5118" max="5118" width="12.5546875" style="62" customWidth="1"/>
    <col min="5119" max="5119" width="22.6640625" style="62" customWidth="1"/>
    <col min="5120" max="5120" width="51.44140625" style="62" customWidth="1"/>
    <col min="5121" max="5121" width="16.109375" style="62" customWidth="1"/>
    <col min="5122" max="5371" width="9.33203125" style="62"/>
    <col min="5372" max="5372" width="12.33203125" style="62" customWidth="1"/>
    <col min="5373" max="5373" width="11.6640625" style="62" customWidth="1"/>
    <col min="5374" max="5374" width="12.5546875" style="62" customWidth="1"/>
    <col min="5375" max="5375" width="22.6640625" style="62" customWidth="1"/>
    <col min="5376" max="5376" width="51.44140625" style="62" customWidth="1"/>
    <col min="5377" max="5377" width="16.109375" style="62" customWidth="1"/>
    <col min="5378" max="5627" width="9.33203125" style="62"/>
    <col min="5628" max="5628" width="12.33203125" style="62" customWidth="1"/>
    <col min="5629" max="5629" width="11.6640625" style="62" customWidth="1"/>
    <col min="5630" max="5630" width="12.5546875" style="62" customWidth="1"/>
    <col min="5631" max="5631" width="22.6640625" style="62" customWidth="1"/>
    <col min="5632" max="5632" width="51.44140625" style="62" customWidth="1"/>
    <col min="5633" max="5633" width="16.109375" style="62" customWidth="1"/>
    <col min="5634" max="5883" width="9.33203125" style="62"/>
    <col min="5884" max="5884" width="12.33203125" style="62" customWidth="1"/>
    <col min="5885" max="5885" width="11.6640625" style="62" customWidth="1"/>
    <col min="5886" max="5886" width="12.5546875" style="62" customWidth="1"/>
    <col min="5887" max="5887" width="22.6640625" style="62" customWidth="1"/>
    <col min="5888" max="5888" width="51.44140625" style="62" customWidth="1"/>
    <col min="5889" max="5889" width="16.109375" style="62" customWidth="1"/>
    <col min="5890" max="6139" width="9.33203125" style="62"/>
    <col min="6140" max="6140" width="12.33203125" style="62" customWidth="1"/>
    <col min="6141" max="6141" width="11.6640625" style="62" customWidth="1"/>
    <col min="6142" max="6142" width="12.5546875" style="62" customWidth="1"/>
    <col min="6143" max="6143" width="22.6640625" style="62" customWidth="1"/>
    <col min="6144" max="6144" width="51.44140625" style="62" customWidth="1"/>
    <col min="6145" max="6145" width="16.109375" style="62" customWidth="1"/>
    <col min="6146" max="6395" width="9.33203125" style="62"/>
    <col min="6396" max="6396" width="12.33203125" style="62" customWidth="1"/>
    <col min="6397" max="6397" width="11.6640625" style="62" customWidth="1"/>
    <col min="6398" max="6398" width="12.5546875" style="62" customWidth="1"/>
    <col min="6399" max="6399" width="22.6640625" style="62" customWidth="1"/>
    <col min="6400" max="6400" width="51.44140625" style="62" customWidth="1"/>
    <col min="6401" max="6401" width="16.109375" style="62" customWidth="1"/>
    <col min="6402" max="6651" width="9.33203125" style="62"/>
    <col min="6652" max="6652" width="12.33203125" style="62" customWidth="1"/>
    <col min="6653" max="6653" width="11.6640625" style="62" customWidth="1"/>
    <col min="6654" max="6654" width="12.5546875" style="62" customWidth="1"/>
    <col min="6655" max="6655" width="22.6640625" style="62" customWidth="1"/>
    <col min="6656" max="6656" width="51.44140625" style="62" customWidth="1"/>
    <col min="6657" max="6657" width="16.109375" style="62" customWidth="1"/>
    <col min="6658" max="6907" width="9.33203125" style="62"/>
    <col min="6908" max="6908" width="12.33203125" style="62" customWidth="1"/>
    <col min="6909" max="6909" width="11.6640625" style="62" customWidth="1"/>
    <col min="6910" max="6910" width="12.5546875" style="62" customWidth="1"/>
    <col min="6911" max="6911" width="22.6640625" style="62" customWidth="1"/>
    <col min="6912" max="6912" width="51.44140625" style="62" customWidth="1"/>
    <col min="6913" max="6913" width="16.109375" style="62" customWidth="1"/>
    <col min="6914" max="7163" width="9.33203125" style="62"/>
    <col min="7164" max="7164" width="12.33203125" style="62" customWidth="1"/>
    <col min="7165" max="7165" width="11.6640625" style="62" customWidth="1"/>
    <col min="7166" max="7166" width="12.5546875" style="62" customWidth="1"/>
    <col min="7167" max="7167" width="22.6640625" style="62" customWidth="1"/>
    <col min="7168" max="7168" width="51.44140625" style="62" customWidth="1"/>
    <col min="7169" max="7169" width="16.109375" style="62" customWidth="1"/>
    <col min="7170" max="7419" width="9.33203125" style="62"/>
    <col min="7420" max="7420" width="12.33203125" style="62" customWidth="1"/>
    <col min="7421" max="7421" width="11.6640625" style="62" customWidth="1"/>
    <col min="7422" max="7422" width="12.5546875" style="62" customWidth="1"/>
    <col min="7423" max="7423" width="22.6640625" style="62" customWidth="1"/>
    <col min="7424" max="7424" width="51.44140625" style="62" customWidth="1"/>
    <col min="7425" max="7425" width="16.109375" style="62" customWidth="1"/>
    <col min="7426" max="7675" width="9.33203125" style="62"/>
    <col min="7676" max="7676" width="12.33203125" style="62" customWidth="1"/>
    <col min="7677" max="7677" width="11.6640625" style="62" customWidth="1"/>
    <col min="7678" max="7678" width="12.5546875" style="62" customWidth="1"/>
    <col min="7679" max="7679" width="22.6640625" style="62" customWidth="1"/>
    <col min="7680" max="7680" width="51.44140625" style="62" customWidth="1"/>
    <col min="7681" max="7681" width="16.109375" style="62" customWidth="1"/>
    <col min="7682" max="7931" width="9.33203125" style="62"/>
    <col min="7932" max="7932" width="12.33203125" style="62" customWidth="1"/>
    <col min="7933" max="7933" width="11.6640625" style="62" customWidth="1"/>
    <col min="7934" max="7934" width="12.5546875" style="62" customWidth="1"/>
    <col min="7935" max="7935" width="22.6640625" style="62" customWidth="1"/>
    <col min="7936" max="7936" width="51.44140625" style="62" customWidth="1"/>
    <col min="7937" max="7937" width="16.109375" style="62" customWidth="1"/>
    <col min="7938" max="8187" width="9.33203125" style="62"/>
    <col min="8188" max="8188" width="12.33203125" style="62" customWidth="1"/>
    <col min="8189" max="8189" width="11.6640625" style="62" customWidth="1"/>
    <col min="8190" max="8190" width="12.5546875" style="62" customWidth="1"/>
    <col min="8191" max="8191" width="22.6640625" style="62" customWidth="1"/>
    <col min="8192" max="8192" width="51.44140625" style="62" customWidth="1"/>
    <col min="8193" max="8193" width="16.109375" style="62" customWidth="1"/>
    <col min="8194" max="8443" width="9.33203125" style="62"/>
    <col min="8444" max="8444" width="12.33203125" style="62" customWidth="1"/>
    <col min="8445" max="8445" width="11.6640625" style="62" customWidth="1"/>
    <col min="8446" max="8446" width="12.5546875" style="62" customWidth="1"/>
    <col min="8447" max="8447" width="22.6640625" style="62" customWidth="1"/>
    <col min="8448" max="8448" width="51.44140625" style="62" customWidth="1"/>
    <col min="8449" max="8449" width="16.109375" style="62" customWidth="1"/>
    <col min="8450" max="8699" width="9.33203125" style="62"/>
    <col min="8700" max="8700" width="12.33203125" style="62" customWidth="1"/>
    <col min="8701" max="8701" width="11.6640625" style="62" customWidth="1"/>
    <col min="8702" max="8702" width="12.5546875" style="62" customWidth="1"/>
    <col min="8703" max="8703" width="22.6640625" style="62" customWidth="1"/>
    <col min="8704" max="8704" width="51.44140625" style="62" customWidth="1"/>
    <col min="8705" max="8705" width="16.109375" style="62" customWidth="1"/>
    <col min="8706" max="8955" width="9.33203125" style="62"/>
    <col min="8956" max="8956" width="12.33203125" style="62" customWidth="1"/>
    <col min="8957" max="8957" width="11.6640625" style="62" customWidth="1"/>
    <col min="8958" max="8958" width="12.5546875" style="62" customWidth="1"/>
    <col min="8959" max="8959" width="22.6640625" style="62" customWidth="1"/>
    <col min="8960" max="8960" width="51.44140625" style="62" customWidth="1"/>
    <col min="8961" max="8961" width="16.109375" style="62" customWidth="1"/>
    <col min="8962" max="9211" width="9.33203125" style="62"/>
    <col min="9212" max="9212" width="12.33203125" style="62" customWidth="1"/>
    <col min="9213" max="9213" width="11.6640625" style="62" customWidth="1"/>
    <col min="9214" max="9214" width="12.5546875" style="62" customWidth="1"/>
    <col min="9215" max="9215" width="22.6640625" style="62" customWidth="1"/>
    <col min="9216" max="9216" width="51.44140625" style="62" customWidth="1"/>
    <col min="9217" max="9217" width="16.109375" style="62" customWidth="1"/>
    <col min="9218" max="9467" width="9.33203125" style="62"/>
    <col min="9468" max="9468" width="12.33203125" style="62" customWidth="1"/>
    <col min="9469" max="9469" width="11.6640625" style="62" customWidth="1"/>
    <col min="9470" max="9470" width="12.5546875" style="62" customWidth="1"/>
    <col min="9471" max="9471" width="22.6640625" style="62" customWidth="1"/>
    <col min="9472" max="9472" width="51.44140625" style="62" customWidth="1"/>
    <col min="9473" max="9473" width="16.109375" style="62" customWidth="1"/>
    <col min="9474" max="9723" width="9.33203125" style="62"/>
    <col min="9724" max="9724" width="12.33203125" style="62" customWidth="1"/>
    <col min="9725" max="9725" width="11.6640625" style="62" customWidth="1"/>
    <col min="9726" max="9726" width="12.5546875" style="62" customWidth="1"/>
    <col min="9727" max="9727" width="22.6640625" style="62" customWidth="1"/>
    <col min="9728" max="9728" width="51.44140625" style="62" customWidth="1"/>
    <col min="9729" max="9729" width="16.109375" style="62" customWidth="1"/>
    <col min="9730" max="9979" width="9.33203125" style="62"/>
    <col min="9980" max="9980" width="12.33203125" style="62" customWidth="1"/>
    <col min="9981" max="9981" width="11.6640625" style="62" customWidth="1"/>
    <col min="9982" max="9982" width="12.5546875" style="62" customWidth="1"/>
    <col min="9983" max="9983" width="22.6640625" style="62" customWidth="1"/>
    <col min="9984" max="9984" width="51.44140625" style="62" customWidth="1"/>
    <col min="9985" max="9985" width="16.109375" style="62" customWidth="1"/>
    <col min="9986" max="10235" width="9.33203125" style="62"/>
    <col min="10236" max="10236" width="12.33203125" style="62" customWidth="1"/>
    <col min="10237" max="10237" width="11.6640625" style="62" customWidth="1"/>
    <col min="10238" max="10238" width="12.5546875" style="62" customWidth="1"/>
    <col min="10239" max="10239" width="22.6640625" style="62" customWidth="1"/>
    <col min="10240" max="10240" width="51.44140625" style="62" customWidth="1"/>
    <col min="10241" max="10241" width="16.109375" style="62" customWidth="1"/>
    <col min="10242" max="10491" width="9.33203125" style="62"/>
    <col min="10492" max="10492" width="12.33203125" style="62" customWidth="1"/>
    <col min="10493" max="10493" width="11.6640625" style="62" customWidth="1"/>
    <col min="10494" max="10494" width="12.5546875" style="62" customWidth="1"/>
    <col min="10495" max="10495" width="22.6640625" style="62" customWidth="1"/>
    <col min="10496" max="10496" width="51.44140625" style="62" customWidth="1"/>
    <col min="10497" max="10497" width="16.109375" style="62" customWidth="1"/>
    <col min="10498" max="10747" width="9.33203125" style="62"/>
    <col min="10748" max="10748" width="12.33203125" style="62" customWidth="1"/>
    <col min="10749" max="10749" width="11.6640625" style="62" customWidth="1"/>
    <col min="10750" max="10750" width="12.5546875" style="62" customWidth="1"/>
    <col min="10751" max="10751" width="22.6640625" style="62" customWidth="1"/>
    <col min="10752" max="10752" width="51.44140625" style="62" customWidth="1"/>
    <col min="10753" max="10753" width="16.109375" style="62" customWidth="1"/>
    <col min="10754" max="11003" width="9.33203125" style="62"/>
    <col min="11004" max="11004" width="12.33203125" style="62" customWidth="1"/>
    <col min="11005" max="11005" width="11.6640625" style="62" customWidth="1"/>
    <col min="11006" max="11006" width="12.5546875" style="62" customWidth="1"/>
    <col min="11007" max="11007" width="22.6640625" style="62" customWidth="1"/>
    <col min="11008" max="11008" width="51.44140625" style="62" customWidth="1"/>
    <col min="11009" max="11009" width="16.109375" style="62" customWidth="1"/>
    <col min="11010" max="11259" width="9.33203125" style="62"/>
    <col min="11260" max="11260" width="12.33203125" style="62" customWidth="1"/>
    <col min="11261" max="11261" width="11.6640625" style="62" customWidth="1"/>
    <col min="11262" max="11262" width="12.5546875" style="62" customWidth="1"/>
    <col min="11263" max="11263" width="22.6640625" style="62" customWidth="1"/>
    <col min="11264" max="11264" width="51.44140625" style="62" customWidth="1"/>
    <col min="11265" max="11265" width="16.109375" style="62" customWidth="1"/>
    <col min="11266" max="11515" width="9.33203125" style="62"/>
    <col min="11516" max="11516" width="12.33203125" style="62" customWidth="1"/>
    <col min="11517" max="11517" width="11.6640625" style="62" customWidth="1"/>
    <col min="11518" max="11518" width="12.5546875" style="62" customWidth="1"/>
    <col min="11519" max="11519" width="22.6640625" style="62" customWidth="1"/>
    <col min="11520" max="11520" width="51.44140625" style="62" customWidth="1"/>
    <col min="11521" max="11521" width="16.109375" style="62" customWidth="1"/>
    <col min="11522" max="11771" width="9.33203125" style="62"/>
    <col min="11772" max="11772" width="12.33203125" style="62" customWidth="1"/>
    <col min="11773" max="11773" width="11.6640625" style="62" customWidth="1"/>
    <col min="11774" max="11774" width="12.5546875" style="62" customWidth="1"/>
    <col min="11775" max="11775" width="22.6640625" style="62" customWidth="1"/>
    <col min="11776" max="11776" width="51.44140625" style="62" customWidth="1"/>
    <col min="11777" max="11777" width="16.109375" style="62" customWidth="1"/>
    <col min="11778" max="12027" width="9.33203125" style="62"/>
    <col min="12028" max="12028" width="12.33203125" style="62" customWidth="1"/>
    <col min="12029" max="12029" width="11.6640625" style="62" customWidth="1"/>
    <col min="12030" max="12030" width="12.5546875" style="62" customWidth="1"/>
    <col min="12031" max="12031" width="22.6640625" style="62" customWidth="1"/>
    <col min="12032" max="12032" width="51.44140625" style="62" customWidth="1"/>
    <col min="12033" max="12033" width="16.109375" style="62" customWidth="1"/>
    <col min="12034" max="12283" width="9.33203125" style="62"/>
    <col min="12284" max="12284" width="12.33203125" style="62" customWidth="1"/>
    <col min="12285" max="12285" width="11.6640625" style="62" customWidth="1"/>
    <col min="12286" max="12286" width="12.5546875" style="62" customWidth="1"/>
    <col min="12287" max="12287" width="22.6640625" style="62" customWidth="1"/>
    <col min="12288" max="12288" width="51.44140625" style="62" customWidth="1"/>
    <col min="12289" max="12289" width="16.109375" style="62" customWidth="1"/>
    <col min="12290" max="12539" width="9.33203125" style="62"/>
    <col min="12540" max="12540" width="12.33203125" style="62" customWidth="1"/>
    <col min="12541" max="12541" width="11.6640625" style="62" customWidth="1"/>
    <col min="12542" max="12542" width="12.5546875" style="62" customWidth="1"/>
    <col min="12543" max="12543" width="22.6640625" style="62" customWidth="1"/>
    <col min="12544" max="12544" width="51.44140625" style="62" customWidth="1"/>
    <col min="12545" max="12545" width="16.109375" style="62" customWidth="1"/>
    <col min="12546" max="12795" width="9.33203125" style="62"/>
    <col min="12796" max="12796" width="12.33203125" style="62" customWidth="1"/>
    <col min="12797" max="12797" width="11.6640625" style="62" customWidth="1"/>
    <col min="12798" max="12798" width="12.5546875" style="62" customWidth="1"/>
    <col min="12799" max="12799" width="22.6640625" style="62" customWidth="1"/>
    <col min="12800" max="12800" width="51.44140625" style="62" customWidth="1"/>
    <col min="12801" max="12801" width="16.109375" style="62" customWidth="1"/>
    <col min="12802" max="13051" width="9.33203125" style="62"/>
    <col min="13052" max="13052" width="12.33203125" style="62" customWidth="1"/>
    <col min="13053" max="13053" width="11.6640625" style="62" customWidth="1"/>
    <col min="13054" max="13054" width="12.5546875" style="62" customWidth="1"/>
    <col min="13055" max="13055" width="22.6640625" style="62" customWidth="1"/>
    <col min="13056" max="13056" width="51.44140625" style="62" customWidth="1"/>
    <col min="13057" max="13057" width="16.109375" style="62" customWidth="1"/>
    <col min="13058" max="13307" width="9.33203125" style="62"/>
    <col min="13308" max="13308" width="12.33203125" style="62" customWidth="1"/>
    <col min="13309" max="13309" width="11.6640625" style="62" customWidth="1"/>
    <col min="13310" max="13310" width="12.5546875" style="62" customWidth="1"/>
    <col min="13311" max="13311" width="22.6640625" style="62" customWidth="1"/>
    <col min="13312" max="13312" width="51.44140625" style="62" customWidth="1"/>
    <col min="13313" max="13313" width="16.109375" style="62" customWidth="1"/>
    <col min="13314" max="13563" width="9.33203125" style="62"/>
    <col min="13564" max="13564" width="12.33203125" style="62" customWidth="1"/>
    <col min="13565" max="13565" width="11.6640625" style="62" customWidth="1"/>
    <col min="13566" max="13566" width="12.5546875" style="62" customWidth="1"/>
    <col min="13567" max="13567" width="22.6640625" style="62" customWidth="1"/>
    <col min="13568" max="13568" width="51.44140625" style="62" customWidth="1"/>
    <col min="13569" max="13569" width="16.109375" style="62" customWidth="1"/>
    <col min="13570" max="13819" width="9.33203125" style="62"/>
    <col min="13820" max="13820" width="12.33203125" style="62" customWidth="1"/>
    <col min="13821" max="13821" width="11.6640625" style="62" customWidth="1"/>
    <col min="13822" max="13822" width="12.5546875" style="62" customWidth="1"/>
    <col min="13823" max="13823" width="22.6640625" style="62" customWidth="1"/>
    <col min="13824" max="13824" width="51.44140625" style="62" customWidth="1"/>
    <col min="13825" max="13825" width="16.109375" style="62" customWidth="1"/>
    <col min="13826" max="14075" width="9.33203125" style="62"/>
    <col min="14076" max="14076" width="12.33203125" style="62" customWidth="1"/>
    <col min="14077" max="14077" width="11.6640625" style="62" customWidth="1"/>
    <col min="14078" max="14078" width="12.5546875" style="62" customWidth="1"/>
    <col min="14079" max="14079" width="22.6640625" style="62" customWidth="1"/>
    <col min="14080" max="14080" width="51.44140625" style="62" customWidth="1"/>
    <col min="14081" max="14081" width="16.109375" style="62" customWidth="1"/>
    <col min="14082" max="14331" width="9.33203125" style="62"/>
    <col min="14332" max="14332" width="12.33203125" style="62" customWidth="1"/>
    <col min="14333" max="14333" width="11.6640625" style="62" customWidth="1"/>
    <col min="14334" max="14334" width="12.5546875" style="62" customWidth="1"/>
    <col min="14335" max="14335" width="22.6640625" style="62" customWidth="1"/>
    <col min="14336" max="14336" width="51.44140625" style="62" customWidth="1"/>
    <col min="14337" max="14337" width="16.109375" style="62" customWidth="1"/>
    <col min="14338" max="14587" width="9.33203125" style="62"/>
    <col min="14588" max="14588" width="12.33203125" style="62" customWidth="1"/>
    <col min="14589" max="14589" width="11.6640625" style="62" customWidth="1"/>
    <col min="14590" max="14590" width="12.5546875" style="62" customWidth="1"/>
    <col min="14591" max="14591" width="22.6640625" style="62" customWidth="1"/>
    <col min="14592" max="14592" width="51.44140625" style="62" customWidth="1"/>
    <col min="14593" max="14593" width="16.109375" style="62" customWidth="1"/>
    <col min="14594" max="14843" width="9.33203125" style="62"/>
    <col min="14844" max="14844" width="12.33203125" style="62" customWidth="1"/>
    <col min="14845" max="14845" width="11.6640625" style="62" customWidth="1"/>
    <col min="14846" max="14846" width="12.5546875" style="62" customWidth="1"/>
    <col min="14847" max="14847" width="22.6640625" style="62" customWidth="1"/>
    <col min="14848" max="14848" width="51.44140625" style="62" customWidth="1"/>
    <col min="14849" max="14849" width="16.109375" style="62" customWidth="1"/>
    <col min="14850" max="15099" width="9.33203125" style="62"/>
    <col min="15100" max="15100" width="12.33203125" style="62" customWidth="1"/>
    <col min="15101" max="15101" width="11.6640625" style="62" customWidth="1"/>
    <col min="15102" max="15102" width="12.5546875" style="62" customWidth="1"/>
    <col min="15103" max="15103" width="22.6640625" style="62" customWidth="1"/>
    <col min="15104" max="15104" width="51.44140625" style="62" customWidth="1"/>
    <col min="15105" max="15105" width="16.109375" style="62" customWidth="1"/>
    <col min="15106" max="15355" width="9.33203125" style="62"/>
    <col min="15356" max="15356" width="12.33203125" style="62" customWidth="1"/>
    <col min="15357" max="15357" width="11.6640625" style="62" customWidth="1"/>
    <col min="15358" max="15358" width="12.5546875" style="62" customWidth="1"/>
    <col min="15359" max="15359" width="22.6640625" style="62" customWidth="1"/>
    <col min="15360" max="15360" width="51.44140625" style="62" customWidth="1"/>
    <col min="15361" max="15361" width="16.109375" style="62" customWidth="1"/>
    <col min="15362" max="15611" width="9.33203125" style="62"/>
    <col min="15612" max="15612" width="12.33203125" style="62" customWidth="1"/>
    <col min="15613" max="15613" width="11.6640625" style="62" customWidth="1"/>
    <col min="15614" max="15614" width="12.5546875" style="62" customWidth="1"/>
    <col min="15615" max="15615" width="22.6640625" style="62" customWidth="1"/>
    <col min="15616" max="15616" width="51.44140625" style="62" customWidth="1"/>
    <col min="15617" max="15617" width="16.109375" style="62" customWidth="1"/>
    <col min="15618" max="15867" width="9.33203125" style="62"/>
    <col min="15868" max="15868" width="12.33203125" style="62" customWidth="1"/>
    <col min="15869" max="15869" width="11.6640625" style="62" customWidth="1"/>
    <col min="15870" max="15870" width="12.5546875" style="62" customWidth="1"/>
    <col min="15871" max="15871" width="22.6640625" style="62" customWidth="1"/>
    <col min="15872" max="15872" width="51.44140625" style="62" customWidth="1"/>
    <col min="15873" max="15873" width="16.109375" style="62" customWidth="1"/>
    <col min="15874" max="16123" width="9.33203125" style="62"/>
    <col min="16124" max="16124" width="12.33203125" style="62" customWidth="1"/>
    <col min="16125" max="16125" width="11.6640625" style="62" customWidth="1"/>
    <col min="16126" max="16126" width="12.5546875" style="62" customWidth="1"/>
    <col min="16127" max="16127" width="22.6640625" style="62" customWidth="1"/>
    <col min="16128" max="16128" width="51.44140625" style="62" customWidth="1"/>
    <col min="16129" max="16129" width="16.109375" style="62" customWidth="1"/>
    <col min="16130" max="16384" width="9.33203125" style="62"/>
  </cols>
  <sheetData>
    <row r="1" spans="1:9" ht="15.6" x14ac:dyDescent="0.25">
      <c r="F1" s="1273" t="s">
        <v>587</v>
      </c>
      <c r="G1" s="1273"/>
      <c r="H1" s="1273"/>
    </row>
    <row r="2" spans="1:9" ht="15.6" x14ac:dyDescent="0.25">
      <c r="F2" s="1073" t="s">
        <v>638</v>
      </c>
      <c r="G2" s="1073"/>
      <c r="H2" s="1073"/>
    </row>
    <row r="3" spans="1:9" ht="15.6" x14ac:dyDescent="0.3">
      <c r="F3" s="6" t="s">
        <v>736</v>
      </c>
      <c r="G3" s="6"/>
      <c r="H3" s="5"/>
    </row>
    <row r="4" spans="1:9" ht="15.6" x14ac:dyDescent="0.3">
      <c r="F4" s="1074" t="s">
        <v>737</v>
      </c>
      <c r="G4" s="1074"/>
      <c r="H4" s="5"/>
    </row>
    <row r="5" spans="1:9" ht="15.6" x14ac:dyDescent="0.25">
      <c r="E5" s="5"/>
      <c r="F5" s="5"/>
      <c r="G5" s="5"/>
    </row>
    <row r="6" spans="1:9" ht="15.6" x14ac:dyDescent="0.25">
      <c r="F6" s="5"/>
    </row>
    <row r="7" spans="1:9" ht="15.6" x14ac:dyDescent="0.25">
      <c r="E7" s="3"/>
      <c r="F7" s="5"/>
    </row>
    <row r="8" spans="1:9" ht="31.2" customHeight="1" x14ac:dyDescent="0.3">
      <c r="A8" s="1202" t="s">
        <v>688</v>
      </c>
      <c r="B8" s="1202"/>
      <c r="C8" s="1202"/>
      <c r="D8" s="1202"/>
      <c r="E8" s="1202"/>
      <c r="F8" s="1202"/>
    </row>
    <row r="9" spans="1:9" ht="29.7" customHeight="1" thickBot="1" x14ac:dyDescent="0.3">
      <c r="A9" s="542"/>
      <c r="B9" s="542"/>
      <c r="C9" s="542"/>
      <c r="D9" s="542"/>
      <c r="E9" s="542"/>
      <c r="H9" s="542" t="s">
        <v>554</v>
      </c>
    </row>
    <row r="10" spans="1:9" ht="29.7" customHeight="1" x14ac:dyDescent="0.25">
      <c r="A10" s="1261" t="s">
        <v>555</v>
      </c>
      <c r="B10" s="1242" t="s">
        <v>556</v>
      </c>
      <c r="C10" s="1242" t="s">
        <v>269</v>
      </c>
      <c r="D10" s="1242" t="s">
        <v>557</v>
      </c>
      <c r="E10" s="1265" t="s">
        <v>558</v>
      </c>
      <c r="F10" s="1265" t="s">
        <v>634</v>
      </c>
      <c r="G10" s="1274" t="s">
        <v>640</v>
      </c>
      <c r="H10" s="1277" t="s">
        <v>456</v>
      </c>
    </row>
    <row r="11" spans="1:9" ht="32.700000000000003" customHeight="1" x14ac:dyDescent="0.25">
      <c r="A11" s="1262"/>
      <c r="B11" s="1264"/>
      <c r="C11" s="1264"/>
      <c r="D11" s="1264"/>
      <c r="E11" s="1266"/>
      <c r="F11" s="1266"/>
      <c r="G11" s="1275"/>
      <c r="H11" s="1278"/>
    </row>
    <row r="12" spans="1:9" ht="32.700000000000003" customHeight="1" x14ac:dyDescent="0.25">
      <c r="A12" s="1262"/>
      <c r="B12" s="1264"/>
      <c r="C12" s="1264"/>
      <c r="D12" s="1264"/>
      <c r="E12" s="1266"/>
      <c r="F12" s="1266"/>
      <c r="G12" s="1275"/>
      <c r="H12" s="1278"/>
    </row>
    <row r="13" spans="1:9" ht="56.4" customHeight="1" thickBot="1" x14ac:dyDescent="0.3">
      <c r="A13" s="1263"/>
      <c r="B13" s="1243"/>
      <c r="C13" s="1243"/>
      <c r="D13" s="1243"/>
      <c r="E13" s="1267"/>
      <c r="F13" s="1267"/>
      <c r="G13" s="1276"/>
      <c r="H13" s="1279"/>
    </row>
    <row r="14" spans="1:9" s="69" customFormat="1" ht="23.4" customHeight="1" thickBot="1" x14ac:dyDescent="0.35">
      <c r="A14" s="813" t="s">
        <v>277</v>
      </c>
      <c r="B14" s="814" t="s">
        <v>278</v>
      </c>
      <c r="C14" s="814" t="s">
        <v>279</v>
      </c>
      <c r="D14" s="814" t="s">
        <v>452</v>
      </c>
      <c r="E14" s="815">
        <v>5</v>
      </c>
      <c r="F14" s="815">
        <v>6</v>
      </c>
      <c r="G14" s="816">
        <v>7</v>
      </c>
      <c r="H14" s="817">
        <v>8</v>
      </c>
      <c r="I14" s="62"/>
    </row>
    <row r="15" spans="1:9" s="546" customFormat="1" ht="39" customHeight="1" thickBot="1" x14ac:dyDescent="0.45">
      <c r="A15" s="543">
        <v>1200000</v>
      </c>
      <c r="B15" s="544"/>
      <c r="C15" s="545"/>
      <c r="D15" s="1268" t="s">
        <v>559</v>
      </c>
      <c r="E15" s="1268"/>
      <c r="F15" s="705">
        <f>F16</f>
        <v>8712211</v>
      </c>
      <c r="G15" s="705">
        <f>G16</f>
        <v>8684534.4700000007</v>
      </c>
      <c r="H15" s="706"/>
      <c r="I15" s="62"/>
    </row>
    <row r="16" spans="1:9" s="547" customFormat="1" ht="37.950000000000003" customHeight="1" x14ac:dyDescent="0.4">
      <c r="A16" s="707">
        <v>1210000</v>
      </c>
      <c r="B16" s="708"/>
      <c r="C16" s="708"/>
      <c r="D16" s="1260" t="s">
        <v>559</v>
      </c>
      <c r="E16" s="1260"/>
      <c r="F16" s="769">
        <f>F17+F18+F19+F20+F21+F22+F23+F24</f>
        <v>8712211</v>
      </c>
      <c r="G16" s="769">
        <f>G17+G18+G19+G20+G21+G22+G23+G24</f>
        <v>8684534.4700000007</v>
      </c>
      <c r="H16" s="770"/>
      <c r="I16" s="771"/>
    </row>
    <row r="17" spans="1:11" s="547" customFormat="1" ht="52.2" customHeight="1" x14ac:dyDescent="0.4">
      <c r="A17" s="1269" t="s">
        <v>137</v>
      </c>
      <c r="B17" s="1270">
        <v>7461</v>
      </c>
      <c r="C17" s="1271" t="s">
        <v>139</v>
      </c>
      <c r="D17" s="1272" t="s">
        <v>560</v>
      </c>
      <c r="E17" s="548" t="s">
        <v>561</v>
      </c>
      <c r="F17" s="549">
        <v>199246</v>
      </c>
      <c r="G17" s="550">
        <v>198860.37</v>
      </c>
      <c r="H17" s="709">
        <v>1</v>
      </c>
      <c r="I17" s="62"/>
    </row>
    <row r="18" spans="1:11" s="546" customFormat="1" ht="62.4" customHeight="1" x14ac:dyDescent="0.4">
      <c r="A18" s="1269"/>
      <c r="B18" s="1270"/>
      <c r="C18" s="1271"/>
      <c r="D18" s="1272"/>
      <c r="E18" s="548" t="s">
        <v>562</v>
      </c>
      <c r="F18" s="549">
        <v>2590</v>
      </c>
      <c r="G18" s="550">
        <v>2583.0700000000002</v>
      </c>
      <c r="H18" s="709">
        <v>1</v>
      </c>
      <c r="I18" s="62"/>
    </row>
    <row r="19" spans="1:11" s="546" customFormat="1" ht="65.400000000000006" customHeight="1" x14ac:dyDescent="0.4">
      <c r="A19" s="1269"/>
      <c r="B19" s="1270"/>
      <c r="C19" s="1271"/>
      <c r="D19" s="1272"/>
      <c r="E19" s="548" t="s">
        <v>563</v>
      </c>
      <c r="F19" s="551">
        <v>116519</v>
      </c>
      <c r="G19" s="550">
        <v>116291.16</v>
      </c>
      <c r="H19" s="709">
        <v>1</v>
      </c>
      <c r="I19" s="62"/>
    </row>
    <row r="20" spans="1:11" s="546" customFormat="1" ht="48.6" customHeight="1" x14ac:dyDescent="0.4">
      <c r="A20" s="1269"/>
      <c r="B20" s="1270"/>
      <c r="C20" s="1271"/>
      <c r="D20" s="1272"/>
      <c r="E20" s="548" t="s">
        <v>564</v>
      </c>
      <c r="F20" s="551">
        <v>12947</v>
      </c>
      <c r="G20" s="550">
        <v>12921.17</v>
      </c>
      <c r="H20" s="709">
        <v>1</v>
      </c>
      <c r="I20" s="62"/>
    </row>
    <row r="21" spans="1:11" s="546" customFormat="1" ht="65.25" customHeight="1" x14ac:dyDescent="0.4">
      <c r="A21" s="1269"/>
      <c r="B21" s="1270"/>
      <c r="C21" s="1271"/>
      <c r="D21" s="1272"/>
      <c r="E21" s="548" t="s">
        <v>565</v>
      </c>
      <c r="F21" s="551">
        <v>6706</v>
      </c>
      <c r="G21" s="550">
        <v>6692.94</v>
      </c>
      <c r="H21" s="709">
        <v>1</v>
      </c>
      <c r="I21" s="62"/>
    </row>
    <row r="22" spans="1:11" s="546" customFormat="1" ht="57" customHeight="1" x14ac:dyDescent="0.4">
      <c r="A22" s="1269"/>
      <c r="B22" s="1270"/>
      <c r="C22" s="1271"/>
      <c r="D22" s="1272"/>
      <c r="E22" s="548" t="s">
        <v>566</v>
      </c>
      <c r="F22" s="549">
        <v>6601</v>
      </c>
      <c r="G22" s="550">
        <v>6588.24</v>
      </c>
      <c r="H22" s="709">
        <v>1</v>
      </c>
      <c r="I22" s="62"/>
    </row>
    <row r="23" spans="1:11" s="546" customFormat="1" ht="42" customHeight="1" x14ac:dyDescent="0.4">
      <c r="A23" s="1269"/>
      <c r="B23" s="1270"/>
      <c r="C23" s="1271"/>
      <c r="D23" s="1272"/>
      <c r="E23" s="548" t="s">
        <v>567</v>
      </c>
      <c r="F23" s="551">
        <v>3236</v>
      </c>
      <c r="G23" s="550">
        <v>3229.87</v>
      </c>
      <c r="H23" s="709">
        <v>1</v>
      </c>
      <c r="I23" s="62"/>
    </row>
    <row r="24" spans="1:11" s="546" customFormat="1" ht="94.95" customHeight="1" thickBot="1" x14ac:dyDescent="0.45">
      <c r="A24" s="710" t="s">
        <v>136</v>
      </c>
      <c r="B24" s="711">
        <v>6030</v>
      </c>
      <c r="C24" s="712" t="s">
        <v>27</v>
      </c>
      <c r="D24" s="713" t="s">
        <v>28</v>
      </c>
      <c r="E24" s="714" t="s">
        <v>635</v>
      </c>
      <c r="F24" s="715">
        <v>8364366</v>
      </c>
      <c r="G24" s="773">
        <v>8337367.6500000004</v>
      </c>
      <c r="H24" s="772">
        <v>1</v>
      </c>
      <c r="I24" s="62"/>
    </row>
    <row r="25" spans="1:11" s="546" customFormat="1" ht="28.95" customHeight="1" thickBot="1" x14ac:dyDescent="0.45">
      <c r="A25" s="1258" t="s">
        <v>568</v>
      </c>
      <c r="B25" s="1259"/>
      <c r="C25" s="1259"/>
      <c r="D25" s="1259"/>
      <c r="E25" s="552"/>
      <c r="F25" s="553">
        <f>F15</f>
        <v>8712211</v>
      </c>
      <c r="G25" s="553">
        <f t="shared" ref="G25" si="0">G15</f>
        <v>8684534.4700000007</v>
      </c>
      <c r="H25" s="553" t="s">
        <v>295</v>
      </c>
      <c r="I25" s="62"/>
    </row>
    <row r="26" spans="1:11" s="546" customFormat="1" ht="28.95" customHeight="1" x14ac:dyDescent="0.4">
      <c r="A26" s="554"/>
      <c r="B26" s="555"/>
      <c r="C26" s="556"/>
      <c r="D26" s="557"/>
      <c r="E26" s="558"/>
      <c r="F26" s="559"/>
      <c r="G26" s="62"/>
      <c r="H26" s="62"/>
      <c r="I26" s="62"/>
    </row>
    <row r="27" spans="1:11" s="69" customFormat="1" ht="42.6" customHeight="1" x14ac:dyDescent="0.35">
      <c r="A27" s="25" t="s">
        <v>649</v>
      </c>
      <c r="C27" s="25"/>
      <c r="D27" s="25"/>
      <c r="F27" s="25"/>
      <c r="G27" s="25" t="s">
        <v>468</v>
      </c>
      <c r="H27" s="62"/>
      <c r="I27" s="62"/>
      <c r="J27" s="129"/>
      <c r="K27" s="130"/>
    </row>
    <row r="28" spans="1:11" s="560" customFormat="1" ht="17.399999999999999" customHeight="1" x14ac:dyDescent="0.3">
      <c r="B28" s="561"/>
      <c r="C28" s="562"/>
      <c r="D28" s="563"/>
      <c r="E28" s="64"/>
      <c r="F28" s="64"/>
      <c r="G28" s="62"/>
      <c r="H28" s="62"/>
      <c r="I28" s="62"/>
    </row>
    <row r="30" spans="1:11" ht="15.6" customHeight="1" x14ac:dyDescent="0.3">
      <c r="A30" s="64"/>
      <c r="C30" s="561"/>
      <c r="D30" s="64"/>
    </row>
    <row r="31" spans="1:11" ht="15.6" customHeight="1" x14ac:dyDescent="0.3">
      <c r="A31" s="64"/>
      <c r="C31" s="64"/>
      <c r="D31" s="64"/>
    </row>
    <row r="32" spans="1:11" ht="13.2" customHeight="1" x14ac:dyDescent="0.25"/>
    <row r="33" ht="13.2" customHeight="1" x14ac:dyDescent="0.25"/>
    <row r="34" ht="13.2" customHeight="1" x14ac:dyDescent="0.25"/>
    <row r="35" ht="13.2" customHeight="1" x14ac:dyDescent="0.25"/>
    <row r="36" ht="13.95" customHeight="1" x14ac:dyDescent="0.25"/>
  </sheetData>
  <mergeCells count="19">
    <mergeCell ref="F10:F13"/>
    <mergeCell ref="F1:H1"/>
    <mergeCell ref="F2:H2"/>
    <mergeCell ref="A8:F8"/>
    <mergeCell ref="G10:G13"/>
    <mergeCell ref="H10:H13"/>
    <mergeCell ref="F4:G4"/>
    <mergeCell ref="A25:D25"/>
    <mergeCell ref="D16:E16"/>
    <mergeCell ref="A10:A13"/>
    <mergeCell ref="B10:B13"/>
    <mergeCell ref="C10:C13"/>
    <mergeCell ref="D10:D13"/>
    <mergeCell ref="E10:E13"/>
    <mergeCell ref="D15:E15"/>
    <mergeCell ref="A17:A23"/>
    <mergeCell ref="B17:B23"/>
    <mergeCell ref="C17:C23"/>
    <mergeCell ref="D17:D23"/>
  </mergeCells>
  <pageMargins left="0.70866141732283472" right="0.70866141732283472"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дод 1 Доходи </vt:lpstr>
      <vt:lpstr>дод 2 Джерела</vt:lpstr>
      <vt:lpstr>дод 3 Видатки</vt:lpstr>
      <vt:lpstr>дод 4 Кредитування</vt:lpstr>
      <vt:lpstr>дод 5 Трансферти</vt:lpstr>
      <vt:lpstr>дод 6 Програми</vt:lpstr>
      <vt:lpstr>дод 7 Бюдж розвитку</vt:lpstr>
      <vt:lpstr>дод 8 ФОНС </vt:lpstr>
      <vt:lpstr>дод 9 Дороги</vt:lpstr>
      <vt:lpstr>'дод 1 Доходи '!Заголовки_для_печати</vt:lpstr>
      <vt:lpstr>'дод 3 Видатки'!Заголовки_для_печати</vt:lpstr>
      <vt:lpstr>'дод 1 Доходи '!Область_печати</vt:lpstr>
      <vt:lpstr>'дод 2 Джерела'!Область_печати</vt:lpstr>
      <vt:lpstr>'дод 3 Видатки'!Область_печати</vt:lpstr>
      <vt:lpstr>'дод 5 Трансферти'!Область_печати</vt:lpstr>
      <vt:lpstr>'дод 6 Програми'!Область_печати</vt:lpstr>
      <vt:lpstr>'дод 7 Бюдж розвитку'!Область_печати</vt:lpstr>
      <vt:lpstr>'дод 8 ФОНС '!Область_печати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2025-03-10T11:04:45Z</cp:lastPrinted>
  <dcterms:created xsi:type="dcterms:W3CDTF">2021-12-17T13:26:15Z</dcterms:created>
  <dcterms:modified xsi:type="dcterms:W3CDTF">2025-03-10T11:41:06Z</dcterms:modified>
</cp:coreProperties>
</file>